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essor\Desktop\ITHACA 2024 STUDIES\"/>
    </mc:Choice>
  </mc:AlternateContent>
  <xr:revisionPtr revIDLastSave="0" documentId="13_ncr:1_{C111F312-B9EE-4AEA-8905-D41019BBBEF3}" xr6:coauthVersionLast="47" xr6:coauthVersionMax="47" xr10:uidLastSave="{00000000-0000-0000-0000-000000000000}"/>
  <bookViews>
    <workbookView xWindow="-120" yWindow="-120" windowWidth="29040" windowHeight="15720" xr2:uid="{835A6B27-6CF5-41DD-B401-8990725AE410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2" l="1"/>
  <c r="K99" i="2"/>
  <c r="Q99" i="2" s="1"/>
  <c r="I74" i="2"/>
  <c r="K74" i="2"/>
  <c r="Q74" i="2" s="1"/>
  <c r="I96" i="2"/>
  <c r="K96" i="2"/>
  <c r="R96" i="2" s="1"/>
  <c r="I27" i="2"/>
  <c r="K27" i="2"/>
  <c r="R27" i="2" s="1"/>
  <c r="I63" i="2"/>
  <c r="K63" i="2"/>
  <c r="Q63" i="2" s="1"/>
  <c r="I85" i="2"/>
  <c r="K85" i="2"/>
  <c r="Q85" i="2" s="1"/>
  <c r="I8" i="2"/>
  <c r="K8" i="2"/>
  <c r="Q8" i="2" s="1"/>
  <c r="I52" i="2"/>
  <c r="K52" i="2"/>
  <c r="Q52" i="2" s="1"/>
  <c r="I28" i="2"/>
  <c r="K28" i="2"/>
  <c r="Q28" i="2" s="1"/>
  <c r="I44" i="2"/>
  <c r="K44" i="2"/>
  <c r="Q44" i="2" s="1"/>
  <c r="I56" i="2"/>
  <c r="K56" i="2"/>
  <c r="Q56" i="2" s="1"/>
  <c r="R56" i="2"/>
  <c r="S56" i="2"/>
  <c r="I90" i="2"/>
  <c r="K90" i="2"/>
  <c r="Q90" i="2" s="1"/>
  <c r="I47" i="2"/>
  <c r="K47" i="2"/>
  <c r="S47" i="2" s="1"/>
  <c r="I2" i="2"/>
  <c r="K2" i="2"/>
  <c r="R2" i="2" s="1"/>
  <c r="I13" i="2"/>
  <c r="K13" i="2"/>
  <c r="Q13" i="2" s="1"/>
  <c r="I32" i="2"/>
  <c r="K32" i="2"/>
  <c r="R32" i="2" s="1"/>
  <c r="I4" i="2"/>
  <c r="K4" i="2"/>
  <c r="R4" i="2" s="1"/>
  <c r="I14" i="2"/>
  <c r="K14" i="2"/>
  <c r="Q14" i="2"/>
  <c r="R14" i="2"/>
  <c r="S14" i="2"/>
  <c r="I5" i="2"/>
  <c r="K5" i="2"/>
  <c r="S5" i="2" s="1"/>
  <c r="Q5" i="2"/>
  <c r="R5" i="2"/>
  <c r="I39" i="2"/>
  <c r="K39" i="2"/>
  <c r="R39" i="2" s="1"/>
  <c r="I87" i="2"/>
  <c r="K87" i="2"/>
  <c r="R87" i="2" s="1"/>
  <c r="I45" i="2"/>
  <c r="K45" i="2"/>
  <c r="R45" i="2" s="1"/>
  <c r="I92" i="2"/>
  <c r="K92" i="2"/>
  <c r="S92" i="2" s="1"/>
  <c r="R92" i="2"/>
  <c r="I78" i="2"/>
  <c r="K78" i="2"/>
  <c r="R78" i="2" s="1"/>
  <c r="Q78" i="2"/>
  <c r="I70" i="2"/>
  <c r="K70" i="2"/>
  <c r="Q70" i="2" s="1"/>
  <c r="I89" i="2"/>
  <c r="K89" i="2"/>
  <c r="Q89" i="2" s="1"/>
  <c r="I42" i="2"/>
  <c r="K42" i="2"/>
  <c r="Q42" i="2" s="1"/>
  <c r="I34" i="2"/>
  <c r="K34" i="2"/>
  <c r="R34" i="2" s="1"/>
  <c r="I95" i="2"/>
  <c r="K95" i="2"/>
  <c r="R95" i="2" s="1"/>
  <c r="I97" i="2"/>
  <c r="K97" i="2"/>
  <c r="R97" i="2" s="1"/>
  <c r="Q97" i="2"/>
  <c r="I83" i="2"/>
  <c r="K83" i="2"/>
  <c r="Q83" i="2" s="1"/>
  <c r="I77" i="2"/>
  <c r="K77" i="2"/>
  <c r="Q77" i="2" s="1"/>
  <c r="I91" i="2"/>
  <c r="K91" i="2"/>
  <c r="Q91" i="2" s="1"/>
  <c r="I98" i="2"/>
  <c r="K98" i="2"/>
  <c r="R98" i="2" s="1"/>
  <c r="I93" i="2"/>
  <c r="K93" i="2"/>
  <c r="R93" i="2" s="1"/>
  <c r="I100" i="2"/>
  <c r="K100" i="2"/>
  <c r="R100" i="2" s="1"/>
  <c r="I20" i="2"/>
  <c r="K20" i="2"/>
  <c r="R20" i="2" s="1"/>
  <c r="I41" i="2"/>
  <c r="K41" i="2"/>
  <c r="R41" i="2" s="1"/>
  <c r="I58" i="2"/>
  <c r="K58" i="2"/>
  <c r="R58" i="2" s="1"/>
  <c r="I9" i="2"/>
  <c r="K9" i="2"/>
  <c r="Q9" i="2" s="1"/>
  <c r="I50" i="2"/>
  <c r="K50" i="2"/>
  <c r="R50" i="2" s="1"/>
  <c r="Q50" i="2"/>
  <c r="I37" i="2"/>
  <c r="K37" i="2"/>
  <c r="Q37" i="2" s="1"/>
  <c r="I106" i="2"/>
  <c r="K106" i="2"/>
  <c r="Q106" i="2" s="1"/>
  <c r="I94" i="2"/>
  <c r="K94" i="2"/>
  <c r="Q94" i="2" s="1"/>
  <c r="I23" i="2"/>
  <c r="K23" i="2"/>
  <c r="R23" i="2" s="1"/>
  <c r="Q23" i="2"/>
  <c r="S23" i="2"/>
  <c r="I86" i="2"/>
  <c r="K86" i="2"/>
  <c r="S86" i="2" s="1"/>
  <c r="Q86" i="2"/>
  <c r="R86" i="2"/>
  <c r="I49" i="2"/>
  <c r="K49" i="2"/>
  <c r="R49" i="2" s="1"/>
  <c r="Q49" i="2"/>
  <c r="I88" i="2"/>
  <c r="K88" i="2"/>
  <c r="Q88" i="2" s="1"/>
  <c r="I68" i="2"/>
  <c r="K68" i="2"/>
  <c r="Q68" i="2" s="1"/>
  <c r="I40" i="2"/>
  <c r="K40" i="2"/>
  <c r="R40" i="2" s="1"/>
  <c r="I54" i="2"/>
  <c r="K54" i="2"/>
  <c r="R54" i="2" s="1"/>
  <c r="I55" i="2"/>
  <c r="K55" i="2"/>
  <c r="Q55" i="2" s="1"/>
  <c r="I31" i="2"/>
  <c r="K31" i="2"/>
  <c r="S31" i="2" s="1"/>
  <c r="R31" i="2"/>
  <c r="I101" i="2"/>
  <c r="K101" i="2"/>
  <c r="Q101" i="2" s="1"/>
  <c r="I25" i="2"/>
  <c r="K25" i="2"/>
  <c r="R25" i="2" s="1"/>
  <c r="I36" i="2"/>
  <c r="K36" i="2"/>
  <c r="R36" i="2" s="1"/>
  <c r="I82" i="2"/>
  <c r="K82" i="2"/>
  <c r="Q82" i="2" s="1"/>
  <c r="I53" i="2"/>
  <c r="K53" i="2"/>
  <c r="R53" i="2" s="1"/>
  <c r="I21" i="2"/>
  <c r="K21" i="2"/>
  <c r="Q21" i="2"/>
  <c r="R21" i="2"/>
  <c r="S21" i="2"/>
  <c r="I84" i="2"/>
  <c r="K84" i="2"/>
  <c r="Q84" i="2" s="1"/>
  <c r="I22" i="2"/>
  <c r="K22" i="2"/>
  <c r="R22" i="2" s="1"/>
  <c r="Q22" i="2"/>
  <c r="I3" i="2"/>
  <c r="K3" i="2"/>
  <c r="R3" i="2" s="1"/>
  <c r="Q3" i="2"/>
  <c r="I29" i="2"/>
  <c r="K29" i="2"/>
  <c r="R29" i="2" s="1"/>
  <c r="I69" i="2"/>
  <c r="K69" i="2"/>
  <c r="S69" i="2" s="1"/>
  <c r="I35" i="2"/>
  <c r="K35" i="2"/>
  <c r="R35" i="2" s="1"/>
  <c r="I30" i="2"/>
  <c r="K30" i="2"/>
  <c r="Q30" i="2" s="1"/>
  <c r="I103" i="2"/>
  <c r="K103" i="2"/>
  <c r="Q103" i="2" s="1"/>
  <c r="I57" i="2"/>
  <c r="K57" i="2"/>
  <c r="R57" i="2" s="1"/>
  <c r="I64" i="2"/>
  <c r="K64" i="2"/>
  <c r="Q64" i="2" s="1"/>
  <c r="I16" i="2"/>
  <c r="K16" i="2"/>
  <c r="Q16" i="2" s="1"/>
  <c r="R16" i="2"/>
  <c r="I75" i="2"/>
  <c r="K75" i="2"/>
  <c r="Q75" i="2" s="1"/>
  <c r="I19" i="2"/>
  <c r="K19" i="2"/>
  <c r="R19" i="2" s="1"/>
  <c r="I6" i="2"/>
  <c r="K6" i="2"/>
  <c r="Q6" i="2" s="1"/>
  <c r="I51" i="2"/>
  <c r="K51" i="2"/>
  <c r="Q51" i="2" s="1"/>
  <c r="S51" i="2"/>
  <c r="I66" i="2"/>
  <c r="K66" i="2"/>
  <c r="R66" i="2" s="1"/>
  <c r="I76" i="2"/>
  <c r="K76" i="2"/>
  <c r="R76" i="2" s="1"/>
  <c r="I60" i="2"/>
  <c r="K60" i="2"/>
  <c r="S60" i="2" s="1"/>
  <c r="Q60" i="2"/>
  <c r="R60" i="2"/>
  <c r="I17" i="2"/>
  <c r="K17" i="2"/>
  <c r="R17" i="2" s="1"/>
  <c r="I46" i="2"/>
  <c r="K46" i="2"/>
  <c r="Q46" i="2" s="1"/>
  <c r="S46" i="2"/>
  <c r="I72" i="2"/>
  <c r="K72" i="2"/>
  <c r="Q72" i="2" s="1"/>
  <c r="I65" i="2"/>
  <c r="K65" i="2"/>
  <c r="S65" i="2" s="1"/>
  <c r="Q65" i="2"/>
  <c r="I11" i="2"/>
  <c r="K11" i="2"/>
  <c r="S11" i="2" s="1"/>
  <c r="Q11" i="2"/>
  <c r="I10" i="2"/>
  <c r="K10" i="2"/>
  <c r="S10" i="2" s="1"/>
  <c r="I59" i="2"/>
  <c r="K59" i="2"/>
  <c r="R59" i="2" s="1"/>
  <c r="I24" i="2"/>
  <c r="K24" i="2"/>
  <c r="Q24" i="2" s="1"/>
  <c r="I12" i="2"/>
  <c r="K12" i="2"/>
  <c r="R12" i="2" s="1"/>
  <c r="I102" i="2"/>
  <c r="K102" i="2"/>
  <c r="Q102" i="2" s="1"/>
  <c r="I26" i="2"/>
  <c r="K26" i="2"/>
  <c r="Q26" i="2"/>
  <c r="R26" i="2"/>
  <c r="S26" i="2"/>
  <c r="I81" i="2"/>
  <c r="K81" i="2"/>
  <c r="R81" i="2" s="1"/>
  <c r="I62" i="2"/>
  <c r="K62" i="2"/>
  <c r="R62" i="2" s="1"/>
  <c r="I7" i="2"/>
  <c r="K7" i="2"/>
  <c r="Q7" i="2" s="1"/>
  <c r="I79" i="2"/>
  <c r="K79" i="2"/>
  <c r="R79" i="2" s="1"/>
  <c r="I15" i="2"/>
  <c r="K15" i="2"/>
  <c r="Q15" i="2" s="1"/>
  <c r="R15" i="2"/>
  <c r="S15" i="2"/>
  <c r="I43" i="2"/>
  <c r="K43" i="2"/>
  <c r="R43" i="2" s="1"/>
  <c r="Q43" i="2"/>
  <c r="I80" i="2"/>
  <c r="K80" i="2"/>
  <c r="Q80" i="2" s="1"/>
  <c r="I104" i="2"/>
  <c r="K104" i="2"/>
  <c r="Q104" i="2" s="1"/>
  <c r="I33" i="2"/>
  <c r="K33" i="2"/>
  <c r="Q33" i="2" s="1"/>
  <c r="I105" i="2"/>
  <c r="K105" i="2"/>
  <c r="Q105" i="2" s="1"/>
  <c r="I38" i="2"/>
  <c r="K38" i="2"/>
  <c r="Q38" i="2" s="1"/>
  <c r="I73" i="2"/>
  <c r="K73" i="2"/>
  <c r="R73" i="2" s="1"/>
  <c r="I71" i="2"/>
  <c r="K71" i="2"/>
  <c r="R71" i="2" s="1"/>
  <c r="Q71" i="2"/>
  <c r="I67" i="2"/>
  <c r="K67" i="2"/>
  <c r="R67" i="2" s="1"/>
  <c r="Q67" i="2"/>
  <c r="I48" i="2"/>
  <c r="K48" i="2"/>
  <c r="R48" i="2" s="1"/>
  <c r="Q48" i="2"/>
  <c r="S48" i="2"/>
  <c r="I18" i="2"/>
  <c r="K18" i="2"/>
  <c r="R18" i="2" s="1"/>
  <c r="I61" i="2"/>
  <c r="K61" i="2"/>
  <c r="R61" i="2" s="1"/>
  <c r="D107" i="2"/>
  <c r="G107" i="2"/>
  <c r="H107" i="2"/>
  <c r="J107" i="2"/>
  <c r="L107" i="2"/>
  <c r="M107" i="2"/>
  <c r="O107" i="2"/>
  <c r="P107" i="2"/>
  <c r="R46" i="2" l="1"/>
  <c r="S75" i="2"/>
  <c r="S97" i="2"/>
  <c r="Q92" i="2"/>
  <c r="S87" i="2"/>
  <c r="Q2" i="2"/>
  <c r="Q100" i="2"/>
  <c r="I108" i="2"/>
  <c r="S7" i="2"/>
  <c r="R10" i="2"/>
  <c r="Q57" i="2"/>
  <c r="R47" i="2"/>
  <c r="Q47" i="2"/>
  <c r="S96" i="2"/>
  <c r="S43" i="2"/>
  <c r="R69" i="2"/>
  <c r="Q69" i="2"/>
  <c r="Q61" i="2"/>
  <c r="Q10" i="2"/>
  <c r="Q31" i="2"/>
  <c r="R8" i="2"/>
  <c r="Q81" i="2"/>
  <c r="R11" i="2"/>
  <c r="S42" i="2"/>
  <c r="S85" i="2"/>
  <c r="Q96" i="2"/>
  <c r="Q4" i="2"/>
  <c r="Q20" i="2"/>
  <c r="S38" i="2"/>
  <c r="S24" i="2"/>
  <c r="S53" i="2"/>
  <c r="Q45" i="2"/>
  <c r="R38" i="2"/>
  <c r="S29" i="2"/>
  <c r="Q53" i="2"/>
  <c r="S16" i="2"/>
  <c r="Q29" i="2"/>
  <c r="S100" i="2"/>
  <c r="S102" i="2"/>
  <c r="R65" i="2"/>
  <c r="Q54" i="2"/>
  <c r="Q27" i="2"/>
  <c r="S105" i="2"/>
  <c r="R51" i="2"/>
  <c r="R105" i="2"/>
  <c r="S22" i="2"/>
  <c r="R82" i="2"/>
  <c r="S94" i="2"/>
  <c r="Q93" i="2"/>
  <c r="Q34" i="2"/>
  <c r="R7" i="2"/>
  <c r="R24" i="2"/>
  <c r="S103" i="2"/>
  <c r="Q87" i="2"/>
  <c r="S6" i="2"/>
  <c r="S88" i="2"/>
  <c r="S67" i="2"/>
  <c r="R6" i="2"/>
  <c r="S84" i="2"/>
  <c r="R88" i="2"/>
  <c r="R106" i="2"/>
  <c r="S2" i="2"/>
  <c r="S106" i="2"/>
  <c r="Q62" i="2"/>
  <c r="Q59" i="2"/>
  <c r="Q25" i="2"/>
  <c r="Q17" i="2"/>
  <c r="S8" i="2"/>
  <c r="Q36" i="2"/>
  <c r="S40" i="2"/>
  <c r="Q41" i="2"/>
  <c r="Q95" i="2"/>
  <c r="Q40" i="2"/>
  <c r="R103" i="2"/>
  <c r="R94" i="2"/>
  <c r="S83" i="2"/>
  <c r="R42" i="2"/>
  <c r="R85" i="2"/>
  <c r="S104" i="2"/>
  <c r="Q79" i="2"/>
  <c r="S55" i="2"/>
  <c r="R83" i="2"/>
  <c r="S99" i="2"/>
  <c r="S61" i="2"/>
  <c r="R104" i="2"/>
  <c r="R55" i="2"/>
  <c r="R99" i="2"/>
  <c r="S82" i="2"/>
  <c r="Q98" i="2"/>
  <c r="S80" i="2"/>
  <c r="R102" i="2"/>
  <c r="R75" i="2"/>
  <c r="R84" i="2"/>
  <c r="S91" i="2"/>
  <c r="S70" i="2"/>
  <c r="Q18" i="2"/>
  <c r="R80" i="2"/>
  <c r="S36" i="2"/>
  <c r="S41" i="2"/>
  <c r="R91" i="2"/>
  <c r="R70" i="2"/>
  <c r="Q39" i="2"/>
  <c r="Q76" i="2"/>
  <c r="Q73" i="2"/>
  <c r="Q19" i="2"/>
  <c r="Q32" i="2"/>
  <c r="Q66" i="2"/>
  <c r="Q12" i="2"/>
  <c r="S30" i="2"/>
  <c r="S101" i="2"/>
  <c r="S9" i="2"/>
  <c r="S90" i="2"/>
  <c r="I109" i="2"/>
  <c r="S18" i="2"/>
  <c r="S76" i="2"/>
  <c r="R30" i="2"/>
  <c r="R101" i="2"/>
  <c r="R9" i="2"/>
  <c r="S45" i="2"/>
  <c r="R90" i="2"/>
  <c r="S33" i="2"/>
  <c r="S64" i="2"/>
  <c r="S37" i="2"/>
  <c r="S77" i="2"/>
  <c r="S13" i="2"/>
  <c r="S52" i="2"/>
  <c r="R33" i="2"/>
  <c r="S72" i="2"/>
  <c r="R64" i="2"/>
  <c r="S68" i="2"/>
  <c r="R37" i="2"/>
  <c r="R77" i="2"/>
  <c r="S89" i="2"/>
  <c r="R13" i="2"/>
  <c r="R52" i="2"/>
  <c r="S71" i="2"/>
  <c r="S81" i="2"/>
  <c r="R72" i="2"/>
  <c r="R68" i="2"/>
  <c r="S98" i="2"/>
  <c r="R89" i="2"/>
  <c r="S4" i="2"/>
  <c r="S27" i="2"/>
  <c r="Q35" i="2"/>
  <c r="Q58" i="2"/>
  <c r="K107" i="2"/>
  <c r="S73" i="2"/>
  <c r="S79" i="2"/>
  <c r="S62" i="2"/>
  <c r="S12" i="2"/>
  <c r="S59" i="2"/>
  <c r="S17" i="2"/>
  <c r="S66" i="2"/>
  <c r="S19" i="2"/>
  <c r="S57" i="2"/>
  <c r="S35" i="2"/>
  <c r="S3" i="2"/>
  <c r="S25" i="2"/>
  <c r="S54" i="2"/>
  <c r="S49" i="2"/>
  <c r="S50" i="2"/>
  <c r="S58" i="2"/>
  <c r="S20" i="2"/>
  <c r="S93" i="2"/>
  <c r="S95" i="2"/>
  <c r="S34" i="2"/>
  <c r="S78" i="2"/>
  <c r="S39" i="2"/>
  <c r="S32" i="2"/>
  <c r="S44" i="2"/>
  <c r="S28" i="2"/>
  <c r="S63" i="2"/>
  <c r="S74" i="2"/>
  <c r="R44" i="2"/>
  <c r="R28" i="2"/>
  <c r="R63" i="2"/>
  <c r="R74" i="2"/>
  <c r="P109" i="2" l="1"/>
  <c r="M109" i="2"/>
  <c r="S109" i="2"/>
</calcChain>
</file>

<file path=xl/sharedStrings.xml><?xml version="1.0" encoding="utf-8"?>
<sst xmlns="http://schemas.openxmlformats.org/spreadsheetml/2006/main" count="1007" uniqueCount="389">
  <si>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</si>
  <si>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</si>
  <si>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</si>
  <si>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</si>
  <si>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</si>
  <si>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</si>
  <si>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</si>
  <si>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</si>
  <si>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</si>
  <si>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</si>
  <si>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</si>
  <si>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</si>
  <si>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</si>
  <si>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</si>
  <si>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</si>
  <si>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</si>
  <si>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</si>
  <si>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</si>
  <si>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</si>
  <si>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</si>
  <si>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</si>
  <si>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</si>
  <si>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</si>
  <si>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</si>
  <si>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</si>
  <si>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</si>
  <si>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</si>
  <si>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</si>
  <si>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</si>
  <si>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</si>
  <si>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</si>
  <si>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</si>
  <si>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</si>
  <si>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</si>
  <si>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</si>
  <si>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</si>
  <si>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</si>
  <si>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</si>
  <si>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</si>
  <si>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</si>
  <si>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</si>
  <si>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</si>
  <si>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</si>
  <si>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</si>
  <si>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</si>
  <si>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</si>
  <si>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4050</t>
  </si>
  <si>
    <t>BECKER AND BRILHART</t>
  </si>
  <si>
    <t>401</t>
  </si>
  <si>
    <t>TYPICAL FF</t>
  </si>
  <si>
    <t>52-001-013-00</t>
  </si>
  <si>
    <t>120 NORTON GIBBS DR</t>
  </si>
  <si>
    <t>2021-1093-1324</t>
  </si>
  <si>
    <t>52-001-015-00</t>
  </si>
  <si>
    <t>759 NORTON GIBBS DR</t>
  </si>
  <si>
    <t>1102/645</t>
  </si>
  <si>
    <t>52-002-010-00</t>
  </si>
  <si>
    <t>515 NORTON GIBBS DR</t>
  </si>
  <si>
    <t>PTA</t>
  </si>
  <si>
    <t>1100/1147</t>
  </si>
  <si>
    <t>52-002-012-00</t>
  </si>
  <si>
    <t>630 NORTON GIBBS DR</t>
  </si>
  <si>
    <t>2021-1093-487</t>
  </si>
  <si>
    <t>52-003-006-00</t>
  </si>
  <si>
    <t>355 NORTON GIBBS DR</t>
  </si>
  <si>
    <t>0112/00611</t>
  </si>
  <si>
    <t>52-004-010-20</t>
  </si>
  <si>
    <t>514 WESTWIND LANE</t>
  </si>
  <si>
    <t>2023R-2073</t>
  </si>
  <si>
    <t>WESTWINDS SUBDIVISION</t>
  </si>
  <si>
    <t>TYPICAL LOT</t>
  </si>
  <si>
    <t>52-004-024-00</t>
  </si>
  <si>
    <t>WESTWIND LANE</t>
  </si>
  <si>
    <t>1100/959</t>
  </si>
  <si>
    <t>NOT INSPECTED</t>
  </si>
  <si>
    <t>402</t>
  </si>
  <si>
    <t>52-004-025-00</t>
  </si>
  <si>
    <t>517 WESTWIND LANE</t>
  </si>
  <si>
    <t>2023R-0474</t>
  </si>
  <si>
    <t>52-004-032-00</t>
  </si>
  <si>
    <t>722 LEEWARD CT</t>
  </si>
  <si>
    <t>UNRCD WD</t>
  </si>
  <si>
    <t>4020</t>
  </si>
  <si>
    <t>TYPICAL SITE</t>
  </si>
  <si>
    <t>ORIGINAL PLAT</t>
  </si>
  <si>
    <t>52-010-006-00</t>
  </si>
  <si>
    <t>214 N JEFFERY AVE</t>
  </si>
  <si>
    <t>2022-1109-129</t>
  </si>
  <si>
    <t>RENTAL</t>
  </si>
  <si>
    <t>52-010-023-00</t>
  </si>
  <si>
    <t>230 E NORTH ST</t>
  </si>
  <si>
    <t>GOOD FF</t>
  </si>
  <si>
    <t>52-010-029-00</t>
  </si>
  <si>
    <t>221 E EMERSON ST</t>
  </si>
  <si>
    <t>2023R-2069</t>
  </si>
  <si>
    <t>52-010-036-00</t>
  </si>
  <si>
    <t>216 N MAIN ST</t>
  </si>
  <si>
    <t>2021-01089-01402</t>
  </si>
  <si>
    <t>GOOD SITE</t>
  </si>
  <si>
    <t>52-010-042-00</t>
  </si>
  <si>
    <t>229 N MAIN ST</t>
  </si>
  <si>
    <t>OTH</t>
  </si>
  <si>
    <t>2023R-2012</t>
  </si>
  <si>
    <t>52-010-048-00</t>
  </si>
  <si>
    <t>215 N MAIN ST</t>
  </si>
  <si>
    <t>2021-01089-01428</t>
  </si>
  <si>
    <t>52-010-092-00</t>
  </si>
  <si>
    <t>125 N JEFFERY AVE</t>
  </si>
  <si>
    <t>1117-0596</t>
  </si>
  <si>
    <t>52-010-104-00</t>
  </si>
  <si>
    <t>130 N MAIN ST</t>
  </si>
  <si>
    <t>2023R-01001</t>
  </si>
  <si>
    <t>52-010-114-00</t>
  </si>
  <si>
    <t>406 E CENTER ST</t>
  </si>
  <si>
    <t>01111/00910</t>
  </si>
  <si>
    <t>52-010-116-00</t>
  </si>
  <si>
    <t>415 E NEWARK ST</t>
  </si>
  <si>
    <t>2021-01084-617</t>
  </si>
  <si>
    <t>52-010-117-00</t>
  </si>
  <si>
    <t>125 S ITHACA ST</t>
  </si>
  <si>
    <t>2023R-0734</t>
  </si>
  <si>
    <t>52-010-118-00</t>
  </si>
  <si>
    <t>128 S ST JOHNS ST</t>
  </si>
  <si>
    <t>2021-01084-1022</t>
  </si>
  <si>
    <t>52-010-162-00</t>
  </si>
  <si>
    <t>222 S MAIN ST</t>
  </si>
  <si>
    <t>1103/1285</t>
  </si>
  <si>
    <t>52-010-203-00</t>
  </si>
  <si>
    <t>215 S JEFFERY AVE</t>
  </si>
  <si>
    <t>1117-0856</t>
  </si>
  <si>
    <t>52-010-207-00</t>
  </si>
  <si>
    <t>204 S ST JOHNS ST</t>
  </si>
  <si>
    <t>01112/01104</t>
  </si>
  <si>
    <t>52-010-210-00</t>
  </si>
  <si>
    <t>218 S ST JOHNS ST</t>
  </si>
  <si>
    <t>01113/00796</t>
  </si>
  <si>
    <t>52-010-220-00</t>
  </si>
  <si>
    <t>205 S ITHACA ST</t>
  </si>
  <si>
    <t>2021-00752-00753</t>
  </si>
  <si>
    <t>52-010-223-00</t>
  </si>
  <si>
    <t>328 S ST JOHNS ST</t>
  </si>
  <si>
    <t>L1080 P1021</t>
  </si>
  <si>
    <t>52-010-226-00</t>
  </si>
  <si>
    <t>307 S ITHACA ST</t>
  </si>
  <si>
    <t>2023R-1862</t>
  </si>
  <si>
    <t>52-010-239-00</t>
  </si>
  <si>
    <t>212 E SOUTH ST</t>
  </si>
  <si>
    <t>52-010-241-00</t>
  </si>
  <si>
    <t>315 S MAIN ST</t>
  </si>
  <si>
    <t>01112/01083</t>
  </si>
  <si>
    <t>52-010-242-00</t>
  </si>
  <si>
    <t>323 S MAIN ST</t>
  </si>
  <si>
    <t>2023R-2071</t>
  </si>
  <si>
    <t>UNPLATTED</t>
  </si>
  <si>
    <t>S ST JOHNS ST</t>
  </si>
  <si>
    <t>LARGE FF</t>
  </si>
  <si>
    <t>52-060-018-10</t>
  </si>
  <si>
    <t>213 BARBER ST</t>
  </si>
  <si>
    <t>1101/0214</t>
  </si>
  <si>
    <t>52-060-028-01</t>
  </si>
  <si>
    <t>266 E ST CHARLES RD</t>
  </si>
  <si>
    <t>2021-00067-00068</t>
  </si>
  <si>
    <t>52-060-031-00</t>
  </si>
  <si>
    <t>807 N UNION ST</t>
  </si>
  <si>
    <t>2021-01087-00013</t>
  </si>
  <si>
    <t>52-060-041-00</t>
  </si>
  <si>
    <t>605 BARBER ST</t>
  </si>
  <si>
    <t>2023R-1429</t>
  </si>
  <si>
    <t>52-060-051-50</t>
  </si>
  <si>
    <t>540 NORTON GIBBS DR</t>
  </si>
  <si>
    <t>2023R-0535</t>
  </si>
  <si>
    <t>52-060-052-70</t>
  </si>
  <si>
    <t>401 BARBER ST</t>
  </si>
  <si>
    <t>19-MULTI PARCEL ARM'S LENGTH</t>
  </si>
  <si>
    <t>52-060-059-00</t>
  </si>
  <si>
    <t>832 N PINE RIVER ST</t>
  </si>
  <si>
    <t>L1454 P1455</t>
  </si>
  <si>
    <t>52-060-061-00</t>
  </si>
  <si>
    <t>838 N PINE RIVER ST</t>
  </si>
  <si>
    <t>16-LC PAYOFF</t>
  </si>
  <si>
    <t>1081-1306</t>
  </si>
  <si>
    <t>CLARKE'S REPLAT</t>
  </si>
  <si>
    <t>52-070-040-00</t>
  </si>
  <si>
    <t>717 S PINE RIVER ST</t>
  </si>
  <si>
    <t>2022-01095-01060</t>
  </si>
  <si>
    <t>52-070-044-00</t>
  </si>
  <si>
    <t>S PINE RIVER ST</t>
  </si>
  <si>
    <t>L1079 P1055</t>
  </si>
  <si>
    <t>52-080-008-00</t>
  </si>
  <si>
    <t>540 W CENTER ST</t>
  </si>
  <si>
    <t>1108/448</t>
  </si>
  <si>
    <t>52-080-010-01</t>
  </si>
  <si>
    <t>52-080-010-12</t>
  </si>
  <si>
    <t>W ST CHARLES RD</t>
  </si>
  <si>
    <t>LC</t>
  </si>
  <si>
    <t>52-080-010-20, 52-750-004-00</t>
  </si>
  <si>
    <t>C FF</t>
  </si>
  <si>
    <t>SITE FF</t>
  </si>
  <si>
    <t>52-080-023-00</t>
  </si>
  <si>
    <t>743 N PINE RIVER ST</t>
  </si>
  <si>
    <t>2021-01085-00182</t>
  </si>
  <si>
    <t>T.S. BARNES</t>
  </si>
  <si>
    <t>52-104-014-00</t>
  </si>
  <si>
    <t>601 E CENTER ST</t>
  </si>
  <si>
    <t>52-105-013-00</t>
  </si>
  <si>
    <t>601 E EMERSON ST</t>
  </si>
  <si>
    <t>1081-1248</t>
  </si>
  <si>
    <t>52-106-009-00</t>
  </si>
  <si>
    <t>625 E NORTH ST</t>
  </si>
  <si>
    <t>1102/1233</t>
  </si>
  <si>
    <t>52-106-010-00</t>
  </si>
  <si>
    <t>631 E NORTH ST</t>
  </si>
  <si>
    <t>2022-1108-1373</t>
  </si>
  <si>
    <t>52-153-002-00</t>
  </si>
  <si>
    <t>724 E NORTH ST</t>
  </si>
  <si>
    <t>52-654-028-10</t>
  </si>
  <si>
    <t>CHURCH'S ADDITION</t>
  </si>
  <si>
    <t>52-154-003-00</t>
  </si>
  <si>
    <t>730 E ARCADA ST</t>
  </si>
  <si>
    <t>2022-1109-657</t>
  </si>
  <si>
    <t>52-154-005-00</t>
  </si>
  <si>
    <t>330 N UNION ST</t>
  </si>
  <si>
    <t>2022-1109-873</t>
  </si>
  <si>
    <t>52-155-001-00</t>
  </si>
  <si>
    <t>910 E ARCADA ST</t>
  </si>
  <si>
    <t>2021-1094-1143</t>
  </si>
  <si>
    <t>52-155-002-00</t>
  </si>
  <si>
    <t>52-155-004-10</t>
  </si>
  <si>
    <t>804 E ARCADA ST</t>
  </si>
  <si>
    <t>2021-1093-271</t>
  </si>
  <si>
    <t>52-155-010-00</t>
  </si>
  <si>
    <t>831 E NORTH ST</t>
  </si>
  <si>
    <t>01095-01403</t>
  </si>
  <si>
    <t>52-161-001-00</t>
  </si>
  <si>
    <t>327 N ITHACA ST</t>
  </si>
  <si>
    <t>2023R-2016</t>
  </si>
  <si>
    <t>52-163-002-10</t>
  </si>
  <si>
    <t>416 N ITHACA ST</t>
  </si>
  <si>
    <t>2021-01088-00157</t>
  </si>
  <si>
    <t>52-166-001-00</t>
  </si>
  <si>
    <t>511 N ITHACA ST</t>
  </si>
  <si>
    <t>52-166-002-00</t>
  </si>
  <si>
    <t>52-166-009-00</t>
  </si>
  <si>
    <t>535 N ITHACA ST</t>
  </si>
  <si>
    <t>2021-1094-1052</t>
  </si>
  <si>
    <t>GWINNER'S ADDITION</t>
  </si>
  <si>
    <t>52-201-002-50</t>
  </si>
  <si>
    <t>111 S GWINNER ST</t>
  </si>
  <si>
    <t>2021-00308-00309</t>
  </si>
  <si>
    <t>52-201-007-00</t>
  </si>
  <si>
    <t>610 E CENTER ST</t>
  </si>
  <si>
    <t>01110/00415</t>
  </si>
  <si>
    <t>52-202-009-00</t>
  </si>
  <si>
    <t>218 S GWINNER ST</t>
  </si>
  <si>
    <t>2021-01088-00242</t>
  </si>
  <si>
    <t>52-203-005-00</t>
  </si>
  <si>
    <t>614 E SOUTH ST</t>
  </si>
  <si>
    <t>1106/620</t>
  </si>
  <si>
    <t>52-257-006-50</t>
  </si>
  <si>
    <t>115 E NORTH ST</t>
  </si>
  <si>
    <t>L1079 P785</t>
  </si>
  <si>
    <t>JEFFERY'S ADDITION</t>
  </si>
  <si>
    <t>52-257-007-00</t>
  </si>
  <si>
    <t>119 E NORTH ST</t>
  </si>
  <si>
    <t>2023R-0336</t>
  </si>
  <si>
    <t>52-257-005-50, 52-653-024-40</t>
  </si>
  <si>
    <t>52-260-012-00</t>
  </si>
  <si>
    <t>329 N JEFFERY AVE</t>
  </si>
  <si>
    <t>UNRCRDED</t>
  </si>
  <si>
    <t>52-402-003-00</t>
  </si>
  <si>
    <t>425 E CENTER ST</t>
  </si>
  <si>
    <t>2021-01085-00431</t>
  </si>
  <si>
    <t>NORTHEAST ITHACA PLAT</t>
  </si>
  <si>
    <t>52-402-009-00</t>
  </si>
  <si>
    <t>127 N ST JOHNS ST</t>
  </si>
  <si>
    <t>1081-1267</t>
  </si>
  <si>
    <t>52-402-012-00</t>
  </si>
  <si>
    <t>126 N ITHACA ST</t>
  </si>
  <si>
    <t>1102/0331</t>
  </si>
  <si>
    <t>52-402-015-00</t>
  </si>
  <si>
    <t>112 N ITHACA ST</t>
  </si>
  <si>
    <t>2022-1109-1032</t>
  </si>
  <si>
    <t>52-405-004-00</t>
  </si>
  <si>
    <t>207 N ST JOHNS ST</t>
  </si>
  <si>
    <t>L1079 P1224</t>
  </si>
  <si>
    <t>52-405-007-00</t>
  </si>
  <si>
    <t>410 E NORTH ST</t>
  </si>
  <si>
    <t>52-405-009-00</t>
  </si>
  <si>
    <t>404 E NORTH ST</t>
  </si>
  <si>
    <t>2021-01086-00072</t>
  </si>
  <si>
    <t>52-409-001-00</t>
  </si>
  <si>
    <t>511 E NORTH ST</t>
  </si>
  <si>
    <t>MLC</t>
  </si>
  <si>
    <t>2023R-0157</t>
  </si>
  <si>
    <t>52-451-001-00</t>
  </si>
  <si>
    <t>429 N PINE RIVER ST</t>
  </si>
  <si>
    <t>1108/1021</t>
  </si>
  <si>
    <t>PHILLIP'S ADDITION</t>
  </si>
  <si>
    <t>52-451-003-00</t>
  </si>
  <si>
    <t>421 N PINE RIVER ST</t>
  </si>
  <si>
    <t>L1081 P430</t>
  </si>
  <si>
    <t>52-451-009-50</t>
  </si>
  <si>
    <t>410 N MAPLE ST</t>
  </si>
  <si>
    <t>2021-1091-962</t>
  </si>
  <si>
    <t>52-451-011-00</t>
  </si>
  <si>
    <t>418 N MAPLE ST</t>
  </si>
  <si>
    <t>2022-1096-69</t>
  </si>
  <si>
    <t>52-451-013-00</t>
  </si>
  <si>
    <t>426 N MAPLE ST</t>
  </si>
  <si>
    <t>L1081 P088</t>
  </si>
  <si>
    <t>52-554-011-00</t>
  </si>
  <si>
    <t>226 S NELSON ST</t>
  </si>
  <si>
    <t>4030</t>
  </si>
  <si>
    <t>2021-01088-01170</t>
  </si>
  <si>
    <t>52-556-022-00</t>
  </si>
  <si>
    <t>217 S BROWN ST</t>
  </si>
  <si>
    <t>2022-1110-42</t>
  </si>
  <si>
    <t>SUPERVISOR'S PLAT</t>
  </si>
  <si>
    <t>52-651-006-00</t>
  </si>
  <si>
    <t>519 N JEFFERY AVE</t>
  </si>
  <si>
    <t>2021-01089-01232</t>
  </si>
  <si>
    <t>52-651-008-00</t>
  </si>
  <si>
    <t>520 N MAIN ST</t>
  </si>
  <si>
    <t>L1079 P1475</t>
  </si>
  <si>
    <t>52-651-010-60</t>
  </si>
  <si>
    <t>112 BARBER ST</t>
  </si>
  <si>
    <t>L1080 P1100</t>
  </si>
  <si>
    <t>52-651-011-25</t>
  </si>
  <si>
    <t>535 N MAIN ST</t>
  </si>
  <si>
    <t>01114/00816</t>
  </si>
  <si>
    <t>52-652-019-00</t>
  </si>
  <si>
    <t>321 E NORTH ST</t>
  </si>
  <si>
    <t>2021-01087-1101</t>
  </si>
  <si>
    <t>52-654-030-01</t>
  </si>
  <si>
    <t>821 E EMERSON ST</t>
  </si>
  <si>
    <t>1106/260</t>
  </si>
  <si>
    <t>52-654-032-00</t>
  </si>
  <si>
    <t>721 E EMERSON ST</t>
  </si>
  <si>
    <t>2021-1092-1190</t>
  </si>
  <si>
    <t>LARGER FF</t>
  </si>
  <si>
    <t>52-655-080-00</t>
  </si>
  <si>
    <t>514 N ELM ST</t>
  </si>
  <si>
    <t>52-655-081-00</t>
  </si>
  <si>
    <t>520 N ELM ST</t>
  </si>
  <si>
    <t>1103/604</t>
  </si>
  <si>
    <t>52-655-095-00</t>
  </si>
  <si>
    <t>418 N ELM ST</t>
  </si>
  <si>
    <t>2021-01085-00123</t>
  </si>
  <si>
    <t>1108/0621</t>
  </si>
  <si>
    <t>52-656-102-00</t>
  </si>
  <si>
    <t>108 S ELM ST</t>
  </si>
  <si>
    <t>1104/395</t>
  </si>
  <si>
    <t>52-656-103-00</t>
  </si>
  <si>
    <t>321 W CENTER ST</t>
  </si>
  <si>
    <t>1105/1100</t>
  </si>
  <si>
    <t>52-657-111-30</t>
  </si>
  <si>
    <t>109 WEBSTER ST</t>
  </si>
  <si>
    <t>52-658-124-00</t>
  </si>
  <si>
    <t>630 S PINE RIVER ST</t>
  </si>
  <si>
    <t>01110/00237</t>
  </si>
  <si>
    <t>52-659-130-00</t>
  </si>
  <si>
    <t>411 S MAIN ST</t>
  </si>
  <si>
    <t>1106/304</t>
  </si>
  <si>
    <t>52-659-139-50</t>
  </si>
  <si>
    <t>516 S JEFFERY AVE</t>
  </si>
  <si>
    <t>1108/435</t>
  </si>
  <si>
    <t>52-659-157-00</t>
  </si>
  <si>
    <t>502 S ITHACA ST</t>
  </si>
  <si>
    <t>2023R-0781</t>
  </si>
  <si>
    <t>52-659-165-80</t>
  </si>
  <si>
    <t>620 S ITHACA ST</t>
  </si>
  <si>
    <t>1116-0316</t>
  </si>
  <si>
    <t>52-659-180-01</t>
  </si>
  <si>
    <t>618 S ST JOHNS ST</t>
  </si>
  <si>
    <t>52-659-180-30</t>
  </si>
  <si>
    <t>52-663-051-20</t>
  </si>
  <si>
    <t>001</t>
  </si>
  <si>
    <t>52-663-055-00</t>
  </si>
  <si>
    <t>514 E NEWARK ST</t>
  </si>
  <si>
    <t>2021-01086-00104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</si>
  <si>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</si>
  <si>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</si>
  <si>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</si>
  <si>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</si>
  <si>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</si>
  <si>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</si>
  <si>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</si>
  <si>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$424 CALCULATED, $300 APPLIED </t>
  </si>
  <si>
    <t>RESIDENTIAL LAND FOR  BECKER, CHURCHS, CLARKES, GWINNERS, JEFFREYS, NORTHEAST, ORIGINAL, PHILLIPS, SUPERVISORS, TS BARNES, UNPLATTED, UNPLATTED AG, UPPER &amp; WESTWINDS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</si>
</sst>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5375-AAD7-4FB3-84CB-61DC90381E7F}">
  <dimension ref="A1:BL112"/>
  <sheetViews>
    <sheetView tabSelected="1" topLeftCell="A97" workbookViewId="0">
      <selection activeCell="A111" sqref="A111:XFD111"/>
    </sheetView>
  </sheetViews>
  <sheetFormatPr defaultRowHeight="15" x14ac:dyDescent="0.25"/>
  <cols>
    <col min="1" max="1" width="14.28515625" bestFit="1" customWidth="1"/>
    <col min="2" max="2" width="22.7109375" bestFit="1" customWidth="1"/>
    <col min="3" max="3" width="9.28515625" style="27" bestFit="1" customWidth="1"/>
    <col min="4" max="4" width="11.85546875" style="17" bestFit="1" customWidth="1"/>
    <col min="5" max="5" width="5.5703125" bestFit="1" customWidth="1"/>
    <col min="6" max="6" width="30.140625" bestFit="1" customWidth="1"/>
    <col min="7" max="7" width="11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7.28515625" style="36" bestFit="1" customWidth="1"/>
    <col min="15" max="15" width="14.28515625" style="41" bestFit="1" customWidth="1"/>
    <col min="16" max="16" width="10.71093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6.5703125" bestFit="1" customWidth="1"/>
    <col min="23" max="23" width="26.85546875" bestFit="1" customWidth="1"/>
    <col min="24" max="24" width="25.28515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99</v>
      </c>
      <c r="B2" t="s">
        <v>100</v>
      </c>
      <c r="C2" s="27">
        <v>45163</v>
      </c>
      <c r="D2" s="17">
        <v>90000</v>
      </c>
      <c r="E2" t="s">
        <v>101</v>
      </c>
      <c r="F2" t="s">
        <v>45</v>
      </c>
      <c r="G2" s="17">
        <v>90000</v>
      </c>
      <c r="H2" s="17">
        <v>46800</v>
      </c>
      <c r="I2" s="22">
        <f t="shared" ref="I2:I33" si="0">H2/G2*100</f>
        <v>52</v>
      </c>
      <c r="J2" s="17">
        <v>99897</v>
      </c>
      <c r="K2" s="17">
        <f>G2-88677</f>
        <v>1323</v>
      </c>
      <c r="L2" s="17">
        <v>11220</v>
      </c>
      <c r="M2" s="32">
        <v>82.5</v>
      </c>
      <c r="N2" s="36">
        <v>74</v>
      </c>
      <c r="O2" s="41">
        <v>0.14000000000000001</v>
      </c>
      <c r="P2" s="41">
        <v>0.14000000000000001</v>
      </c>
      <c r="Q2" s="17">
        <f t="shared" ref="Q2:Q33" si="1">K2/M2</f>
        <v>16.036363636363635</v>
      </c>
      <c r="R2" s="17">
        <f t="shared" ref="R2:R33" si="2">K2/O2</f>
        <v>9450</v>
      </c>
      <c r="S2" s="46">
        <f t="shared" ref="S2:S33" si="3">K2/O2/43560</f>
        <v>0.21694214876033058</v>
      </c>
      <c r="T2" s="41">
        <v>82.5</v>
      </c>
      <c r="U2" s="6" t="s">
        <v>82</v>
      </c>
      <c r="V2" t="s">
        <v>102</v>
      </c>
      <c r="X2" t="s">
        <v>84</v>
      </c>
      <c r="Y2">
        <v>0</v>
      </c>
      <c r="Z2">
        <v>1</v>
      </c>
      <c r="AA2" s="7">
        <v>44712</v>
      </c>
      <c r="AB2" t="s">
        <v>88</v>
      </c>
      <c r="AC2" s="8" t="s">
        <v>48</v>
      </c>
      <c r="AD2" t="s">
        <v>91</v>
      </c>
    </row>
    <row r="3" spans="1:64" x14ac:dyDescent="0.25">
      <c r="A3" t="s">
        <v>246</v>
      </c>
      <c r="B3" t="s">
        <v>247</v>
      </c>
      <c r="C3" s="27">
        <v>44379</v>
      </c>
      <c r="D3" s="17">
        <v>120000</v>
      </c>
      <c r="E3" t="s">
        <v>44</v>
      </c>
      <c r="F3" t="s">
        <v>45</v>
      </c>
      <c r="G3" s="17">
        <v>120000</v>
      </c>
      <c r="H3" s="17">
        <v>51800</v>
      </c>
      <c r="I3" s="22">
        <f t="shared" si="0"/>
        <v>43.166666666666664</v>
      </c>
      <c r="J3" s="17">
        <v>138151</v>
      </c>
      <c r="K3" s="17">
        <f>G3-117151</f>
        <v>2849</v>
      </c>
      <c r="L3" s="17">
        <v>21000</v>
      </c>
      <c r="M3" s="32">
        <v>70</v>
      </c>
      <c r="N3" s="36">
        <v>82.5</v>
      </c>
      <c r="O3" s="41">
        <v>0.13300000000000001</v>
      </c>
      <c r="P3" s="41">
        <v>0.13300000000000001</v>
      </c>
      <c r="Q3" s="17">
        <f t="shared" si="1"/>
        <v>40.700000000000003</v>
      </c>
      <c r="R3" s="17">
        <f t="shared" si="2"/>
        <v>21421.052631578947</v>
      </c>
      <c r="S3" s="46">
        <f t="shared" si="3"/>
        <v>0.49175970228601806</v>
      </c>
      <c r="T3" s="41">
        <v>70</v>
      </c>
      <c r="U3" s="6" t="s">
        <v>82</v>
      </c>
      <c r="V3" t="s">
        <v>248</v>
      </c>
      <c r="X3" t="s">
        <v>245</v>
      </c>
      <c r="Y3">
        <v>0</v>
      </c>
      <c r="Z3">
        <v>1</v>
      </c>
      <c r="AA3" s="7">
        <v>33065</v>
      </c>
      <c r="AC3" s="8" t="s">
        <v>48</v>
      </c>
      <c r="AD3" t="s">
        <v>49</v>
      </c>
    </row>
    <row r="4" spans="1:64" x14ac:dyDescent="0.25">
      <c r="A4" t="s">
        <v>109</v>
      </c>
      <c r="B4" t="s">
        <v>110</v>
      </c>
      <c r="C4" s="27">
        <v>44624</v>
      </c>
      <c r="D4" s="17">
        <v>75000</v>
      </c>
      <c r="E4" t="s">
        <v>44</v>
      </c>
      <c r="F4" t="s">
        <v>45</v>
      </c>
      <c r="G4" s="17">
        <v>75000</v>
      </c>
      <c r="H4" s="17">
        <v>32800</v>
      </c>
      <c r="I4" s="22">
        <f t="shared" si="0"/>
        <v>43.733333333333334</v>
      </c>
      <c r="J4" s="17">
        <v>96119</v>
      </c>
      <c r="K4" s="17">
        <f>G4-71369</f>
        <v>3631</v>
      </c>
      <c r="L4" s="17">
        <v>24750</v>
      </c>
      <c r="M4" s="32">
        <v>82.5</v>
      </c>
      <c r="N4" s="36">
        <v>82</v>
      </c>
      <c r="O4" s="41">
        <v>0.155</v>
      </c>
      <c r="P4" s="41">
        <v>0.155</v>
      </c>
      <c r="Q4" s="17">
        <f t="shared" si="1"/>
        <v>44.012121212121215</v>
      </c>
      <c r="R4" s="17">
        <f t="shared" si="2"/>
        <v>23425.806451612902</v>
      </c>
      <c r="S4" s="46">
        <f t="shared" si="3"/>
        <v>0.53778251725465798</v>
      </c>
      <c r="T4" s="41">
        <v>82.5</v>
      </c>
      <c r="U4" s="6" t="s">
        <v>82</v>
      </c>
      <c r="X4" t="s">
        <v>84</v>
      </c>
      <c r="Y4">
        <v>0</v>
      </c>
      <c r="Z4">
        <v>1</v>
      </c>
      <c r="AA4" s="7">
        <v>44697</v>
      </c>
      <c r="AC4" s="8" t="s">
        <v>48</v>
      </c>
      <c r="AD4" t="s">
        <v>49</v>
      </c>
    </row>
    <row r="5" spans="1:64" x14ac:dyDescent="0.25">
      <c r="A5" t="s">
        <v>112</v>
      </c>
      <c r="B5" t="s">
        <v>113</v>
      </c>
      <c r="C5" s="27">
        <v>44861</v>
      </c>
      <c r="D5" s="17">
        <v>60000</v>
      </c>
      <c r="E5" t="s">
        <v>44</v>
      </c>
      <c r="F5" t="s">
        <v>45</v>
      </c>
      <c r="G5" s="17">
        <v>60000</v>
      </c>
      <c r="H5" s="17">
        <v>26600</v>
      </c>
      <c r="I5" s="22">
        <f t="shared" si="0"/>
        <v>44.333333333333336</v>
      </c>
      <c r="J5" s="17">
        <v>67827</v>
      </c>
      <c r="K5" s="17">
        <f>G5-55455</f>
        <v>4545</v>
      </c>
      <c r="L5" s="17">
        <v>12372</v>
      </c>
      <c r="M5" s="32">
        <v>41.24</v>
      </c>
      <c r="N5" s="36">
        <v>115.5</v>
      </c>
      <c r="O5" s="41">
        <v>0.109</v>
      </c>
      <c r="P5" s="41">
        <v>0.109</v>
      </c>
      <c r="Q5" s="17">
        <f t="shared" si="1"/>
        <v>110.20853540252182</v>
      </c>
      <c r="R5" s="17">
        <f t="shared" si="2"/>
        <v>41697.247706422022</v>
      </c>
      <c r="S5" s="46">
        <f t="shared" si="3"/>
        <v>0.95723709151565706</v>
      </c>
      <c r="T5" s="41">
        <v>41.24</v>
      </c>
      <c r="U5" s="6" t="s">
        <v>82</v>
      </c>
      <c r="V5" t="s">
        <v>114</v>
      </c>
      <c r="X5" t="s">
        <v>84</v>
      </c>
      <c r="Y5">
        <v>0</v>
      </c>
      <c r="Z5">
        <v>1</v>
      </c>
      <c r="AA5" s="7">
        <v>33065</v>
      </c>
      <c r="AC5" s="8" t="s">
        <v>48</v>
      </c>
      <c r="AD5" t="s">
        <v>49</v>
      </c>
    </row>
    <row r="6" spans="1:64" x14ac:dyDescent="0.25">
      <c r="A6" t="s">
        <v>282</v>
      </c>
      <c r="B6" t="s">
        <v>283</v>
      </c>
      <c r="C6" s="27">
        <v>44316</v>
      </c>
      <c r="D6" s="17">
        <v>78500</v>
      </c>
      <c r="E6" t="s">
        <v>44</v>
      </c>
      <c r="F6" t="s">
        <v>45</v>
      </c>
      <c r="G6" s="17">
        <v>78500</v>
      </c>
      <c r="H6" s="17">
        <v>31700</v>
      </c>
      <c r="I6" s="22">
        <f t="shared" si="0"/>
        <v>40.382165605095544</v>
      </c>
      <c r="J6" s="17">
        <v>83009</v>
      </c>
      <c r="K6" s="17">
        <f>G6-71009</f>
        <v>7491</v>
      </c>
      <c r="L6" s="17">
        <v>12000</v>
      </c>
      <c r="M6" s="32">
        <v>40</v>
      </c>
      <c r="N6" s="36">
        <v>165</v>
      </c>
      <c r="O6" s="41">
        <v>0.152</v>
      </c>
      <c r="P6" s="41">
        <v>0.152</v>
      </c>
      <c r="Q6" s="17">
        <f t="shared" si="1"/>
        <v>187.27500000000001</v>
      </c>
      <c r="R6" s="17">
        <f t="shared" si="2"/>
        <v>49282.894736842107</v>
      </c>
      <c r="S6" s="46">
        <f t="shared" si="3"/>
        <v>1.1313795853269537</v>
      </c>
      <c r="T6" s="41">
        <v>40</v>
      </c>
      <c r="U6" s="6" t="s">
        <v>82</v>
      </c>
      <c r="V6" t="s">
        <v>284</v>
      </c>
      <c r="X6" t="s">
        <v>272</v>
      </c>
      <c r="Y6">
        <v>0</v>
      </c>
      <c r="Z6">
        <v>1</v>
      </c>
      <c r="AA6" s="7">
        <v>44461</v>
      </c>
      <c r="AC6" s="8" t="s">
        <v>48</v>
      </c>
      <c r="AD6" t="s">
        <v>49</v>
      </c>
    </row>
    <row r="7" spans="1:64" x14ac:dyDescent="0.25">
      <c r="A7" t="s">
        <v>340</v>
      </c>
      <c r="B7" t="s">
        <v>341</v>
      </c>
      <c r="C7" s="27">
        <v>44351</v>
      </c>
      <c r="D7" s="17">
        <v>80000</v>
      </c>
      <c r="E7" t="s">
        <v>44</v>
      </c>
      <c r="F7" t="s">
        <v>45</v>
      </c>
      <c r="G7" s="17">
        <v>80000</v>
      </c>
      <c r="H7" s="17">
        <v>33600</v>
      </c>
      <c r="I7" s="22">
        <f t="shared" si="0"/>
        <v>42</v>
      </c>
      <c r="J7" s="17">
        <v>89344</v>
      </c>
      <c r="K7" s="17">
        <f>G7-69544</f>
        <v>10456</v>
      </c>
      <c r="L7" s="17">
        <v>19800</v>
      </c>
      <c r="M7" s="32">
        <v>66</v>
      </c>
      <c r="N7" s="36">
        <v>165</v>
      </c>
      <c r="O7" s="41">
        <v>0.25</v>
      </c>
      <c r="P7" s="41">
        <v>0.25</v>
      </c>
      <c r="Q7" s="17">
        <f t="shared" si="1"/>
        <v>158.42424242424244</v>
      </c>
      <c r="R7" s="17">
        <f t="shared" si="2"/>
        <v>41824</v>
      </c>
      <c r="S7" s="46">
        <f t="shared" si="3"/>
        <v>0.96014692378328736</v>
      </c>
      <c r="T7" s="41">
        <v>66</v>
      </c>
      <c r="U7" s="6" t="s">
        <v>82</v>
      </c>
      <c r="V7" t="s">
        <v>58</v>
      </c>
      <c r="X7" t="s">
        <v>317</v>
      </c>
      <c r="Y7">
        <v>0</v>
      </c>
      <c r="Z7">
        <v>1</v>
      </c>
      <c r="AA7" s="7">
        <v>44461</v>
      </c>
      <c r="AC7" s="8" t="s">
        <v>48</v>
      </c>
      <c r="AD7" t="s">
        <v>91</v>
      </c>
    </row>
    <row r="8" spans="1:64" x14ac:dyDescent="0.25">
      <c r="A8" t="s">
        <v>71</v>
      </c>
      <c r="B8" t="s">
        <v>72</v>
      </c>
      <c r="C8" s="27">
        <v>44648</v>
      </c>
      <c r="D8" s="17">
        <v>11000</v>
      </c>
      <c r="E8" t="s">
        <v>44</v>
      </c>
      <c r="F8" t="s">
        <v>45</v>
      </c>
      <c r="G8" s="17">
        <v>11000</v>
      </c>
      <c r="H8" s="17">
        <v>10800</v>
      </c>
      <c r="I8" s="22">
        <f t="shared" si="0"/>
        <v>98.181818181818187</v>
      </c>
      <c r="J8" s="17">
        <v>24300</v>
      </c>
      <c r="K8" s="17">
        <f>G8-0</f>
        <v>11000</v>
      </c>
      <c r="L8" s="17">
        <v>24300</v>
      </c>
      <c r="M8" s="32">
        <v>90</v>
      </c>
      <c r="N8" s="36">
        <v>147.134995</v>
      </c>
      <c r="O8" s="41">
        <v>0.30399999999999999</v>
      </c>
      <c r="P8" s="41">
        <v>0.30399999999999999</v>
      </c>
      <c r="Q8" s="17">
        <f t="shared" si="1"/>
        <v>122.22222222222223</v>
      </c>
      <c r="R8" s="17">
        <f t="shared" si="2"/>
        <v>36184.210526315794</v>
      </c>
      <c r="S8" s="46">
        <f t="shared" si="3"/>
        <v>0.83067517278043601</v>
      </c>
      <c r="T8" s="41">
        <v>90</v>
      </c>
      <c r="U8" s="6" t="s">
        <v>46</v>
      </c>
      <c r="V8" t="s">
        <v>73</v>
      </c>
      <c r="X8" t="s">
        <v>69</v>
      </c>
      <c r="Y8">
        <v>0</v>
      </c>
      <c r="Z8">
        <v>1</v>
      </c>
      <c r="AA8" t="s">
        <v>74</v>
      </c>
      <c r="AC8" s="8" t="s">
        <v>75</v>
      </c>
      <c r="AD8" t="s">
        <v>49</v>
      </c>
    </row>
    <row r="9" spans="1:64" x14ac:dyDescent="0.25">
      <c r="A9" t="s">
        <v>177</v>
      </c>
      <c r="B9" t="s">
        <v>178</v>
      </c>
      <c r="C9" s="27">
        <v>44334</v>
      </c>
      <c r="D9" s="17">
        <v>130000</v>
      </c>
      <c r="E9" t="s">
        <v>44</v>
      </c>
      <c r="F9" t="s">
        <v>179</v>
      </c>
      <c r="G9" s="17">
        <v>130000</v>
      </c>
      <c r="H9" s="17">
        <v>54900</v>
      </c>
      <c r="I9" s="22">
        <f t="shared" si="0"/>
        <v>42.230769230769234</v>
      </c>
      <c r="J9" s="17">
        <v>149341</v>
      </c>
      <c r="K9" s="17">
        <f>G9-118816</f>
        <v>11184</v>
      </c>
      <c r="L9" s="17">
        <v>30525</v>
      </c>
      <c r="M9" s="32">
        <v>165</v>
      </c>
      <c r="N9" s="36">
        <v>264</v>
      </c>
      <c r="O9" s="41">
        <v>1</v>
      </c>
      <c r="P9" s="41">
        <v>1</v>
      </c>
      <c r="Q9" s="17">
        <f t="shared" si="1"/>
        <v>67.781818181818181</v>
      </c>
      <c r="R9" s="17">
        <f t="shared" si="2"/>
        <v>11184</v>
      </c>
      <c r="S9" s="46">
        <f t="shared" si="3"/>
        <v>0.25674931129476586</v>
      </c>
      <c r="T9" s="41">
        <v>165</v>
      </c>
      <c r="U9" s="6" t="s">
        <v>82</v>
      </c>
      <c r="V9" t="s">
        <v>180</v>
      </c>
      <c r="X9" t="s">
        <v>153</v>
      </c>
      <c r="Y9">
        <v>0</v>
      </c>
      <c r="Z9">
        <v>1</v>
      </c>
      <c r="AA9" s="7">
        <v>44461</v>
      </c>
      <c r="AC9" s="8" t="s">
        <v>48</v>
      </c>
      <c r="AD9" t="s">
        <v>49</v>
      </c>
    </row>
    <row r="10" spans="1:64" x14ac:dyDescent="0.25">
      <c r="A10" t="s">
        <v>314</v>
      </c>
      <c r="B10" t="s">
        <v>315</v>
      </c>
      <c r="C10" s="27">
        <v>44826</v>
      </c>
      <c r="D10" s="17">
        <v>121000</v>
      </c>
      <c r="E10" t="s">
        <v>44</v>
      </c>
      <c r="F10" t="s">
        <v>45</v>
      </c>
      <c r="G10" s="17">
        <v>121000</v>
      </c>
      <c r="H10" s="17">
        <v>55100</v>
      </c>
      <c r="I10" s="22">
        <f t="shared" si="0"/>
        <v>45.537190082644628</v>
      </c>
      <c r="J10" s="17">
        <v>135769</v>
      </c>
      <c r="K10" s="17">
        <f>G10-109519</f>
        <v>11481</v>
      </c>
      <c r="L10" s="17">
        <v>26250</v>
      </c>
      <c r="M10" s="32">
        <v>87.5</v>
      </c>
      <c r="N10" s="36">
        <v>156.75</v>
      </c>
      <c r="O10" s="41">
        <v>0.315</v>
      </c>
      <c r="P10" s="41">
        <v>0.315</v>
      </c>
      <c r="Q10" s="17">
        <f t="shared" si="1"/>
        <v>131.21142857142857</v>
      </c>
      <c r="R10" s="17">
        <f t="shared" si="2"/>
        <v>36447.619047619046</v>
      </c>
      <c r="S10" s="46">
        <f t="shared" si="3"/>
        <v>0.83672220035856393</v>
      </c>
      <c r="T10" s="41">
        <v>87.5</v>
      </c>
      <c r="U10" s="6" t="s">
        <v>312</v>
      </c>
      <c r="V10" t="s">
        <v>316</v>
      </c>
      <c r="X10" t="s">
        <v>181</v>
      </c>
      <c r="Y10">
        <v>0</v>
      </c>
      <c r="Z10">
        <v>1</v>
      </c>
      <c r="AA10" s="7">
        <v>33430</v>
      </c>
      <c r="AC10" s="8" t="s">
        <v>48</v>
      </c>
      <c r="AD10" t="s">
        <v>49</v>
      </c>
    </row>
    <row r="11" spans="1:64" x14ac:dyDescent="0.25">
      <c r="A11" t="s">
        <v>310</v>
      </c>
      <c r="B11" t="s">
        <v>311</v>
      </c>
      <c r="C11" s="27">
        <v>44448</v>
      </c>
      <c r="D11" s="17">
        <v>11500</v>
      </c>
      <c r="E11" t="s">
        <v>58</v>
      </c>
      <c r="F11" t="s">
        <v>45</v>
      </c>
      <c r="G11" s="17">
        <v>11500</v>
      </c>
      <c r="H11" s="17">
        <v>15000</v>
      </c>
      <c r="I11" s="22">
        <f t="shared" si="0"/>
        <v>130.43478260869566</v>
      </c>
      <c r="J11" s="17">
        <v>30000</v>
      </c>
      <c r="K11" s="17">
        <f>G11-0</f>
        <v>11500</v>
      </c>
      <c r="L11" s="17">
        <v>30000</v>
      </c>
      <c r="M11" s="32">
        <v>100</v>
      </c>
      <c r="N11" s="36">
        <v>264</v>
      </c>
      <c r="O11" s="41">
        <v>0.60599999999999998</v>
      </c>
      <c r="P11" s="41">
        <v>0.60599999999999998</v>
      </c>
      <c r="Q11" s="17">
        <f t="shared" si="1"/>
        <v>115</v>
      </c>
      <c r="R11" s="17">
        <f t="shared" si="2"/>
        <v>18976.897689768979</v>
      </c>
      <c r="S11" s="46">
        <f t="shared" si="3"/>
        <v>0.43564962556861753</v>
      </c>
      <c r="T11" s="41">
        <v>100</v>
      </c>
      <c r="U11" s="6" t="s">
        <v>312</v>
      </c>
      <c r="V11" t="s">
        <v>313</v>
      </c>
      <c r="X11" t="s">
        <v>181</v>
      </c>
      <c r="Y11">
        <v>0</v>
      </c>
      <c r="Z11">
        <v>1</v>
      </c>
      <c r="AA11" s="7">
        <v>44454</v>
      </c>
      <c r="AC11" s="8" t="s">
        <v>75</v>
      </c>
      <c r="AD11" t="s">
        <v>49</v>
      </c>
    </row>
    <row r="12" spans="1:64" x14ac:dyDescent="0.25">
      <c r="A12" t="s">
        <v>324</v>
      </c>
      <c r="B12" t="s">
        <v>325</v>
      </c>
      <c r="C12" s="27">
        <v>44322</v>
      </c>
      <c r="D12" s="17">
        <v>212500</v>
      </c>
      <c r="E12" t="s">
        <v>44</v>
      </c>
      <c r="F12" t="s">
        <v>45</v>
      </c>
      <c r="G12" s="17">
        <v>212500</v>
      </c>
      <c r="H12" s="17">
        <v>63400</v>
      </c>
      <c r="I12" s="22">
        <f t="shared" si="0"/>
        <v>29.835294117647059</v>
      </c>
      <c r="J12" s="17">
        <v>220781</v>
      </c>
      <c r="K12" s="17">
        <f>G12-200981</f>
        <v>11519</v>
      </c>
      <c r="L12" s="17">
        <v>19800</v>
      </c>
      <c r="M12" s="32">
        <v>66</v>
      </c>
      <c r="N12" s="36">
        <v>82.5</v>
      </c>
      <c r="O12" s="41">
        <v>0.125</v>
      </c>
      <c r="P12" s="41">
        <v>0.125</v>
      </c>
      <c r="Q12" s="17">
        <f t="shared" si="1"/>
        <v>174.53030303030303</v>
      </c>
      <c r="R12" s="17">
        <f t="shared" si="2"/>
        <v>92152</v>
      </c>
      <c r="S12" s="46">
        <f t="shared" si="3"/>
        <v>2.1155188246097336</v>
      </c>
      <c r="T12" s="41">
        <v>66</v>
      </c>
      <c r="U12" s="6" t="s">
        <v>82</v>
      </c>
      <c r="V12" t="s">
        <v>326</v>
      </c>
      <c r="X12" t="s">
        <v>317</v>
      </c>
      <c r="Y12">
        <v>0</v>
      </c>
      <c r="Z12">
        <v>1</v>
      </c>
      <c r="AA12" s="7">
        <v>44419</v>
      </c>
      <c r="AC12" s="8" t="s">
        <v>48</v>
      </c>
      <c r="AD12" t="s">
        <v>91</v>
      </c>
    </row>
    <row r="13" spans="1:64" x14ac:dyDescent="0.25">
      <c r="A13" t="s">
        <v>103</v>
      </c>
      <c r="B13" t="s">
        <v>104</v>
      </c>
      <c r="C13" s="27">
        <v>44467</v>
      </c>
      <c r="D13" s="17">
        <v>109900</v>
      </c>
      <c r="E13" t="s">
        <v>44</v>
      </c>
      <c r="F13" t="s">
        <v>45</v>
      </c>
      <c r="G13" s="17">
        <v>109900</v>
      </c>
      <c r="H13" s="17">
        <v>36000</v>
      </c>
      <c r="I13" s="22">
        <f t="shared" si="0"/>
        <v>32.757051865332123</v>
      </c>
      <c r="J13" s="17">
        <v>112182</v>
      </c>
      <c r="K13" s="17">
        <f>G13-97332</f>
        <v>12568</v>
      </c>
      <c r="L13" s="17">
        <v>14850</v>
      </c>
      <c r="M13" s="32">
        <v>49.5</v>
      </c>
      <c r="N13" s="36">
        <v>107</v>
      </c>
      <c r="O13" s="41">
        <v>0.122</v>
      </c>
      <c r="P13" s="41">
        <v>0.122</v>
      </c>
      <c r="Q13" s="17">
        <f t="shared" si="1"/>
        <v>253.8989898989899</v>
      </c>
      <c r="R13" s="17">
        <f t="shared" si="2"/>
        <v>103016.39344262295</v>
      </c>
      <c r="S13" s="46">
        <f t="shared" si="3"/>
        <v>2.3649309789399209</v>
      </c>
      <c r="T13" s="41">
        <v>49.5</v>
      </c>
      <c r="U13" s="6" t="s">
        <v>82</v>
      </c>
      <c r="V13" t="s">
        <v>105</v>
      </c>
      <c r="X13" t="s">
        <v>84</v>
      </c>
      <c r="Y13">
        <v>0</v>
      </c>
      <c r="Z13">
        <v>1</v>
      </c>
      <c r="AA13" s="7">
        <v>44712</v>
      </c>
      <c r="AC13" s="8" t="s">
        <v>48</v>
      </c>
      <c r="AD13" t="s">
        <v>49</v>
      </c>
    </row>
    <row r="14" spans="1:64" x14ac:dyDescent="0.25">
      <c r="A14" t="s">
        <v>109</v>
      </c>
      <c r="B14" t="s">
        <v>110</v>
      </c>
      <c r="C14" s="27">
        <v>45093</v>
      </c>
      <c r="D14" s="17">
        <v>85000</v>
      </c>
      <c r="E14" t="s">
        <v>44</v>
      </c>
      <c r="F14" t="s">
        <v>45</v>
      </c>
      <c r="G14" s="17">
        <v>85000</v>
      </c>
      <c r="H14" s="17">
        <v>45500</v>
      </c>
      <c r="I14" s="22">
        <f t="shared" si="0"/>
        <v>53.529411764705884</v>
      </c>
      <c r="J14" s="17">
        <v>96119</v>
      </c>
      <c r="K14" s="17">
        <f>G14-71369</f>
        <v>13631</v>
      </c>
      <c r="L14" s="17">
        <v>24750</v>
      </c>
      <c r="M14" s="32">
        <v>82.5</v>
      </c>
      <c r="N14" s="36">
        <v>82</v>
      </c>
      <c r="O14" s="41">
        <v>0.155</v>
      </c>
      <c r="P14" s="41">
        <v>0.155</v>
      </c>
      <c r="Q14" s="17">
        <f t="shared" si="1"/>
        <v>165.22424242424242</v>
      </c>
      <c r="R14" s="17">
        <f t="shared" si="2"/>
        <v>87941.93548387097</v>
      </c>
      <c r="S14" s="46">
        <f t="shared" si="3"/>
        <v>2.0188690423294529</v>
      </c>
      <c r="T14" s="41">
        <v>82.5</v>
      </c>
      <c r="U14" s="6" t="s">
        <v>82</v>
      </c>
      <c r="V14" t="s">
        <v>111</v>
      </c>
      <c r="X14" t="s">
        <v>84</v>
      </c>
      <c r="Y14">
        <v>0</v>
      </c>
      <c r="Z14">
        <v>1</v>
      </c>
      <c r="AA14" s="7">
        <v>44697</v>
      </c>
      <c r="AC14" s="8" t="s">
        <v>48</v>
      </c>
      <c r="AD14" t="s">
        <v>49</v>
      </c>
    </row>
    <row r="15" spans="1:64" x14ac:dyDescent="0.25">
      <c r="A15" t="s">
        <v>345</v>
      </c>
      <c r="B15" t="s">
        <v>346</v>
      </c>
      <c r="C15" s="27">
        <v>44389</v>
      </c>
      <c r="D15" s="17">
        <v>112000</v>
      </c>
      <c r="E15" t="s">
        <v>44</v>
      </c>
      <c r="F15" t="s">
        <v>45</v>
      </c>
      <c r="G15" s="17">
        <v>112000</v>
      </c>
      <c r="H15" s="17">
        <v>43500</v>
      </c>
      <c r="I15" s="22">
        <f t="shared" si="0"/>
        <v>38.839285714285715</v>
      </c>
      <c r="J15" s="17">
        <v>117802</v>
      </c>
      <c r="K15" s="17">
        <f>G15-98002</f>
        <v>13998</v>
      </c>
      <c r="L15" s="17">
        <v>19800</v>
      </c>
      <c r="M15" s="32">
        <v>66</v>
      </c>
      <c r="N15" s="36">
        <v>173.25</v>
      </c>
      <c r="O15" s="41">
        <v>0.26300000000000001</v>
      </c>
      <c r="P15" s="41">
        <v>0.26300000000000001</v>
      </c>
      <c r="Q15" s="17">
        <f t="shared" si="1"/>
        <v>212.09090909090909</v>
      </c>
      <c r="R15" s="17">
        <f t="shared" si="2"/>
        <v>53224.334600760456</v>
      </c>
      <c r="S15" s="46">
        <f t="shared" si="3"/>
        <v>1.2218625941405064</v>
      </c>
      <c r="T15" s="41">
        <v>66</v>
      </c>
      <c r="U15" s="6" t="s">
        <v>82</v>
      </c>
      <c r="V15" t="s">
        <v>347</v>
      </c>
      <c r="X15" t="s">
        <v>317</v>
      </c>
      <c r="Y15">
        <v>0</v>
      </c>
      <c r="Z15">
        <v>1</v>
      </c>
      <c r="AA15" s="7">
        <v>44461</v>
      </c>
      <c r="AC15" s="8" t="s">
        <v>48</v>
      </c>
      <c r="AD15" t="s">
        <v>91</v>
      </c>
    </row>
    <row r="16" spans="1:64" x14ac:dyDescent="0.25">
      <c r="A16" t="s">
        <v>273</v>
      </c>
      <c r="B16" t="s">
        <v>274</v>
      </c>
      <c r="C16" s="27">
        <v>44349</v>
      </c>
      <c r="D16" s="17">
        <v>59900</v>
      </c>
      <c r="E16" t="s">
        <v>44</v>
      </c>
      <c r="F16" t="s">
        <v>45</v>
      </c>
      <c r="G16" s="17">
        <v>59900</v>
      </c>
      <c r="H16" s="17">
        <v>34600</v>
      </c>
      <c r="I16" s="22">
        <f t="shared" si="0"/>
        <v>57.762938230383973</v>
      </c>
      <c r="J16" s="17">
        <v>75174</v>
      </c>
      <c r="K16" s="17">
        <f>G16-45474</f>
        <v>14426</v>
      </c>
      <c r="L16" s="17">
        <v>29700</v>
      </c>
      <c r="M16" s="32">
        <v>99</v>
      </c>
      <c r="N16" s="36">
        <v>120</v>
      </c>
      <c r="O16" s="41">
        <v>0.27300000000000002</v>
      </c>
      <c r="P16" s="41">
        <v>0.27300000000000002</v>
      </c>
      <c r="Q16" s="17">
        <f t="shared" si="1"/>
        <v>145.71717171717171</v>
      </c>
      <c r="R16" s="17">
        <f t="shared" si="2"/>
        <v>52842.490842490835</v>
      </c>
      <c r="S16" s="46">
        <f t="shared" si="3"/>
        <v>1.213096667642122</v>
      </c>
      <c r="T16" s="41">
        <v>99</v>
      </c>
      <c r="U16" s="6" t="s">
        <v>82</v>
      </c>
      <c r="V16" t="s">
        <v>275</v>
      </c>
      <c r="X16" t="s">
        <v>272</v>
      </c>
      <c r="Y16">
        <v>0</v>
      </c>
      <c r="Z16">
        <v>1</v>
      </c>
      <c r="AA16" s="7">
        <v>44558</v>
      </c>
      <c r="AC16" s="8" t="s">
        <v>48</v>
      </c>
      <c r="AD16" t="s">
        <v>49</v>
      </c>
    </row>
    <row r="17" spans="1:30" x14ac:dyDescent="0.25">
      <c r="A17" t="s">
        <v>298</v>
      </c>
      <c r="B17" t="s">
        <v>299</v>
      </c>
      <c r="C17" s="27">
        <v>44337</v>
      </c>
      <c r="D17" s="17">
        <v>184500</v>
      </c>
      <c r="E17" t="s">
        <v>44</v>
      </c>
      <c r="F17" t="s">
        <v>45</v>
      </c>
      <c r="G17" s="17">
        <v>184500</v>
      </c>
      <c r="H17" s="17">
        <v>69900</v>
      </c>
      <c r="I17" s="22">
        <f t="shared" si="0"/>
        <v>37.886178861788615</v>
      </c>
      <c r="J17" s="17">
        <v>188636</v>
      </c>
      <c r="K17" s="17">
        <f>G17-169141</f>
        <v>15359</v>
      </c>
      <c r="L17" s="17">
        <v>19495</v>
      </c>
      <c r="M17" s="32">
        <v>177.22666699999999</v>
      </c>
      <c r="N17" s="36">
        <v>165</v>
      </c>
      <c r="O17" s="41">
        <v>0.67100000000000004</v>
      </c>
      <c r="P17" s="41">
        <v>0.67100000000000004</v>
      </c>
      <c r="Q17" s="17">
        <f t="shared" si="1"/>
        <v>86.663030231223615</v>
      </c>
      <c r="R17" s="17">
        <f t="shared" si="2"/>
        <v>22889.716840536512</v>
      </c>
      <c r="S17" s="46">
        <f t="shared" si="3"/>
        <v>0.52547559321709159</v>
      </c>
      <c r="T17" s="41">
        <v>177.24</v>
      </c>
      <c r="U17" s="6" t="s">
        <v>82</v>
      </c>
      <c r="V17" t="s">
        <v>300</v>
      </c>
      <c r="X17" t="s">
        <v>297</v>
      </c>
      <c r="Y17">
        <v>0</v>
      </c>
      <c r="Z17">
        <v>1</v>
      </c>
      <c r="AA17" s="7">
        <v>44461</v>
      </c>
      <c r="AC17" s="8" t="s">
        <v>48</v>
      </c>
      <c r="AD17" t="s">
        <v>155</v>
      </c>
    </row>
    <row r="18" spans="1:30" x14ac:dyDescent="0.25">
      <c r="A18" t="s">
        <v>375</v>
      </c>
      <c r="B18" t="s">
        <v>154</v>
      </c>
      <c r="C18" s="27">
        <v>44606</v>
      </c>
      <c r="D18" s="17">
        <v>25000</v>
      </c>
      <c r="E18" t="s">
        <v>44</v>
      </c>
      <c r="F18" t="s">
        <v>45</v>
      </c>
      <c r="G18" s="17">
        <v>25000</v>
      </c>
      <c r="H18" s="17">
        <v>0</v>
      </c>
      <c r="I18" s="22">
        <f t="shared" si="0"/>
        <v>0</v>
      </c>
      <c r="J18" s="17">
        <v>33891</v>
      </c>
      <c r="K18" s="17">
        <f>G18-9216</f>
        <v>15784</v>
      </c>
      <c r="L18" s="17">
        <v>24675</v>
      </c>
      <c r="M18" s="32">
        <v>82.25</v>
      </c>
      <c r="N18" s="36">
        <v>131.88000500000001</v>
      </c>
      <c r="O18" s="41">
        <v>0.249</v>
      </c>
      <c r="P18" s="41">
        <v>0.249</v>
      </c>
      <c r="Q18" s="17">
        <f t="shared" si="1"/>
        <v>191.90273556231003</v>
      </c>
      <c r="R18" s="17">
        <f t="shared" si="2"/>
        <v>63389.558232931726</v>
      </c>
      <c r="S18" s="46">
        <f t="shared" si="3"/>
        <v>1.4552240182032077</v>
      </c>
      <c r="T18" s="41">
        <v>82.25</v>
      </c>
      <c r="U18" s="6" t="s">
        <v>82</v>
      </c>
      <c r="X18" t="s">
        <v>317</v>
      </c>
      <c r="Y18">
        <v>0</v>
      </c>
      <c r="Z18">
        <v>0</v>
      </c>
      <c r="AA18" s="7">
        <v>43845</v>
      </c>
      <c r="AC18" s="8" t="s">
        <v>376</v>
      </c>
      <c r="AD18" t="s">
        <v>91</v>
      </c>
    </row>
    <row r="19" spans="1:30" x14ac:dyDescent="0.25">
      <c r="A19" t="s">
        <v>279</v>
      </c>
      <c r="B19" t="s">
        <v>280</v>
      </c>
      <c r="C19" s="27">
        <v>44824</v>
      </c>
      <c r="D19" s="17">
        <v>92000</v>
      </c>
      <c r="E19" t="s">
        <v>194</v>
      </c>
      <c r="F19" t="s">
        <v>45</v>
      </c>
      <c r="G19" s="17">
        <v>92000</v>
      </c>
      <c r="H19" s="17">
        <v>36900</v>
      </c>
      <c r="I19" s="22">
        <f t="shared" si="0"/>
        <v>40.108695652173914</v>
      </c>
      <c r="J19" s="17">
        <v>93253</v>
      </c>
      <c r="K19" s="17">
        <f>G19-74203</f>
        <v>17797</v>
      </c>
      <c r="L19" s="17">
        <v>19050</v>
      </c>
      <c r="M19" s="32">
        <v>63.5</v>
      </c>
      <c r="N19" s="36">
        <v>111</v>
      </c>
      <c r="O19" s="41">
        <v>0.16200000000000001</v>
      </c>
      <c r="P19" s="41">
        <v>0.16200000000000001</v>
      </c>
      <c r="Q19" s="17">
        <f t="shared" si="1"/>
        <v>280.26771653543307</v>
      </c>
      <c r="R19" s="17">
        <f t="shared" si="2"/>
        <v>109858.02469135802</v>
      </c>
      <c r="S19" s="46">
        <f t="shared" si="3"/>
        <v>2.5219932206464191</v>
      </c>
      <c r="T19" s="41">
        <v>63.5</v>
      </c>
      <c r="U19" s="6" t="s">
        <v>82</v>
      </c>
      <c r="V19" t="s">
        <v>281</v>
      </c>
      <c r="X19" t="s">
        <v>272</v>
      </c>
      <c r="Y19">
        <v>0</v>
      </c>
      <c r="Z19">
        <v>1</v>
      </c>
      <c r="AA19" s="7">
        <v>33430</v>
      </c>
      <c r="AC19" s="8" t="s">
        <v>48</v>
      </c>
      <c r="AD19" t="s">
        <v>49</v>
      </c>
    </row>
    <row r="20" spans="1:30" x14ac:dyDescent="0.25">
      <c r="A20" t="s">
        <v>168</v>
      </c>
      <c r="B20" t="s">
        <v>169</v>
      </c>
      <c r="C20" s="27">
        <v>45071</v>
      </c>
      <c r="D20" s="17">
        <v>225000</v>
      </c>
      <c r="E20" t="s">
        <v>44</v>
      </c>
      <c r="F20" t="s">
        <v>45</v>
      </c>
      <c r="G20" s="17">
        <v>225000</v>
      </c>
      <c r="H20" s="17">
        <v>124600</v>
      </c>
      <c r="I20" s="22">
        <f t="shared" si="0"/>
        <v>55.37777777777778</v>
      </c>
      <c r="J20" s="17">
        <v>263952</v>
      </c>
      <c r="K20" s="17">
        <f>G20-205152</f>
        <v>19848</v>
      </c>
      <c r="L20" s="17">
        <v>58800</v>
      </c>
      <c r="M20" s="32">
        <v>168</v>
      </c>
      <c r="N20" s="36">
        <v>200</v>
      </c>
      <c r="O20" s="41">
        <v>0.77100000000000002</v>
      </c>
      <c r="P20" s="41">
        <v>0.77100000000000002</v>
      </c>
      <c r="Q20" s="17">
        <f t="shared" si="1"/>
        <v>118.14285714285714</v>
      </c>
      <c r="R20" s="17">
        <f t="shared" si="2"/>
        <v>25743.190661478598</v>
      </c>
      <c r="S20" s="46">
        <f t="shared" si="3"/>
        <v>0.59098233841778236</v>
      </c>
      <c r="T20" s="41">
        <v>168</v>
      </c>
      <c r="U20" s="6" t="s">
        <v>46</v>
      </c>
      <c r="V20" t="s">
        <v>170</v>
      </c>
      <c r="X20" t="s">
        <v>153</v>
      </c>
      <c r="Y20">
        <v>0</v>
      </c>
      <c r="Z20">
        <v>1</v>
      </c>
      <c r="AA20" s="7">
        <v>33668</v>
      </c>
      <c r="AC20" s="8" t="s">
        <v>48</v>
      </c>
      <c r="AD20" t="s">
        <v>155</v>
      </c>
    </row>
    <row r="21" spans="1:30" x14ac:dyDescent="0.25">
      <c r="A21" t="s">
        <v>236</v>
      </c>
      <c r="B21" t="s">
        <v>237</v>
      </c>
      <c r="C21" s="27">
        <v>44435</v>
      </c>
      <c r="D21" s="17">
        <v>109000</v>
      </c>
      <c r="E21" t="s">
        <v>44</v>
      </c>
      <c r="F21" t="s">
        <v>45</v>
      </c>
      <c r="G21" s="17">
        <v>109000</v>
      </c>
      <c r="H21" s="17">
        <v>41300</v>
      </c>
      <c r="I21" s="22">
        <f t="shared" si="0"/>
        <v>37.88990825688073</v>
      </c>
      <c r="J21" s="17">
        <v>108798</v>
      </c>
      <c r="K21" s="17">
        <f>G21-88998</f>
        <v>20002</v>
      </c>
      <c r="L21" s="17">
        <v>19800</v>
      </c>
      <c r="M21" s="32">
        <v>66</v>
      </c>
      <c r="N21" s="36">
        <v>115.5</v>
      </c>
      <c r="O21" s="41">
        <v>0.17499999999999999</v>
      </c>
      <c r="P21" s="41">
        <v>0.17499999999999999</v>
      </c>
      <c r="Q21" s="17">
        <f t="shared" si="1"/>
        <v>303.06060606060606</v>
      </c>
      <c r="R21" s="17">
        <f t="shared" si="2"/>
        <v>114297.14285714287</v>
      </c>
      <c r="S21" s="46">
        <f t="shared" si="3"/>
        <v>2.6239013511740787</v>
      </c>
      <c r="T21" s="41">
        <v>66</v>
      </c>
      <c r="U21" s="6" t="s">
        <v>82</v>
      </c>
      <c r="V21" t="s">
        <v>238</v>
      </c>
      <c r="X21" t="s">
        <v>216</v>
      </c>
      <c r="Y21">
        <v>0</v>
      </c>
      <c r="Z21">
        <v>1</v>
      </c>
      <c r="AA21" s="7">
        <v>44447</v>
      </c>
      <c r="AC21" s="8" t="s">
        <v>48</v>
      </c>
      <c r="AD21" t="s">
        <v>49</v>
      </c>
    </row>
    <row r="22" spans="1:30" x14ac:dyDescent="0.25">
      <c r="A22" t="s">
        <v>242</v>
      </c>
      <c r="B22" t="s">
        <v>243</v>
      </c>
      <c r="C22" s="27">
        <v>44515</v>
      </c>
      <c r="D22" s="17">
        <v>87500</v>
      </c>
      <c r="E22" t="s">
        <v>44</v>
      </c>
      <c r="F22" t="s">
        <v>45</v>
      </c>
      <c r="G22" s="17">
        <v>87500</v>
      </c>
      <c r="H22" s="17">
        <v>28600</v>
      </c>
      <c r="I22" s="22">
        <f t="shared" si="0"/>
        <v>32.685714285714283</v>
      </c>
      <c r="J22" s="17">
        <v>86201</v>
      </c>
      <c r="K22" s="17">
        <f>G22-66401</f>
        <v>21099</v>
      </c>
      <c r="L22" s="17">
        <v>19800</v>
      </c>
      <c r="M22" s="32">
        <v>66</v>
      </c>
      <c r="N22" s="36">
        <v>132</v>
      </c>
      <c r="O22" s="41">
        <v>0.2</v>
      </c>
      <c r="P22" s="41">
        <v>0.2</v>
      </c>
      <c r="Q22" s="17">
        <f t="shared" si="1"/>
        <v>319.68181818181819</v>
      </c>
      <c r="R22" s="17">
        <f t="shared" si="2"/>
        <v>105495</v>
      </c>
      <c r="S22" s="46">
        <f t="shared" si="3"/>
        <v>2.4218319559228649</v>
      </c>
      <c r="T22" s="41">
        <v>66</v>
      </c>
      <c r="U22" s="6" t="s">
        <v>82</v>
      </c>
      <c r="V22" t="s">
        <v>244</v>
      </c>
      <c r="X22" t="s">
        <v>216</v>
      </c>
      <c r="Y22">
        <v>0</v>
      </c>
      <c r="Z22">
        <v>1</v>
      </c>
      <c r="AA22" s="7">
        <v>44461</v>
      </c>
      <c r="AC22" s="8" t="s">
        <v>48</v>
      </c>
      <c r="AD22" t="s">
        <v>49</v>
      </c>
    </row>
    <row r="23" spans="1:30" x14ac:dyDescent="0.25">
      <c r="A23" t="s">
        <v>198</v>
      </c>
      <c r="B23" t="s">
        <v>199</v>
      </c>
      <c r="C23" s="27">
        <v>44386</v>
      </c>
      <c r="D23" s="17">
        <v>131000</v>
      </c>
      <c r="E23" t="s">
        <v>58</v>
      </c>
      <c r="F23" t="s">
        <v>45</v>
      </c>
      <c r="G23" s="17">
        <v>131000</v>
      </c>
      <c r="H23" s="17">
        <v>44200</v>
      </c>
      <c r="I23" s="22">
        <f t="shared" si="0"/>
        <v>33.74045801526718</v>
      </c>
      <c r="J23" s="17">
        <v>124704</v>
      </c>
      <c r="K23" s="17">
        <f>G23-109479</f>
        <v>21521</v>
      </c>
      <c r="L23" s="17">
        <v>15225</v>
      </c>
      <c r="M23" s="32">
        <v>101.5</v>
      </c>
      <c r="N23" s="36">
        <v>264</v>
      </c>
      <c r="O23" s="41">
        <v>0.61499999999999999</v>
      </c>
      <c r="P23" s="41">
        <v>0.61499999999999999</v>
      </c>
      <c r="Q23" s="17">
        <f t="shared" si="1"/>
        <v>212.02955665024629</v>
      </c>
      <c r="R23" s="17">
        <f t="shared" si="2"/>
        <v>34993.495934959348</v>
      </c>
      <c r="S23" s="46">
        <f t="shared" si="3"/>
        <v>0.80334012706518243</v>
      </c>
      <c r="T23" s="41">
        <v>101.5</v>
      </c>
      <c r="U23" s="6" t="s">
        <v>82</v>
      </c>
      <c r="V23" t="s">
        <v>200</v>
      </c>
      <c r="X23" t="s">
        <v>153</v>
      </c>
      <c r="Y23">
        <v>0</v>
      </c>
      <c r="Z23">
        <v>1</v>
      </c>
      <c r="AA23" s="7">
        <v>44461</v>
      </c>
      <c r="AC23" s="8" t="s">
        <v>48</v>
      </c>
      <c r="AD23" t="s">
        <v>197</v>
      </c>
    </row>
    <row r="24" spans="1:30" x14ac:dyDescent="0.25">
      <c r="A24" t="s">
        <v>321</v>
      </c>
      <c r="B24" t="s">
        <v>322</v>
      </c>
      <c r="C24" s="27">
        <v>44316</v>
      </c>
      <c r="D24" s="17">
        <v>155000</v>
      </c>
      <c r="E24" t="s">
        <v>44</v>
      </c>
      <c r="F24" t="s">
        <v>45</v>
      </c>
      <c r="G24" s="17">
        <v>155000</v>
      </c>
      <c r="H24" s="17">
        <v>53400</v>
      </c>
      <c r="I24" s="22">
        <f t="shared" si="0"/>
        <v>34.451612903225808</v>
      </c>
      <c r="J24" s="17">
        <v>153492</v>
      </c>
      <c r="K24" s="17">
        <f>G24-133054</f>
        <v>21946</v>
      </c>
      <c r="L24" s="17">
        <v>20438</v>
      </c>
      <c r="M24" s="32">
        <v>68.125</v>
      </c>
      <c r="N24" s="36">
        <v>214.5</v>
      </c>
      <c r="O24" s="41">
        <v>0.33500000000000002</v>
      </c>
      <c r="P24" s="41">
        <v>0.33500000000000002</v>
      </c>
      <c r="Q24" s="17">
        <f t="shared" si="1"/>
        <v>322.14311926605507</v>
      </c>
      <c r="R24" s="17">
        <f t="shared" si="2"/>
        <v>65510.447761194024</v>
      </c>
      <c r="S24" s="46">
        <f t="shared" si="3"/>
        <v>1.5039129421761714</v>
      </c>
      <c r="T24" s="41">
        <v>68.125</v>
      </c>
      <c r="U24" s="6" t="s">
        <v>82</v>
      </c>
      <c r="V24" t="s">
        <v>323</v>
      </c>
      <c r="X24" t="s">
        <v>317</v>
      </c>
      <c r="Y24">
        <v>0</v>
      </c>
      <c r="Z24">
        <v>1</v>
      </c>
      <c r="AA24" s="7">
        <v>33065</v>
      </c>
      <c r="AC24" s="8" t="s">
        <v>48</v>
      </c>
      <c r="AD24" t="s">
        <v>91</v>
      </c>
    </row>
    <row r="25" spans="1:30" x14ac:dyDescent="0.25">
      <c r="A25" t="s">
        <v>227</v>
      </c>
      <c r="B25" t="s">
        <v>228</v>
      </c>
      <c r="C25" s="27">
        <v>44350</v>
      </c>
      <c r="D25" s="17">
        <v>100000</v>
      </c>
      <c r="E25" t="s">
        <v>44</v>
      </c>
      <c r="F25" t="s">
        <v>45</v>
      </c>
      <c r="G25" s="17">
        <v>100000</v>
      </c>
      <c r="H25" s="17">
        <v>28300</v>
      </c>
      <c r="I25" s="22">
        <f t="shared" si="0"/>
        <v>28.299999999999997</v>
      </c>
      <c r="J25" s="17">
        <v>96438</v>
      </c>
      <c r="K25" s="17">
        <f>G25-76638</f>
        <v>23362</v>
      </c>
      <c r="L25" s="17">
        <v>19800</v>
      </c>
      <c r="M25" s="32">
        <v>66</v>
      </c>
      <c r="N25" s="36">
        <v>189.75</v>
      </c>
      <c r="O25" s="41">
        <v>0.28799999999999998</v>
      </c>
      <c r="P25" s="41">
        <v>0.28799999999999998</v>
      </c>
      <c r="Q25" s="17">
        <f t="shared" si="1"/>
        <v>353.969696969697</v>
      </c>
      <c r="R25" s="17">
        <f t="shared" si="2"/>
        <v>81118.055555555562</v>
      </c>
      <c r="S25" s="46">
        <f t="shared" si="3"/>
        <v>1.8622143148658301</v>
      </c>
      <c r="T25" s="41">
        <v>66</v>
      </c>
      <c r="U25" s="6" t="s">
        <v>82</v>
      </c>
      <c r="V25" t="s">
        <v>58</v>
      </c>
      <c r="X25" t="s">
        <v>216</v>
      </c>
      <c r="Y25">
        <v>0</v>
      </c>
      <c r="Z25">
        <v>1</v>
      </c>
      <c r="AA25" s="7">
        <v>44558</v>
      </c>
      <c r="AC25" s="8" t="s">
        <v>48</v>
      </c>
      <c r="AD25" t="s">
        <v>49</v>
      </c>
    </row>
    <row r="26" spans="1:30" x14ac:dyDescent="0.25">
      <c r="A26" t="s">
        <v>330</v>
      </c>
      <c r="B26" t="s">
        <v>331</v>
      </c>
      <c r="C26" s="27">
        <v>44433</v>
      </c>
      <c r="D26" s="17">
        <v>95000</v>
      </c>
      <c r="E26" t="s">
        <v>44</v>
      </c>
      <c r="F26" t="s">
        <v>45</v>
      </c>
      <c r="G26" s="17">
        <v>95000</v>
      </c>
      <c r="H26" s="17">
        <v>33500</v>
      </c>
      <c r="I26" s="22">
        <f t="shared" si="0"/>
        <v>35.263157894736842</v>
      </c>
      <c r="J26" s="17">
        <v>90531</v>
      </c>
      <c r="K26" s="17">
        <f>G26-71538</f>
        <v>23462</v>
      </c>
      <c r="L26" s="17">
        <v>18993</v>
      </c>
      <c r="M26" s="32">
        <v>63.31</v>
      </c>
      <c r="N26" s="36">
        <v>321.77999899999998</v>
      </c>
      <c r="O26" s="41">
        <v>0.46800000000000003</v>
      </c>
      <c r="P26" s="41">
        <v>0.46800000000000003</v>
      </c>
      <c r="Q26" s="17">
        <f t="shared" si="1"/>
        <v>370.58916442900016</v>
      </c>
      <c r="R26" s="17">
        <f t="shared" si="2"/>
        <v>50132.478632478633</v>
      </c>
      <c r="S26" s="46">
        <f t="shared" si="3"/>
        <v>1.1508833478530449</v>
      </c>
      <c r="T26" s="41">
        <v>63.31</v>
      </c>
      <c r="U26" s="6" t="s">
        <v>82</v>
      </c>
      <c r="V26" t="s">
        <v>332</v>
      </c>
      <c r="X26" t="s">
        <v>317</v>
      </c>
      <c r="Y26">
        <v>0</v>
      </c>
      <c r="Z26">
        <v>1</v>
      </c>
      <c r="AA26" s="7">
        <v>44440</v>
      </c>
      <c r="AC26" s="8" t="s">
        <v>48</v>
      </c>
      <c r="AD26" t="s">
        <v>91</v>
      </c>
    </row>
    <row r="27" spans="1:30" x14ac:dyDescent="0.25">
      <c r="A27" t="s">
        <v>60</v>
      </c>
      <c r="B27" t="s">
        <v>61</v>
      </c>
      <c r="C27" s="27">
        <v>44512</v>
      </c>
      <c r="D27" s="17">
        <v>225000</v>
      </c>
      <c r="E27" t="s">
        <v>44</v>
      </c>
      <c r="F27" t="s">
        <v>45</v>
      </c>
      <c r="G27" s="17">
        <v>225000</v>
      </c>
      <c r="H27" s="17">
        <v>76500</v>
      </c>
      <c r="I27" s="22">
        <f t="shared" si="0"/>
        <v>34</v>
      </c>
      <c r="J27" s="17">
        <v>231415</v>
      </c>
      <c r="K27" s="17">
        <f>G27-201415</f>
        <v>23585</v>
      </c>
      <c r="L27" s="17">
        <v>30000</v>
      </c>
      <c r="M27" s="32">
        <v>100</v>
      </c>
      <c r="N27" s="36">
        <v>240.699997</v>
      </c>
      <c r="O27" s="41">
        <v>0.55300000000000005</v>
      </c>
      <c r="P27" s="41">
        <v>0.55300000000000005</v>
      </c>
      <c r="Q27" s="17">
        <f t="shared" si="1"/>
        <v>235.85</v>
      </c>
      <c r="R27" s="17">
        <f t="shared" si="2"/>
        <v>42649.186256781191</v>
      </c>
      <c r="S27" s="46">
        <f t="shared" si="3"/>
        <v>0.97909059359001815</v>
      </c>
      <c r="T27" s="41">
        <v>100</v>
      </c>
      <c r="U27" s="6" t="s">
        <v>46</v>
      </c>
      <c r="V27" t="s">
        <v>62</v>
      </c>
      <c r="X27" t="s">
        <v>47</v>
      </c>
      <c r="Y27">
        <v>1</v>
      </c>
      <c r="Z27">
        <v>0</v>
      </c>
      <c r="AA27" s="7">
        <v>44461</v>
      </c>
      <c r="AC27" s="8" t="s">
        <v>48</v>
      </c>
      <c r="AD27" t="s">
        <v>49</v>
      </c>
    </row>
    <row r="28" spans="1:30" x14ac:dyDescent="0.25">
      <c r="A28" t="s">
        <v>79</v>
      </c>
      <c r="B28" t="s">
        <v>80</v>
      </c>
      <c r="C28" s="27">
        <v>44361</v>
      </c>
      <c r="D28" s="17">
        <v>279500</v>
      </c>
      <c r="E28" t="s">
        <v>44</v>
      </c>
      <c r="F28" t="s">
        <v>45</v>
      </c>
      <c r="G28" s="17">
        <v>279500</v>
      </c>
      <c r="H28" s="17">
        <v>91700</v>
      </c>
      <c r="I28" s="22">
        <f t="shared" si="0"/>
        <v>32.80858676207513</v>
      </c>
      <c r="J28" s="17">
        <v>283313</v>
      </c>
      <c r="K28" s="17">
        <f>G28-255813</f>
        <v>23687</v>
      </c>
      <c r="L28" s="17">
        <v>27500</v>
      </c>
      <c r="M28" s="32">
        <v>80</v>
      </c>
      <c r="N28" s="36">
        <v>224</v>
      </c>
      <c r="O28" s="41">
        <v>0.41099999999999998</v>
      </c>
      <c r="P28" s="41">
        <v>0.41099999999999998</v>
      </c>
      <c r="Q28" s="17">
        <f t="shared" si="1"/>
        <v>296.08749999999998</v>
      </c>
      <c r="R28" s="17">
        <f t="shared" si="2"/>
        <v>57632.603406326038</v>
      </c>
      <c r="S28" s="46">
        <f t="shared" si="3"/>
        <v>1.3230625208063829</v>
      </c>
      <c r="T28" s="41">
        <v>80</v>
      </c>
      <c r="U28" s="6" t="s">
        <v>46</v>
      </c>
      <c r="V28" t="s">
        <v>81</v>
      </c>
      <c r="X28" t="s">
        <v>69</v>
      </c>
      <c r="Y28">
        <v>0</v>
      </c>
      <c r="Z28">
        <v>1</v>
      </c>
      <c r="AA28" s="7">
        <v>44558</v>
      </c>
      <c r="AC28" s="8" t="s">
        <v>48</v>
      </c>
      <c r="AD28" t="s">
        <v>70</v>
      </c>
    </row>
    <row r="29" spans="1:30" x14ac:dyDescent="0.25">
      <c r="A29" t="s">
        <v>249</v>
      </c>
      <c r="B29" t="s">
        <v>250</v>
      </c>
      <c r="C29" s="27">
        <v>44831</v>
      </c>
      <c r="D29" s="17">
        <v>142000</v>
      </c>
      <c r="E29" t="s">
        <v>58</v>
      </c>
      <c r="F29" t="s">
        <v>45</v>
      </c>
      <c r="G29" s="17">
        <v>142000</v>
      </c>
      <c r="H29" s="17">
        <v>57400</v>
      </c>
      <c r="I29" s="22">
        <f t="shared" si="0"/>
        <v>40.422535211267608</v>
      </c>
      <c r="J29" s="17">
        <v>142470</v>
      </c>
      <c r="K29" s="17">
        <f>G29-117720</f>
        <v>24280</v>
      </c>
      <c r="L29" s="17">
        <v>24750</v>
      </c>
      <c r="M29" s="32">
        <v>82.5</v>
      </c>
      <c r="N29" s="36">
        <v>165</v>
      </c>
      <c r="O29" s="41">
        <v>0.313</v>
      </c>
      <c r="P29" s="41">
        <v>0.313</v>
      </c>
      <c r="Q29" s="17">
        <f t="shared" si="1"/>
        <v>294.30303030303031</v>
      </c>
      <c r="R29" s="17">
        <f t="shared" si="2"/>
        <v>77571.884984025557</v>
      </c>
      <c r="S29" s="46">
        <f t="shared" si="3"/>
        <v>1.7808054404046272</v>
      </c>
      <c r="T29" s="41">
        <v>82.5</v>
      </c>
      <c r="U29" s="6" t="s">
        <v>82</v>
      </c>
      <c r="V29" t="s">
        <v>251</v>
      </c>
      <c r="X29" t="s">
        <v>245</v>
      </c>
      <c r="Y29">
        <v>0</v>
      </c>
      <c r="Z29">
        <v>1</v>
      </c>
      <c r="AA29" s="7">
        <v>33065</v>
      </c>
      <c r="AC29" s="8" t="s">
        <v>48</v>
      </c>
      <c r="AD29" t="s">
        <v>49</v>
      </c>
    </row>
    <row r="30" spans="1:30" x14ac:dyDescent="0.25">
      <c r="A30" t="s">
        <v>258</v>
      </c>
      <c r="B30" t="s">
        <v>259</v>
      </c>
      <c r="C30" s="27">
        <v>44307</v>
      </c>
      <c r="D30" s="17">
        <v>116600</v>
      </c>
      <c r="E30" t="s">
        <v>44</v>
      </c>
      <c r="F30" t="s">
        <v>45</v>
      </c>
      <c r="G30" s="17">
        <v>116600</v>
      </c>
      <c r="H30" s="17">
        <v>32000</v>
      </c>
      <c r="I30" s="22">
        <f t="shared" si="0"/>
        <v>27.444253859348201</v>
      </c>
      <c r="J30" s="17">
        <v>111792</v>
      </c>
      <c r="K30" s="17">
        <f>G30-91992</f>
        <v>24608</v>
      </c>
      <c r="L30" s="17">
        <v>19800</v>
      </c>
      <c r="M30" s="32">
        <v>66</v>
      </c>
      <c r="N30" s="36">
        <v>99</v>
      </c>
      <c r="O30" s="41">
        <v>0.15</v>
      </c>
      <c r="P30" s="41">
        <v>0.15</v>
      </c>
      <c r="Q30" s="17">
        <f t="shared" si="1"/>
        <v>372.84848484848487</v>
      </c>
      <c r="R30" s="17">
        <f t="shared" si="2"/>
        <v>164053.33333333334</v>
      </c>
      <c r="S30" s="46">
        <f t="shared" si="3"/>
        <v>3.7661463116008571</v>
      </c>
      <c r="T30" s="41">
        <v>66</v>
      </c>
      <c r="U30" s="6" t="s">
        <v>82</v>
      </c>
      <c r="V30" t="s">
        <v>260</v>
      </c>
      <c r="X30" t="s">
        <v>261</v>
      </c>
      <c r="Y30">
        <v>0</v>
      </c>
      <c r="Z30">
        <v>1</v>
      </c>
      <c r="AA30" s="7">
        <v>44461</v>
      </c>
      <c r="AC30" s="8" t="s">
        <v>48</v>
      </c>
      <c r="AD30" t="s">
        <v>49</v>
      </c>
    </row>
    <row r="31" spans="1:30" x14ac:dyDescent="0.25">
      <c r="A31" t="s">
        <v>223</v>
      </c>
      <c r="B31" t="s">
        <v>224</v>
      </c>
      <c r="C31" s="27">
        <v>44533</v>
      </c>
      <c r="D31" s="17">
        <v>101000</v>
      </c>
      <c r="E31" t="s">
        <v>44</v>
      </c>
      <c r="F31" t="s">
        <v>173</v>
      </c>
      <c r="G31" s="17">
        <v>101000</v>
      </c>
      <c r="H31" s="17">
        <v>33800</v>
      </c>
      <c r="I31" s="22">
        <f t="shared" si="0"/>
        <v>33.46534653465347</v>
      </c>
      <c r="J31" s="17">
        <v>96042</v>
      </c>
      <c r="K31" s="17">
        <f>G31-76242</f>
        <v>24758</v>
      </c>
      <c r="L31" s="17">
        <v>19800</v>
      </c>
      <c r="M31" s="32">
        <v>66</v>
      </c>
      <c r="N31" s="36">
        <v>189.75</v>
      </c>
      <c r="O31" s="41">
        <v>0.28799999999999998</v>
      </c>
      <c r="P31" s="41">
        <v>0.28799999999999998</v>
      </c>
      <c r="Q31" s="17">
        <f t="shared" si="1"/>
        <v>375.12121212121212</v>
      </c>
      <c r="R31" s="17">
        <f t="shared" si="2"/>
        <v>85965.277777777781</v>
      </c>
      <c r="S31" s="46">
        <f t="shared" si="3"/>
        <v>1.9734912253851649</v>
      </c>
      <c r="T31" s="41">
        <v>66</v>
      </c>
      <c r="U31" s="6" t="s">
        <v>82</v>
      </c>
      <c r="V31" t="s">
        <v>225</v>
      </c>
      <c r="W31" t="s">
        <v>226</v>
      </c>
      <c r="X31" t="s">
        <v>216</v>
      </c>
      <c r="Y31">
        <v>0</v>
      </c>
      <c r="Z31">
        <v>1</v>
      </c>
      <c r="AA31" s="7">
        <v>44433</v>
      </c>
      <c r="AC31" s="8" t="s">
        <v>48</v>
      </c>
      <c r="AD31" t="s">
        <v>49</v>
      </c>
    </row>
    <row r="32" spans="1:30" x14ac:dyDescent="0.25">
      <c r="A32" t="s">
        <v>106</v>
      </c>
      <c r="B32" t="s">
        <v>107</v>
      </c>
      <c r="C32" s="27">
        <v>45009</v>
      </c>
      <c r="D32" s="17">
        <v>108000</v>
      </c>
      <c r="E32" t="s">
        <v>44</v>
      </c>
      <c r="F32" t="s">
        <v>45</v>
      </c>
      <c r="G32" s="17">
        <v>108000</v>
      </c>
      <c r="H32" s="17">
        <v>39600</v>
      </c>
      <c r="I32" s="22">
        <f t="shared" si="0"/>
        <v>36.666666666666664</v>
      </c>
      <c r="J32" s="17">
        <v>98527</v>
      </c>
      <c r="K32" s="17">
        <f>G32-82417</f>
        <v>25583</v>
      </c>
      <c r="L32" s="17">
        <v>16110</v>
      </c>
      <c r="M32" s="32">
        <v>53.7</v>
      </c>
      <c r="N32" s="36">
        <v>99</v>
      </c>
      <c r="O32" s="41">
        <v>0.122</v>
      </c>
      <c r="P32" s="41">
        <v>0.122</v>
      </c>
      <c r="Q32" s="17">
        <f t="shared" si="1"/>
        <v>476.40595903165735</v>
      </c>
      <c r="R32" s="17">
        <f t="shared" si="2"/>
        <v>209696.72131147541</v>
      </c>
      <c r="S32" s="46">
        <f t="shared" si="3"/>
        <v>4.8139743184452577</v>
      </c>
      <c r="T32" s="41">
        <v>53.7</v>
      </c>
      <c r="U32" s="6" t="s">
        <v>82</v>
      </c>
      <c r="V32" t="s">
        <v>108</v>
      </c>
      <c r="X32" t="s">
        <v>84</v>
      </c>
      <c r="Y32">
        <v>0</v>
      </c>
      <c r="Z32">
        <v>1</v>
      </c>
      <c r="AA32" s="7">
        <v>33065</v>
      </c>
      <c r="AC32" s="8" t="s">
        <v>48</v>
      </c>
      <c r="AD32" t="s">
        <v>49</v>
      </c>
    </row>
    <row r="33" spans="1:31" x14ac:dyDescent="0.25">
      <c r="A33" t="s">
        <v>355</v>
      </c>
      <c r="B33" t="s">
        <v>356</v>
      </c>
      <c r="C33" s="27">
        <v>44637</v>
      </c>
      <c r="D33" s="17">
        <v>126000</v>
      </c>
      <c r="E33" t="s">
        <v>58</v>
      </c>
      <c r="F33" t="s">
        <v>45</v>
      </c>
      <c r="G33" s="17">
        <v>126000</v>
      </c>
      <c r="H33" s="17">
        <v>46700</v>
      </c>
      <c r="I33" s="22">
        <f t="shared" si="0"/>
        <v>37.063492063492063</v>
      </c>
      <c r="J33" s="17">
        <v>122329</v>
      </c>
      <c r="K33" s="17">
        <f>G33-99679</f>
        <v>26321</v>
      </c>
      <c r="L33" s="17">
        <v>22650</v>
      </c>
      <c r="M33" s="32">
        <v>75.5</v>
      </c>
      <c r="N33" s="36">
        <v>169.19000199999999</v>
      </c>
      <c r="O33" s="41">
        <v>0.29299999999999998</v>
      </c>
      <c r="P33" s="41">
        <v>0.29299999999999998</v>
      </c>
      <c r="Q33" s="17">
        <f t="shared" si="1"/>
        <v>348.62251655629137</v>
      </c>
      <c r="R33" s="17">
        <f t="shared" si="2"/>
        <v>89832.764505119456</v>
      </c>
      <c r="S33" s="46">
        <f t="shared" si="3"/>
        <v>2.062276503790621</v>
      </c>
      <c r="T33" s="41">
        <v>75.5</v>
      </c>
      <c r="U33" s="6" t="s">
        <v>82</v>
      </c>
      <c r="X33" t="s">
        <v>317</v>
      </c>
      <c r="Y33">
        <v>0</v>
      </c>
      <c r="Z33">
        <v>1</v>
      </c>
      <c r="AA33" s="7">
        <v>41199</v>
      </c>
      <c r="AC33" s="8" t="s">
        <v>48</v>
      </c>
      <c r="AD33" t="s">
        <v>91</v>
      </c>
    </row>
    <row r="34" spans="1:31" x14ac:dyDescent="0.25">
      <c r="A34" t="s">
        <v>139</v>
      </c>
      <c r="B34" t="s">
        <v>140</v>
      </c>
      <c r="C34" s="27">
        <v>44329</v>
      </c>
      <c r="D34" s="17">
        <v>182000</v>
      </c>
      <c r="E34" t="s">
        <v>44</v>
      </c>
      <c r="F34" t="s">
        <v>45</v>
      </c>
      <c r="G34" s="17">
        <v>182000</v>
      </c>
      <c r="H34" s="17">
        <v>56400</v>
      </c>
      <c r="I34" s="22">
        <f t="shared" ref="I34:I65" si="4">H34/G34*100</f>
        <v>30.989010989010989</v>
      </c>
      <c r="J34" s="17">
        <v>185464</v>
      </c>
      <c r="K34" s="17">
        <f>G34-155574</f>
        <v>26426</v>
      </c>
      <c r="L34" s="17">
        <v>29890</v>
      </c>
      <c r="M34" s="32">
        <v>219.78</v>
      </c>
      <c r="N34" s="36">
        <v>154.11000100000001</v>
      </c>
      <c r="O34" s="41">
        <v>0.77800000000000002</v>
      </c>
      <c r="P34" s="41">
        <v>0.77800000000000002</v>
      </c>
      <c r="Q34" s="17">
        <f t="shared" ref="Q34:Q65" si="5">K34/M34</f>
        <v>120.23842023842023</v>
      </c>
      <c r="R34" s="17">
        <f t="shared" ref="R34:R65" si="6">K34/O34</f>
        <v>33966.580976863755</v>
      </c>
      <c r="S34" s="46">
        <f t="shared" ref="S34:S65" si="7">K34/O34/43560</f>
        <v>0.77976540350926893</v>
      </c>
      <c r="T34" s="41">
        <v>219.78</v>
      </c>
      <c r="U34" s="6" t="s">
        <v>82</v>
      </c>
      <c r="V34" t="s">
        <v>141</v>
      </c>
      <c r="X34" t="s">
        <v>84</v>
      </c>
      <c r="Y34">
        <v>0</v>
      </c>
      <c r="Z34">
        <v>1</v>
      </c>
      <c r="AA34" s="7">
        <v>44383</v>
      </c>
      <c r="AC34" s="8" t="s">
        <v>48</v>
      </c>
      <c r="AD34" t="s">
        <v>91</v>
      </c>
      <c r="AE34" t="s">
        <v>91</v>
      </c>
    </row>
    <row r="35" spans="1:31" x14ac:dyDescent="0.25">
      <c r="A35" t="s">
        <v>255</v>
      </c>
      <c r="B35" t="s">
        <v>256</v>
      </c>
      <c r="C35" s="27">
        <v>44761</v>
      </c>
      <c r="D35" s="17">
        <v>79000</v>
      </c>
      <c r="E35" t="s">
        <v>44</v>
      </c>
      <c r="F35" t="s">
        <v>45</v>
      </c>
      <c r="G35" s="17">
        <v>79000</v>
      </c>
      <c r="H35" s="17">
        <v>30800</v>
      </c>
      <c r="I35" s="22">
        <f t="shared" si="4"/>
        <v>38.9873417721519</v>
      </c>
      <c r="J35" s="17">
        <v>73898</v>
      </c>
      <c r="K35" s="17">
        <f>G35-49148</f>
        <v>29852</v>
      </c>
      <c r="L35" s="17">
        <v>24750</v>
      </c>
      <c r="M35" s="32">
        <v>82.5</v>
      </c>
      <c r="N35" s="36">
        <v>288.70001200000002</v>
      </c>
      <c r="O35" s="41">
        <v>0.54700000000000004</v>
      </c>
      <c r="P35" s="41">
        <v>0.54700000000000004</v>
      </c>
      <c r="Q35" s="17">
        <f t="shared" si="5"/>
        <v>361.84242424242422</v>
      </c>
      <c r="R35" s="17">
        <f t="shared" si="6"/>
        <v>54574.040219378425</v>
      </c>
      <c r="S35" s="46">
        <f t="shared" si="7"/>
        <v>1.252847571611075</v>
      </c>
      <c r="T35" s="41">
        <v>82.5</v>
      </c>
      <c r="U35" s="6" t="s">
        <v>82</v>
      </c>
      <c r="V35" t="s">
        <v>257</v>
      </c>
      <c r="X35" t="s">
        <v>245</v>
      </c>
      <c r="Y35">
        <v>0</v>
      </c>
      <c r="Z35">
        <v>1</v>
      </c>
      <c r="AA35" s="7">
        <v>44461</v>
      </c>
      <c r="AC35" s="8" t="s">
        <v>48</v>
      </c>
      <c r="AD35" t="s">
        <v>49</v>
      </c>
    </row>
    <row r="36" spans="1:31" x14ac:dyDescent="0.25">
      <c r="A36" t="s">
        <v>227</v>
      </c>
      <c r="B36" t="s">
        <v>228</v>
      </c>
      <c r="C36" s="27">
        <v>44510</v>
      </c>
      <c r="D36" s="17">
        <v>106500</v>
      </c>
      <c r="E36" t="s">
        <v>44</v>
      </c>
      <c r="F36" t="s">
        <v>45</v>
      </c>
      <c r="G36" s="17">
        <v>106500</v>
      </c>
      <c r="H36" s="17">
        <v>28300</v>
      </c>
      <c r="I36" s="22">
        <f t="shared" si="4"/>
        <v>26.572769953051644</v>
      </c>
      <c r="J36" s="17">
        <v>96438</v>
      </c>
      <c r="K36" s="17">
        <f>G36-76638</f>
        <v>29862</v>
      </c>
      <c r="L36" s="17">
        <v>19800</v>
      </c>
      <c r="M36" s="32">
        <v>66</v>
      </c>
      <c r="N36" s="36">
        <v>189.75</v>
      </c>
      <c r="O36" s="41">
        <v>0.28799999999999998</v>
      </c>
      <c r="P36" s="41">
        <v>0.28799999999999998</v>
      </c>
      <c r="Q36" s="17">
        <f t="shared" si="5"/>
        <v>452.45454545454544</v>
      </c>
      <c r="R36" s="17">
        <f t="shared" si="6"/>
        <v>103687.50000000001</v>
      </c>
      <c r="S36" s="46">
        <f t="shared" si="7"/>
        <v>2.3803374655647387</v>
      </c>
      <c r="T36" s="41">
        <v>66</v>
      </c>
      <c r="U36" s="6" t="s">
        <v>82</v>
      </c>
      <c r="V36" t="s">
        <v>229</v>
      </c>
      <c r="X36" t="s">
        <v>216</v>
      </c>
      <c r="Y36">
        <v>0</v>
      </c>
      <c r="Z36">
        <v>1</v>
      </c>
      <c r="AA36" s="7">
        <v>44558</v>
      </c>
      <c r="AC36" s="8" t="s">
        <v>48</v>
      </c>
      <c r="AD36" t="s">
        <v>49</v>
      </c>
    </row>
    <row r="37" spans="1:31" x14ac:dyDescent="0.25">
      <c r="A37" t="s">
        <v>185</v>
      </c>
      <c r="B37" t="s">
        <v>186</v>
      </c>
      <c r="C37" s="27">
        <v>44308</v>
      </c>
      <c r="D37" s="17">
        <v>30000</v>
      </c>
      <c r="E37" t="s">
        <v>44</v>
      </c>
      <c r="F37" t="s">
        <v>45</v>
      </c>
      <c r="G37" s="17">
        <v>30000</v>
      </c>
      <c r="H37" s="17">
        <v>22300</v>
      </c>
      <c r="I37" s="22">
        <f t="shared" si="4"/>
        <v>74.333333333333329</v>
      </c>
      <c r="J37" s="17">
        <v>51975</v>
      </c>
      <c r="K37" s="17">
        <f>G37-0</f>
        <v>30000</v>
      </c>
      <c r="L37" s="17">
        <v>51975</v>
      </c>
      <c r="M37" s="32">
        <v>297</v>
      </c>
      <c r="N37" s="36">
        <v>660</v>
      </c>
      <c r="O37" s="41">
        <v>4.5</v>
      </c>
      <c r="P37" s="41">
        <v>4.5</v>
      </c>
      <c r="Q37" s="17">
        <f t="shared" si="5"/>
        <v>101.01010101010101</v>
      </c>
      <c r="R37" s="17">
        <f t="shared" si="6"/>
        <v>6666.666666666667</v>
      </c>
      <c r="S37" s="46">
        <f t="shared" si="7"/>
        <v>0.15304560759106214</v>
      </c>
      <c r="T37" s="41">
        <v>297</v>
      </c>
      <c r="U37" s="6" t="s">
        <v>82</v>
      </c>
      <c r="V37" t="s">
        <v>187</v>
      </c>
      <c r="X37" t="s">
        <v>153</v>
      </c>
      <c r="Y37">
        <v>0</v>
      </c>
      <c r="Z37">
        <v>1</v>
      </c>
      <c r="AA37" s="7">
        <v>44538</v>
      </c>
      <c r="AC37" s="8" t="s">
        <v>75</v>
      </c>
      <c r="AD37" t="s">
        <v>155</v>
      </c>
    </row>
    <row r="38" spans="1:31" x14ac:dyDescent="0.25">
      <c r="A38" t="s">
        <v>360</v>
      </c>
      <c r="B38" t="s">
        <v>361</v>
      </c>
      <c r="C38" s="27">
        <v>44750</v>
      </c>
      <c r="D38" s="17">
        <v>130000</v>
      </c>
      <c r="E38" t="s">
        <v>58</v>
      </c>
      <c r="F38" t="s">
        <v>45</v>
      </c>
      <c r="G38" s="17">
        <v>130000</v>
      </c>
      <c r="H38" s="17">
        <v>66000</v>
      </c>
      <c r="I38" s="22">
        <f t="shared" si="4"/>
        <v>50.769230769230766</v>
      </c>
      <c r="J38" s="17">
        <v>155420</v>
      </c>
      <c r="K38" s="17">
        <f>G38-99920</f>
        <v>30080</v>
      </c>
      <c r="L38" s="17">
        <v>55500</v>
      </c>
      <c r="M38" s="32">
        <v>185</v>
      </c>
      <c r="N38" s="36">
        <v>212.5</v>
      </c>
      <c r="O38" s="41">
        <v>0.90200000000000002</v>
      </c>
      <c r="P38" s="41">
        <v>0.90200000000000002</v>
      </c>
      <c r="Q38" s="17">
        <f t="shared" si="5"/>
        <v>162.59459459459458</v>
      </c>
      <c r="R38" s="17">
        <f t="shared" si="6"/>
        <v>33348.115299334808</v>
      </c>
      <c r="S38" s="46">
        <f t="shared" si="7"/>
        <v>0.76556738520052359</v>
      </c>
      <c r="T38" s="41">
        <v>185</v>
      </c>
      <c r="U38" s="6" t="s">
        <v>82</v>
      </c>
      <c r="V38" t="s">
        <v>362</v>
      </c>
      <c r="X38" t="s">
        <v>317</v>
      </c>
      <c r="Y38">
        <v>0</v>
      </c>
      <c r="Z38">
        <v>1</v>
      </c>
      <c r="AA38" s="7">
        <v>42179</v>
      </c>
      <c r="AC38" s="8" t="s">
        <v>48</v>
      </c>
      <c r="AD38" t="s">
        <v>91</v>
      </c>
    </row>
    <row r="39" spans="1:31" x14ac:dyDescent="0.25">
      <c r="A39" t="s">
        <v>115</v>
      </c>
      <c r="B39" t="s">
        <v>116</v>
      </c>
      <c r="C39" s="27">
        <v>44389</v>
      </c>
      <c r="D39" s="17">
        <v>130000</v>
      </c>
      <c r="E39" t="s">
        <v>44</v>
      </c>
      <c r="F39" t="s">
        <v>45</v>
      </c>
      <c r="G39" s="17">
        <v>130000</v>
      </c>
      <c r="H39" s="17">
        <v>45800</v>
      </c>
      <c r="I39" s="22">
        <f t="shared" si="4"/>
        <v>35.230769230769234</v>
      </c>
      <c r="J39" s="17">
        <v>122648</v>
      </c>
      <c r="K39" s="17">
        <f>G39-99755</f>
        <v>30245</v>
      </c>
      <c r="L39" s="17">
        <v>22893</v>
      </c>
      <c r="M39" s="32">
        <v>76.31</v>
      </c>
      <c r="N39" s="36">
        <v>165</v>
      </c>
      <c r="O39" s="41">
        <v>0.28899999999999998</v>
      </c>
      <c r="P39" s="41">
        <v>0.28899999999999998</v>
      </c>
      <c r="Q39" s="17">
        <f t="shared" si="5"/>
        <v>396.34386056873279</v>
      </c>
      <c r="R39" s="17">
        <f t="shared" si="6"/>
        <v>104653.97923875433</v>
      </c>
      <c r="S39" s="46">
        <f t="shared" si="7"/>
        <v>2.4025247759126338</v>
      </c>
      <c r="T39" s="41">
        <v>76.31</v>
      </c>
      <c r="U39" s="6" t="s">
        <v>82</v>
      </c>
      <c r="V39" t="s">
        <v>117</v>
      </c>
      <c r="X39" t="s">
        <v>84</v>
      </c>
      <c r="Y39">
        <v>0</v>
      </c>
      <c r="Z39">
        <v>1</v>
      </c>
      <c r="AA39" s="7">
        <v>44475</v>
      </c>
      <c r="AC39" s="8" t="s">
        <v>48</v>
      </c>
      <c r="AD39" t="s">
        <v>49</v>
      </c>
    </row>
    <row r="40" spans="1:31" x14ac:dyDescent="0.25">
      <c r="A40" t="s">
        <v>213</v>
      </c>
      <c r="B40" t="s">
        <v>214</v>
      </c>
      <c r="C40" s="27">
        <v>44622</v>
      </c>
      <c r="D40" s="17">
        <v>80000</v>
      </c>
      <c r="E40" t="s">
        <v>44</v>
      </c>
      <c r="F40" t="s">
        <v>173</v>
      </c>
      <c r="G40" s="17">
        <v>80000</v>
      </c>
      <c r="H40" s="17">
        <v>43500</v>
      </c>
      <c r="I40" s="22">
        <f t="shared" si="4"/>
        <v>54.374999999999993</v>
      </c>
      <c r="J40" s="17">
        <v>92753</v>
      </c>
      <c r="K40" s="17">
        <f>G40-49508</f>
        <v>30492</v>
      </c>
      <c r="L40" s="17">
        <v>43245</v>
      </c>
      <c r="M40" s="32">
        <v>192.75</v>
      </c>
      <c r="N40" s="36">
        <v>429</v>
      </c>
      <c r="O40" s="41">
        <v>0.96</v>
      </c>
      <c r="P40" s="41">
        <v>0.5</v>
      </c>
      <c r="Q40" s="17">
        <f t="shared" si="5"/>
        <v>158.19455252918289</v>
      </c>
      <c r="R40" s="17">
        <f t="shared" si="6"/>
        <v>31762.5</v>
      </c>
      <c r="S40" s="46">
        <f t="shared" si="7"/>
        <v>0.72916666666666663</v>
      </c>
      <c r="T40" s="41">
        <v>192.75</v>
      </c>
      <c r="U40" s="6" t="s">
        <v>82</v>
      </c>
      <c r="W40" t="s">
        <v>215</v>
      </c>
      <c r="X40" t="s">
        <v>216</v>
      </c>
      <c r="Y40">
        <v>0</v>
      </c>
      <c r="Z40">
        <v>1</v>
      </c>
      <c r="AA40" s="7">
        <v>33430</v>
      </c>
      <c r="AC40" s="8" t="s">
        <v>48</v>
      </c>
      <c r="AD40" t="s">
        <v>49</v>
      </c>
    </row>
    <row r="41" spans="1:31" x14ac:dyDescent="0.25">
      <c r="A41" t="s">
        <v>171</v>
      </c>
      <c r="B41" t="s">
        <v>172</v>
      </c>
      <c r="C41" s="27">
        <v>44364</v>
      </c>
      <c r="D41" s="17">
        <v>147000</v>
      </c>
      <c r="E41" t="s">
        <v>44</v>
      </c>
      <c r="F41" t="s">
        <v>45</v>
      </c>
      <c r="G41" s="17">
        <v>147000</v>
      </c>
      <c r="H41" s="17">
        <v>0</v>
      </c>
      <c r="I41" s="22">
        <f t="shared" si="4"/>
        <v>0</v>
      </c>
      <c r="J41" s="17">
        <v>155331</v>
      </c>
      <c r="K41" s="17">
        <f>G41-115207</f>
        <v>31793</v>
      </c>
      <c r="L41" s="17">
        <v>40124</v>
      </c>
      <c r="M41" s="32">
        <v>114.64</v>
      </c>
      <c r="N41" s="36">
        <v>165</v>
      </c>
      <c r="O41" s="41">
        <v>0.434</v>
      </c>
      <c r="P41" s="41">
        <v>0.434</v>
      </c>
      <c r="Q41" s="17">
        <f t="shared" si="5"/>
        <v>277.32903000697837</v>
      </c>
      <c r="R41" s="17">
        <f t="shared" si="6"/>
        <v>73255.760368663599</v>
      </c>
      <c r="S41" s="46">
        <f t="shared" si="7"/>
        <v>1.6817208532751056</v>
      </c>
      <c r="T41" s="41">
        <v>114.64</v>
      </c>
      <c r="U41" s="6" t="s">
        <v>82</v>
      </c>
      <c r="V41" t="s">
        <v>58</v>
      </c>
      <c r="X41" t="s">
        <v>153</v>
      </c>
      <c r="Y41">
        <v>0</v>
      </c>
      <c r="Z41">
        <v>1</v>
      </c>
      <c r="AA41" s="7">
        <v>44351</v>
      </c>
      <c r="AC41" s="8" t="s">
        <v>48</v>
      </c>
      <c r="AD41" t="s">
        <v>155</v>
      </c>
    </row>
    <row r="42" spans="1:31" x14ac:dyDescent="0.25">
      <c r="A42" t="s">
        <v>136</v>
      </c>
      <c r="B42" t="s">
        <v>137</v>
      </c>
      <c r="C42" s="27">
        <v>44371</v>
      </c>
      <c r="D42" s="17">
        <v>155000</v>
      </c>
      <c r="E42" t="s">
        <v>44</v>
      </c>
      <c r="F42" t="s">
        <v>45</v>
      </c>
      <c r="G42" s="17">
        <v>155000</v>
      </c>
      <c r="H42" s="17">
        <v>53800</v>
      </c>
      <c r="I42" s="22">
        <f t="shared" si="4"/>
        <v>34.70967741935484</v>
      </c>
      <c r="J42" s="17">
        <v>142853</v>
      </c>
      <c r="K42" s="17">
        <f>G42-123053</f>
        <v>31947</v>
      </c>
      <c r="L42" s="17">
        <v>19800</v>
      </c>
      <c r="M42" s="32">
        <v>82.5</v>
      </c>
      <c r="N42" s="36">
        <v>92.620002999999997</v>
      </c>
      <c r="O42" s="41">
        <v>0.17499999999999999</v>
      </c>
      <c r="P42" s="41">
        <v>0.17499999999999999</v>
      </c>
      <c r="Q42" s="17">
        <f t="shared" si="5"/>
        <v>387.23636363636365</v>
      </c>
      <c r="R42" s="17">
        <f t="shared" si="6"/>
        <v>182554.28571428574</v>
      </c>
      <c r="S42" s="46">
        <f t="shared" si="7"/>
        <v>4.1908697363242826</v>
      </c>
      <c r="T42" s="41">
        <v>82.5</v>
      </c>
      <c r="U42" s="6" t="s">
        <v>82</v>
      </c>
      <c r="V42" t="s">
        <v>138</v>
      </c>
      <c r="X42" t="s">
        <v>84</v>
      </c>
      <c r="Y42">
        <v>0</v>
      </c>
      <c r="Z42">
        <v>1</v>
      </c>
      <c r="AA42" s="7">
        <v>44461</v>
      </c>
      <c r="AC42" s="8" t="s">
        <v>48</v>
      </c>
      <c r="AD42" t="s">
        <v>49</v>
      </c>
    </row>
    <row r="43" spans="1:31" x14ac:dyDescent="0.25">
      <c r="A43" t="s">
        <v>345</v>
      </c>
      <c r="B43" t="s">
        <v>346</v>
      </c>
      <c r="C43" s="27">
        <v>44792</v>
      </c>
      <c r="D43" s="17">
        <v>130000</v>
      </c>
      <c r="E43" t="s">
        <v>44</v>
      </c>
      <c r="F43" t="s">
        <v>45</v>
      </c>
      <c r="G43" s="17">
        <v>130000</v>
      </c>
      <c r="H43" s="17">
        <v>47400</v>
      </c>
      <c r="I43" s="22">
        <f t="shared" si="4"/>
        <v>36.46153846153846</v>
      </c>
      <c r="J43" s="17">
        <v>117802</v>
      </c>
      <c r="K43" s="17">
        <f>G43-98002</f>
        <v>31998</v>
      </c>
      <c r="L43" s="17">
        <v>19800</v>
      </c>
      <c r="M43" s="32">
        <v>66</v>
      </c>
      <c r="N43" s="36">
        <v>173.25</v>
      </c>
      <c r="O43" s="41">
        <v>0.26300000000000001</v>
      </c>
      <c r="P43" s="41">
        <v>0.26300000000000001</v>
      </c>
      <c r="Q43" s="17">
        <f t="shared" si="5"/>
        <v>484.81818181818181</v>
      </c>
      <c r="R43" s="17">
        <f t="shared" si="6"/>
        <v>121665.39923954372</v>
      </c>
      <c r="S43" s="46">
        <f t="shared" si="7"/>
        <v>2.7930532424137677</v>
      </c>
      <c r="T43" s="41">
        <v>66</v>
      </c>
      <c r="U43" s="6" t="s">
        <v>82</v>
      </c>
      <c r="V43" t="s">
        <v>348</v>
      </c>
      <c r="X43" t="s">
        <v>317</v>
      </c>
      <c r="Y43">
        <v>0</v>
      </c>
      <c r="Z43">
        <v>1</v>
      </c>
      <c r="AA43" s="7">
        <v>44461</v>
      </c>
      <c r="AC43" s="8" t="s">
        <v>48</v>
      </c>
      <c r="AD43" t="s">
        <v>91</v>
      </c>
    </row>
    <row r="44" spans="1:31" x14ac:dyDescent="0.25">
      <c r="A44" t="s">
        <v>85</v>
      </c>
      <c r="B44" t="s">
        <v>86</v>
      </c>
      <c r="C44" s="27">
        <v>44806</v>
      </c>
      <c r="D44" s="17">
        <v>117000</v>
      </c>
      <c r="E44" t="s">
        <v>58</v>
      </c>
      <c r="F44" t="s">
        <v>45</v>
      </c>
      <c r="G44" s="17">
        <v>117000</v>
      </c>
      <c r="H44" s="17">
        <v>39700</v>
      </c>
      <c r="I44" s="22">
        <f t="shared" si="4"/>
        <v>33.931623931623932</v>
      </c>
      <c r="J44" s="17">
        <v>99023</v>
      </c>
      <c r="K44" s="17">
        <f>G44-83573</f>
        <v>33427</v>
      </c>
      <c r="L44" s="17">
        <v>15450</v>
      </c>
      <c r="M44" s="32">
        <v>51.5</v>
      </c>
      <c r="N44" s="36">
        <v>166.01899700000001</v>
      </c>
      <c r="O44" s="41">
        <v>0.19600000000000001</v>
      </c>
      <c r="P44" s="41">
        <v>0.19600000000000001</v>
      </c>
      <c r="Q44" s="17">
        <f t="shared" si="5"/>
        <v>649.06796116504859</v>
      </c>
      <c r="R44" s="17">
        <f t="shared" si="6"/>
        <v>170545.91836734692</v>
      </c>
      <c r="S44" s="46">
        <f t="shared" si="7"/>
        <v>3.9151955548059441</v>
      </c>
      <c r="T44" s="41">
        <v>51.5</v>
      </c>
      <c r="U44" s="6" t="s">
        <v>82</v>
      </c>
      <c r="V44" t="s">
        <v>87</v>
      </c>
      <c r="X44" t="s">
        <v>84</v>
      </c>
      <c r="Y44">
        <v>0</v>
      </c>
      <c r="Z44">
        <v>1</v>
      </c>
      <c r="AA44" s="7">
        <v>44579</v>
      </c>
      <c r="AC44" s="8" t="s">
        <v>48</v>
      </c>
      <c r="AD44" t="s">
        <v>49</v>
      </c>
    </row>
    <row r="45" spans="1:31" x14ac:dyDescent="0.25">
      <c r="A45" t="s">
        <v>121</v>
      </c>
      <c r="B45" t="s">
        <v>122</v>
      </c>
      <c r="C45" s="27">
        <v>44390</v>
      </c>
      <c r="D45" s="17">
        <v>193900</v>
      </c>
      <c r="E45" t="s">
        <v>58</v>
      </c>
      <c r="F45" t="s">
        <v>45</v>
      </c>
      <c r="G45" s="17">
        <v>193900</v>
      </c>
      <c r="H45" s="17">
        <v>54300</v>
      </c>
      <c r="I45" s="22">
        <f t="shared" si="4"/>
        <v>28.004125838060855</v>
      </c>
      <c r="J45" s="17">
        <v>177117</v>
      </c>
      <c r="K45" s="17">
        <f>G45-160287</f>
        <v>33613</v>
      </c>
      <c r="L45" s="17">
        <v>16830</v>
      </c>
      <c r="M45" s="32">
        <v>165</v>
      </c>
      <c r="N45" s="36">
        <v>152.61999499999999</v>
      </c>
      <c r="O45" s="41">
        <v>0.57799999999999996</v>
      </c>
      <c r="P45" s="41">
        <v>0.57799999999999996</v>
      </c>
      <c r="Q45" s="17">
        <f t="shared" si="5"/>
        <v>203.71515151515152</v>
      </c>
      <c r="R45" s="17">
        <f t="shared" si="6"/>
        <v>58153.979238754328</v>
      </c>
      <c r="S45" s="46">
        <f t="shared" si="7"/>
        <v>1.3350316629649754</v>
      </c>
      <c r="T45" s="41">
        <v>165</v>
      </c>
      <c r="U45" s="6" t="s">
        <v>82</v>
      </c>
      <c r="V45" t="s">
        <v>123</v>
      </c>
      <c r="X45" t="s">
        <v>84</v>
      </c>
      <c r="Y45">
        <v>0</v>
      </c>
      <c r="Z45">
        <v>1</v>
      </c>
      <c r="AA45" s="7">
        <v>44461</v>
      </c>
      <c r="AC45" s="8" t="s">
        <v>48</v>
      </c>
      <c r="AD45" t="s">
        <v>91</v>
      </c>
    </row>
    <row r="46" spans="1:31" x14ac:dyDescent="0.25">
      <c r="A46" t="s">
        <v>301</v>
      </c>
      <c r="B46" t="s">
        <v>302</v>
      </c>
      <c r="C46" s="27">
        <v>44491</v>
      </c>
      <c r="D46" s="17">
        <v>120000</v>
      </c>
      <c r="E46" t="s">
        <v>44</v>
      </c>
      <c r="F46" t="s">
        <v>45</v>
      </c>
      <c r="G46" s="17">
        <v>120000</v>
      </c>
      <c r="H46" s="17">
        <v>40400</v>
      </c>
      <c r="I46" s="22">
        <f t="shared" si="4"/>
        <v>33.666666666666664</v>
      </c>
      <c r="J46" s="17">
        <v>105576</v>
      </c>
      <c r="K46" s="17">
        <f>G46-85776</f>
        <v>34224</v>
      </c>
      <c r="L46" s="17">
        <v>19800</v>
      </c>
      <c r="M46" s="32">
        <v>66</v>
      </c>
      <c r="N46" s="36">
        <v>82.5</v>
      </c>
      <c r="O46" s="41">
        <v>0.125</v>
      </c>
      <c r="P46" s="41">
        <v>0.125</v>
      </c>
      <c r="Q46" s="17">
        <f t="shared" si="5"/>
        <v>518.5454545454545</v>
      </c>
      <c r="R46" s="17">
        <f t="shared" si="6"/>
        <v>273792</v>
      </c>
      <c r="S46" s="46">
        <f t="shared" si="7"/>
        <v>6.2853994490358129</v>
      </c>
      <c r="T46" s="41">
        <v>66</v>
      </c>
      <c r="U46" s="6" t="s">
        <v>82</v>
      </c>
      <c r="V46" t="s">
        <v>303</v>
      </c>
      <c r="X46" t="s">
        <v>297</v>
      </c>
      <c r="Y46">
        <v>0</v>
      </c>
      <c r="Z46">
        <v>1</v>
      </c>
      <c r="AA46" s="7">
        <v>44433</v>
      </c>
      <c r="AC46" s="8" t="s">
        <v>48</v>
      </c>
      <c r="AD46" t="s">
        <v>49</v>
      </c>
    </row>
    <row r="47" spans="1:31" x14ac:dyDescent="0.25">
      <c r="A47" t="s">
        <v>95</v>
      </c>
      <c r="B47" t="s">
        <v>96</v>
      </c>
      <c r="C47" s="27">
        <v>44462</v>
      </c>
      <c r="D47" s="17">
        <v>109900</v>
      </c>
      <c r="E47" t="s">
        <v>44</v>
      </c>
      <c r="F47" t="s">
        <v>45</v>
      </c>
      <c r="G47" s="17">
        <v>109900</v>
      </c>
      <c r="H47" s="17">
        <v>27200</v>
      </c>
      <c r="I47" s="22">
        <f t="shared" si="4"/>
        <v>24.749772520473158</v>
      </c>
      <c r="J47" s="17">
        <v>84210</v>
      </c>
      <c r="K47" s="17">
        <f>G47-74810</f>
        <v>35090</v>
      </c>
      <c r="L47" s="17">
        <v>9400</v>
      </c>
      <c r="M47" s="32">
        <v>66</v>
      </c>
      <c r="N47" s="36">
        <v>75</v>
      </c>
      <c r="O47" s="41">
        <v>0.114</v>
      </c>
      <c r="P47" s="41">
        <v>0.114</v>
      </c>
      <c r="Q47" s="17">
        <f t="shared" si="5"/>
        <v>531.66666666666663</v>
      </c>
      <c r="R47" s="17">
        <f t="shared" si="6"/>
        <v>307807.01754385966</v>
      </c>
      <c r="S47" s="46">
        <f t="shared" si="7"/>
        <v>7.0662768031189085</v>
      </c>
      <c r="T47" s="41">
        <v>66</v>
      </c>
      <c r="U47" s="6" t="s">
        <v>82</v>
      </c>
      <c r="V47" t="s">
        <v>97</v>
      </c>
      <c r="X47" t="s">
        <v>84</v>
      </c>
      <c r="Y47">
        <v>0</v>
      </c>
      <c r="Z47">
        <v>1</v>
      </c>
      <c r="AA47" s="7">
        <v>44712</v>
      </c>
      <c r="AB47" t="s">
        <v>88</v>
      </c>
      <c r="AC47" s="8" t="s">
        <v>48</v>
      </c>
      <c r="AD47" t="s">
        <v>98</v>
      </c>
    </row>
    <row r="48" spans="1:31" x14ac:dyDescent="0.25">
      <c r="A48" t="s">
        <v>372</v>
      </c>
      <c r="B48" t="s">
        <v>373</v>
      </c>
      <c r="C48" s="27">
        <v>44581</v>
      </c>
      <c r="D48" s="17">
        <v>114900</v>
      </c>
      <c r="E48" t="s">
        <v>44</v>
      </c>
      <c r="F48" t="s">
        <v>173</v>
      </c>
      <c r="G48" s="17">
        <v>114900</v>
      </c>
      <c r="H48" s="17">
        <v>51100</v>
      </c>
      <c r="I48" s="22">
        <f t="shared" si="4"/>
        <v>44.473455178416017</v>
      </c>
      <c r="J48" s="17">
        <v>127846</v>
      </c>
      <c r="K48" s="17">
        <f>G48-79696</f>
        <v>35204</v>
      </c>
      <c r="L48" s="17">
        <v>48150</v>
      </c>
      <c r="M48" s="32">
        <v>160.5</v>
      </c>
      <c r="N48" s="36">
        <v>176</v>
      </c>
      <c r="O48" s="41">
        <v>0.64800000000000002</v>
      </c>
      <c r="P48" s="41">
        <v>0.64800000000000002</v>
      </c>
      <c r="Q48" s="17">
        <f t="shared" si="5"/>
        <v>219.33956386292834</v>
      </c>
      <c r="R48" s="17">
        <f t="shared" si="6"/>
        <v>54327.160493827156</v>
      </c>
      <c r="S48" s="46">
        <f t="shared" si="7"/>
        <v>1.2471799929712386</v>
      </c>
      <c r="T48" s="41">
        <v>160.5</v>
      </c>
      <c r="U48" s="6" t="s">
        <v>82</v>
      </c>
      <c r="W48" t="s">
        <v>374</v>
      </c>
      <c r="X48" t="s">
        <v>317</v>
      </c>
      <c r="Y48">
        <v>0</v>
      </c>
      <c r="Z48">
        <v>0</v>
      </c>
      <c r="AA48" s="7">
        <v>44523</v>
      </c>
      <c r="AC48" s="8" t="s">
        <v>48</v>
      </c>
      <c r="AD48" t="s">
        <v>91</v>
      </c>
    </row>
    <row r="49" spans="1:30" x14ac:dyDescent="0.25">
      <c r="A49" t="s">
        <v>204</v>
      </c>
      <c r="B49" t="s">
        <v>205</v>
      </c>
      <c r="C49" s="27">
        <v>44344</v>
      </c>
      <c r="D49" s="17">
        <v>100000</v>
      </c>
      <c r="E49" t="s">
        <v>44</v>
      </c>
      <c r="F49" t="s">
        <v>45</v>
      </c>
      <c r="G49" s="17">
        <v>100000</v>
      </c>
      <c r="H49" s="17">
        <v>37700</v>
      </c>
      <c r="I49" s="22">
        <f t="shared" si="4"/>
        <v>37.700000000000003</v>
      </c>
      <c r="J49" s="17">
        <v>93499</v>
      </c>
      <c r="K49" s="17">
        <f>G49-64024</f>
        <v>35976</v>
      </c>
      <c r="L49" s="17">
        <v>29475</v>
      </c>
      <c r="M49" s="32">
        <v>98.25</v>
      </c>
      <c r="N49" s="36">
        <v>117.94000200000001</v>
      </c>
      <c r="O49" s="41">
        <v>0.26600000000000001</v>
      </c>
      <c r="P49" s="41">
        <v>0.26600000000000001</v>
      </c>
      <c r="Q49" s="17">
        <f t="shared" si="5"/>
        <v>366.16793893129773</v>
      </c>
      <c r="R49" s="17">
        <f t="shared" si="6"/>
        <v>135248.12030075188</v>
      </c>
      <c r="S49" s="46">
        <f t="shared" si="7"/>
        <v>3.1048696120466457</v>
      </c>
      <c r="T49" s="41">
        <v>98.25</v>
      </c>
      <c r="U49" s="6" t="s">
        <v>82</v>
      </c>
      <c r="V49" t="s">
        <v>206</v>
      </c>
      <c r="X49" t="s">
        <v>201</v>
      </c>
      <c r="Y49">
        <v>0</v>
      </c>
      <c r="Z49">
        <v>1</v>
      </c>
      <c r="AA49" s="7">
        <v>44461</v>
      </c>
      <c r="AC49" s="8" t="s">
        <v>48</v>
      </c>
      <c r="AD49" t="s">
        <v>49</v>
      </c>
    </row>
    <row r="50" spans="1:30" x14ac:dyDescent="0.25">
      <c r="A50" t="s">
        <v>182</v>
      </c>
      <c r="B50" t="s">
        <v>183</v>
      </c>
      <c r="C50" s="27">
        <v>44552</v>
      </c>
      <c r="D50" s="17">
        <v>83000</v>
      </c>
      <c r="E50" t="s">
        <v>44</v>
      </c>
      <c r="F50" t="s">
        <v>45</v>
      </c>
      <c r="G50" s="17">
        <v>83000</v>
      </c>
      <c r="H50" s="17">
        <v>26500</v>
      </c>
      <c r="I50" s="22">
        <f t="shared" si="4"/>
        <v>31.92771084337349</v>
      </c>
      <c r="J50" s="17">
        <v>72312</v>
      </c>
      <c r="K50" s="17">
        <f>G50-46965</f>
        <v>36035</v>
      </c>
      <c r="L50" s="17">
        <v>25347</v>
      </c>
      <c r="M50" s="32">
        <v>72.421000000000006</v>
      </c>
      <c r="N50" s="36">
        <v>565.38800000000003</v>
      </c>
      <c r="O50" s="41">
        <v>0.94</v>
      </c>
      <c r="P50" s="41">
        <v>0.94</v>
      </c>
      <c r="Q50" s="17">
        <f t="shared" si="5"/>
        <v>497.5766697504867</v>
      </c>
      <c r="R50" s="17">
        <f t="shared" si="6"/>
        <v>38335.106382978724</v>
      </c>
      <c r="S50" s="46">
        <f t="shared" si="7"/>
        <v>0.88005294726764749</v>
      </c>
      <c r="T50" s="41">
        <v>72.421000000000006</v>
      </c>
      <c r="U50" s="6" t="s">
        <v>82</v>
      </c>
      <c r="V50" t="s">
        <v>184</v>
      </c>
      <c r="X50" t="s">
        <v>153</v>
      </c>
      <c r="Y50">
        <v>0</v>
      </c>
      <c r="Z50">
        <v>1</v>
      </c>
      <c r="AA50" s="7">
        <v>44538</v>
      </c>
      <c r="AC50" s="8" t="s">
        <v>48</v>
      </c>
      <c r="AD50" t="s">
        <v>155</v>
      </c>
    </row>
    <row r="51" spans="1:30" x14ac:dyDescent="0.25">
      <c r="A51" t="s">
        <v>285</v>
      </c>
      <c r="B51" t="s">
        <v>286</v>
      </c>
      <c r="C51" s="27">
        <v>44771</v>
      </c>
      <c r="D51" s="17">
        <v>168000</v>
      </c>
      <c r="E51" t="s">
        <v>58</v>
      </c>
      <c r="F51" t="s">
        <v>45</v>
      </c>
      <c r="G51" s="17">
        <v>168000</v>
      </c>
      <c r="H51" s="17">
        <v>68800</v>
      </c>
      <c r="I51" s="22">
        <f t="shared" si="4"/>
        <v>40.952380952380949</v>
      </c>
      <c r="J51" s="17">
        <v>167917</v>
      </c>
      <c r="K51" s="17">
        <f>G51-131917</f>
        <v>36083</v>
      </c>
      <c r="L51" s="17">
        <v>36000</v>
      </c>
      <c r="M51" s="32">
        <v>120</v>
      </c>
      <c r="N51" s="36">
        <v>165</v>
      </c>
      <c r="O51" s="41">
        <v>0.45500000000000002</v>
      </c>
      <c r="P51" s="41">
        <v>0.45500000000000002</v>
      </c>
      <c r="Q51" s="17">
        <f t="shared" si="5"/>
        <v>300.69166666666666</v>
      </c>
      <c r="R51" s="17">
        <f t="shared" si="6"/>
        <v>79303.296703296699</v>
      </c>
      <c r="S51" s="46">
        <f t="shared" si="7"/>
        <v>1.8205531841895477</v>
      </c>
      <c r="T51" s="41">
        <v>120</v>
      </c>
      <c r="U51" s="6" t="s">
        <v>82</v>
      </c>
      <c r="X51" t="s">
        <v>272</v>
      </c>
      <c r="Y51">
        <v>0</v>
      </c>
      <c r="Z51">
        <v>1</v>
      </c>
      <c r="AA51" s="7">
        <v>44475</v>
      </c>
      <c r="AC51" s="8" t="s">
        <v>48</v>
      </c>
      <c r="AD51" t="s">
        <v>49</v>
      </c>
    </row>
    <row r="52" spans="1:30" x14ac:dyDescent="0.25">
      <c r="A52" t="s">
        <v>76</v>
      </c>
      <c r="B52" t="s">
        <v>77</v>
      </c>
      <c r="C52" s="27">
        <v>45070</v>
      </c>
      <c r="D52" s="17">
        <v>205000</v>
      </c>
      <c r="E52" t="s">
        <v>44</v>
      </c>
      <c r="F52" t="s">
        <v>45</v>
      </c>
      <c r="G52" s="17">
        <v>205000</v>
      </c>
      <c r="H52" s="17">
        <v>91800</v>
      </c>
      <c r="I52" s="22">
        <f t="shared" si="4"/>
        <v>44.780487804878049</v>
      </c>
      <c r="J52" s="17">
        <v>195672</v>
      </c>
      <c r="K52" s="17">
        <f>G52-168172</f>
        <v>36828</v>
      </c>
      <c r="L52" s="17">
        <v>27500</v>
      </c>
      <c r="M52" s="32">
        <v>115</v>
      </c>
      <c r="N52" s="36">
        <v>120.199997</v>
      </c>
      <c r="O52" s="41">
        <v>0.317</v>
      </c>
      <c r="P52" s="41">
        <v>0.317</v>
      </c>
      <c r="Q52" s="17">
        <f t="shared" si="5"/>
        <v>320.24347826086955</v>
      </c>
      <c r="R52" s="17">
        <f t="shared" si="6"/>
        <v>116176.65615141956</v>
      </c>
      <c r="S52" s="46">
        <f t="shared" si="7"/>
        <v>2.6670490392887869</v>
      </c>
      <c r="T52" s="41">
        <v>115</v>
      </c>
      <c r="U52" s="6" t="s">
        <v>46</v>
      </c>
      <c r="V52" t="s">
        <v>78</v>
      </c>
      <c r="X52" t="s">
        <v>69</v>
      </c>
      <c r="Y52">
        <v>0</v>
      </c>
      <c r="Z52">
        <v>1</v>
      </c>
      <c r="AA52" s="7">
        <v>35426</v>
      </c>
      <c r="AC52" s="8" t="s">
        <v>48</v>
      </c>
      <c r="AD52" t="s">
        <v>70</v>
      </c>
    </row>
    <row r="53" spans="1:30" x14ac:dyDescent="0.25">
      <c r="A53" t="s">
        <v>233</v>
      </c>
      <c r="B53" t="s">
        <v>234</v>
      </c>
      <c r="C53" s="27">
        <v>45166</v>
      </c>
      <c r="D53" s="17">
        <v>125000</v>
      </c>
      <c r="E53" t="s">
        <v>44</v>
      </c>
      <c r="F53" t="s">
        <v>45</v>
      </c>
      <c r="G53" s="17">
        <v>125000</v>
      </c>
      <c r="H53" s="17">
        <v>59800</v>
      </c>
      <c r="I53" s="22">
        <f t="shared" si="4"/>
        <v>47.839999999999996</v>
      </c>
      <c r="J53" s="17">
        <v>125654</v>
      </c>
      <c r="K53" s="17">
        <f>G53-86054</f>
        <v>38946</v>
      </c>
      <c r="L53" s="17">
        <v>39600</v>
      </c>
      <c r="M53" s="32">
        <v>132</v>
      </c>
      <c r="N53" s="36">
        <v>171</v>
      </c>
      <c r="O53" s="41">
        <v>0.51800000000000002</v>
      </c>
      <c r="P53" s="41">
        <v>0.51800000000000002</v>
      </c>
      <c r="Q53" s="17">
        <f t="shared" si="5"/>
        <v>295.04545454545456</v>
      </c>
      <c r="R53" s="17">
        <f t="shared" si="6"/>
        <v>75185.328185328181</v>
      </c>
      <c r="S53" s="46">
        <f t="shared" si="7"/>
        <v>1.7260176351085441</v>
      </c>
      <c r="T53" s="41">
        <v>132</v>
      </c>
      <c r="U53" s="6" t="s">
        <v>82</v>
      </c>
      <c r="V53" t="s">
        <v>235</v>
      </c>
      <c r="X53" t="s">
        <v>216</v>
      </c>
      <c r="Y53">
        <v>0</v>
      </c>
      <c r="Z53">
        <v>1</v>
      </c>
      <c r="AA53" s="7">
        <v>33430</v>
      </c>
      <c r="AC53" s="8" t="s">
        <v>48</v>
      </c>
      <c r="AD53" t="s">
        <v>49</v>
      </c>
    </row>
    <row r="54" spans="1:30" x14ac:dyDescent="0.25">
      <c r="A54" t="s">
        <v>217</v>
      </c>
      <c r="B54" t="s">
        <v>218</v>
      </c>
      <c r="C54" s="27">
        <v>44813</v>
      </c>
      <c r="D54" s="17">
        <v>90000</v>
      </c>
      <c r="E54" t="s">
        <v>58</v>
      </c>
      <c r="F54" t="s">
        <v>45</v>
      </c>
      <c r="G54" s="17">
        <v>90000</v>
      </c>
      <c r="H54" s="17">
        <v>28400</v>
      </c>
      <c r="I54" s="22">
        <f t="shared" si="4"/>
        <v>31.555555555555554</v>
      </c>
      <c r="J54" s="17">
        <v>68860</v>
      </c>
      <c r="K54" s="17">
        <f>G54-50860</f>
        <v>39140</v>
      </c>
      <c r="L54" s="17">
        <v>18000</v>
      </c>
      <c r="M54" s="32">
        <v>60</v>
      </c>
      <c r="N54" s="36">
        <v>196.35000600000001</v>
      </c>
      <c r="O54" s="41">
        <v>0.27</v>
      </c>
      <c r="P54" s="41">
        <v>0.27</v>
      </c>
      <c r="Q54" s="17">
        <f t="shared" si="5"/>
        <v>652.33333333333337</v>
      </c>
      <c r="R54" s="17">
        <f t="shared" si="6"/>
        <v>144962.96296296295</v>
      </c>
      <c r="S54" s="46">
        <f t="shared" si="7"/>
        <v>3.3278917117300955</v>
      </c>
      <c r="T54" s="41">
        <v>60</v>
      </c>
      <c r="U54" s="6" t="s">
        <v>82</v>
      </c>
      <c r="V54" t="s">
        <v>219</v>
      </c>
      <c r="X54" t="s">
        <v>216</v>
      </c>
      <c r="Y54">
        <v>0</v>
      </c>
      <c r="Z54">
        <v>1</v>
      </c>
      <c r="AA54" s="7">
        <v>33430</v>
      </c>
      <c r="AC54" s="8" t="s">
        <v>48</v>
      </c>
      <c r="AD54" t="s">
        <v>49</v>
      </c>
    </row>
    <row r="55" spans="1:30" x14ac:dyDescent="0.25">
      <c r="A55" t="s">
        <v>220</v>
      </c>
      <c r="B55" t="s">
        <v>221</v>
      </c>
      <c r="C55" s="27">
        <v>44812</v>
      </c>
      <c r="D55" s="17">
        <v>226000</v>
      </c>
      <c r="E55" t="s">
        <v>58</v>
      </c>
      <c r="F55" t="s">
        <v>45</v>
      </c>
      <c r="G55" s="17">
        <v>226000</v>
      </c>
      <c r="H55" s="17">
        <v>87500</v>
      </c>
      <c r="I55" s="22">
        <f t="shared" si="4"/>
        <v>38.716814159292035</v>
      </c>
      <c r="J55" s="17">
        <v>218244</v>
      </c>
      <c r="K55" s="17">
        <f>G55-184044</f>
        <v>41956</v>
      </c>
      <c r="L55" s="17">
        <v>34200</v>
      </c>
      <c r="M55" s="32">
        <v>114</v>
      </c>
      <c r="N55" s="36">
        <v>123.75</v>
      </c>
      <c r="O55" s="41">
        <v>0.32400000000000001</v>
      </c>
      <c r="P55" s="41">
        <v>0.32400000000000001</v>
      </c>
      <c r="Q55" s="17">
        <f t="shared" si="5"/>
        <v>368.03508771929825</v>
      </c>
      <c r="R55" s="17">
        <f t="shared" si="6"/>
        <v>129493.82716049382</v>
      </c>
      <c r="S55" s="46">
        <f t="shared" si="7"/>
        <v>2.9727692185604644</v>
      </c>
      <c r="T55" s="41">
        <v>114</v>
      </c>
      <c r="U55" s="6" t="s">
        <v>82</v>
      </c>
      <c r="V55" t="s">
        <v>222</v>
      </c>
      <c r="X55" t="s">
        <v>216</v>
      </c>
      <c r="Y55">
        <v>0</v>
      </c>
      <c r="Z55">
        <v>1</v>
      </c>
      <c r="AA55" s="7">
        <v>33430</v>
      </c>
      <c r="AC55" s="8" t="s">
        <v>48</v>
      </c>
      <c r="AD55" t="s">
        <v>49</v>
      </c>
    </row>
    <row r="56" spans="1:30" x14ac:dyDescent="0.25">
      <c r="A56" t="s">
        <v>89</v>
      </c>
      <c r="B56" t="s">
        <v>90</v>
      </c>
      <c r="C56" s="27">
        <v>44757</v>
      </c>
      <c r="D56" s="17">
        <v>114900</v>
      </c>
      <c r="E56" t="s">
        <v>58</v>
      </c>
      <c r="F56" t="s">
        <v>45</v>
      </c>
      <c r="G56" s="17">
        <v>114900</v>
      </c>
      <c r="H56" s="17">
        <v>34000</v>
      </c>
      <c r="I56" s="22">
        <f t="shared" si="4"/>
        <v>29.590948651000872</v>
      </c>
      <c r="J56" s="17">
        <v>87003</v>
      </c>
      <c r="K56" s="17">
        <f>G56-72153</f>
        <v>42747</v>
      </c>
      <c r="L56" s="17">
        <v>14850</v>
      </c>
      <c r="M56" s="32">
        <v>49.5</v>
      </c>
      <c r="N56" s="36">
        <v>82.5</v>
      </c>
      <c r="O56" s="41">
        <v>9.4E-2</v>
      </c>
      <c r="P56" s="41">
        <v>9.4E-2</v>
      </c>
      <c r="Q56" s="17">
        <f t="shared" si="5"/>
        <v>863.57575757575762</v>
      </c>
      <c r="R56" s="17">
        <f t="shared" si="6"/>
        <v>454755.31914893619</v>
      </c>
      <c r="S56" s="46">
        <f t="shared" si="7"/>
        <v>10.439745618662448</v>
      </c>
      <c r="T56" s="41">
        <v>49.5</v>
      </c>
      <c r="U56" s="6" t="s">
        <v>82</v>
      </c>
      <c r="X56" t="s">
        <v>84</v>
      </c>
      <c r="Y56">
        <v>0</v>
      </c>
      <c r="Z56">
        <v>1</v>
      </c>
      <c r="AA56" s="7">
        <v>33065</v>
      </c>
      <c r="AC56" s="8" t="s">
        <v>48</v>
      </c>
      <c r="AD56" t="s">
        <v>49</v>
      </c>
    </row>
    <row r="57" spans="1:30" x14ac:dyDescent="0.25">
      <c r="A57" t="s">
        <v>266</v>
      </c>
      <c r="B57" t="s">
        <v>267</v>
      </c>
      <c r="C57" s="27">
        <v>44588</v>
      </c>
      <c r="D57" s="17">
        <v>145000</v>
      </c>
      <c r="E57" t="s">
        <v>44</v>
      </c>
      <c r="F57" t="s">
        <v>45</v>
      </c>
      <c r="G57" s="17">
        <v>145000</v>
      </c>
      <c r="H57" s="17">
        <v>43500</v>
      </c>
      <c r="I57" s="22">
        <f t="shared" si="4"/>
        <v>30</v>
      </c>
      <c r="J57" s="17">
        <v>121756</v>
      </c>
      <c r="K57" s="17">
        <f>G57-101956</f>
        <v>43044</v>
      </c>
      <c r="L57" s="17">
        <v>19800</v>
      </c>
      <c r="M57" s="32">
        <v>66</v>
      </c>
      <c r="N57" s="36">
        <v>198</v>
      </c>
      <c r="O57" s="41">
        <v>0.3</v>
      </c>
      <c r="P57" s="41">
        <v>0.3</v>
      </c>
      <c r="Q57" s="17">
        <f t="shared" si="5"/>
        <v>652.18181818181813</v>
      </c>
      <c r="R57" s="17">
        <f t="shared" si="6"/>
        <v>143480</v>
      </c>
      <c r="S57" s="46">
        <f t="shared" si="7"/>
        <v>3.2938475665748395</v>
      </c>
      <c r="T57" s="41">
        <v>66</v>
      </c>
      <c r="U57" s="6" t="s">
        <v>82</v>
      </c>
      <c r="V57" t="s">
        <v>268</v>
      </c>
      <c r="X57" t="s">
        <v>261</v>
      </c>
      <c r="Y57">
        <v>0</v>
      </c>
      <c r="Z57">
        <v>1</v>
      </c>
      <c r="AA57" s="7">
        <v>44510</v>
      </c>
      <c r="AC57" s="8" t="s">
        <v>48</v>
      </c>
      <c r="AD57" t="s">
        <v>49</v>
      </c>
    </row>
    <row r="58" spans="1:30" x14ac:dyDescent="0.25">
      <c r="A58" t="s">
        <v>174</v>
      </c>
      <c r="B58" t="s">
        <v>175</v>
      </c>
      <c r="C58" s="27">
        <v>44302</v>
      </c>
      <c r="D58" s="17">
        <v>160000</v>
      </c>
      <c r="E58" t="s">
        <v>44</v>
      </c>
      <c r="F58" t="s">
        <v>45</v>
      </c>
      <c r="G58" s="17">
        <v>160000</v>
      </c>
      <c r="H58" s="17">
        <v>49100</v>
      </c>
      <c r="I58" s="22">
        <f t="shared" si="4"/>
        <v>30.6875</v>
      </c>
      <c r="J58" s="17">
        <v>152040</v>
      </c>
      <c r="K58" s="17">
        <f>G58-116936</f>
        <v>43064</v>
      </c>
      <c r="L58" s="17">
        <v>35104</v>
      </c>
      <c r="M58" s="32">
        <v>165</v>
      </c>
      <c r="N58" s="36">
        <v>264</v>
      </c>
      <c r="O58" s="41">
        <v>1</v>
      </c>
      <c r="P58" s="41">
        <v>1</v>
      </c>
      <c r="Q58" s="17">
        <f t="shared" si="5"/>
        <v>260.9939393939394</v>
      </c>
      <c r="R58" s="17">
        <f t="shared" si="6"/>
        <v>43064</v>
      </c>
      <c r="S58" s="46">
        <f t="shared" si="7"/>
        <v>0.98861340679522502</v>
      </c>
      <c r="T58" s="41">
        <v>165</v>
      </c>
      <c r="U58" s="6" t="s">
        <v>82</v>
      </c>
      <c r="V58" t="s">
        <v>176</v>
      </c>
      <c r="X58" t="s">
        <v>153</v>
      </c>
      <c r="Y58">
        <v>0</v>
      </c>
      <c r="Z58">
        <v>1</v>
      </c>
      <c r="AA58" s="7">
        <v>44083</v>
      </c>
      <c r="AC58" s="8" t="s">
        <v>48</v>
      </c>
      <c r="AD58" t="s">
        <v>49</v>
      </c>
    </row>
    <row r="59" spans="1:30" x14ac:dyDescent="0.25">
      <c r="A59" t="s">
        <v>318</v>
      </c>
      <c r="B59" t="s">
        <v>319</v>
      </c>
      <c r="C59" s="27">
        <v>44466</v>
      </c>
      <c r="D59" s="17">
        <v>98000</v>
      </c>
      <c r="E59" t="s">
        <v>44</v>
      </c>
      <c r="F59" t="s">
        <v>45</v>
      </c>
      <c r="G59" s="17">
        <v>98000</v>
      </c>
      <c r="H59" s="17">
        <v>30300</v>
      </c>
      <c r="I59" s="22">
        <f t="shared" si="4"/>
        <v>30.918367346938773</v>
      </c>
      <c r="J59" s="17">
        <v>75748</v>
      </c>
      <c r="K59" s="17">
        <f>G59-53998</f>
        <v>44002</v>
      </c>
      <c r="L59" s="17">
        <v>21750</v>
      </c>
      <c r="M59" s="32">
        <v>72.5</v>
      </c>
      <c r="N59" s="36">
        <v>214.5</v>
      </c>
      <c r="O59" s="41">
        <v>0.35699999999999998</v>
      </c>
      <c r="P59" s="41">
        <v>0.35699999999999998</v>
      </c>
      <c r="Q59" s="17">
        <f t="shared" si="5"/>
        <v>606.92413793103447</v>
      </c>
      <c r="R59" s="17">
        <f t="shared" si="6"/>
        <v>123254.90196078432</v>
      </c>
      <c r="S59" s="46">
        <f t="shared" si="7"/>
        <v>2.829543203874755</v>
      </c>
      <c r="T59" s="41">
        <v>72.5</v>
      </c>
      <c r="U59" s="6" t="s">
        <v>82</v>
      </c>
      <c r="V59" t="s">
        <v>320</v>
      </c>
      <c r="X59" t="s">
        <v>317</v>
      </c>
      <c r="Y59">
        <v>0</v>
      </c>
      <c r="Z59">
        <v>1</v>
      </c>
      <c r="AA59" s="7">
        <v>43782</v>
      </c>
      <c r="AC59" s="8" t="s">
        <v>48</v>
      </c>
      <c r="AD59" t="s">
        <v>91</v>
      </c>
    </row>
    <row r="60" spans="1:30" x14ac:dyDescent="0.25">
      <c r="A60" t="s">
        <v>294</v>
      </c>
      <c r="B60" t="s">
        <v>295</v>
      </c>
      <c r="C60" s="27">
        <v>44799</v>
      </c>
      <c r="D60" s="17">
        <v>114800</v>
      </c>
      <c r="E60" t="s">
        <v>44</v>
      </c>
      <c r="F60" t="s">
        <v>45</v>
      </c>
      <c r="G60" s="17">
        <v>114800</v>
      </c>
      <c r="H60" s="17">
        <v>39200</v>
      </c>
      <c r="I60" s="22">
        <f t="shared" si="4"/>
        <v>34.146341463414636</v>
      </c>
      <c r="J60" s="17">
        <v>94986</v>
      </c>
      <c r="K60" s="17">
        <f>G60-70236</f>
        <v>44564</v>
      </c>
      <c r="L60" s="17">
        <v>24750</v>
      </c>
      <c r="M60" s="32">
        <v>82.5</v>
      </c>
      <c r="N60" s="36">
        <v>66</v>
      </c>
      <c r="O60" s="41">
        <v>0.125</v>
      </c>
      <c r="P60" s="41">
        <v>0.125</v>
      </c>
      <c r="Q60" s="17">
        <f t="shared" si="5"/>
        <v>540.16969696969693</v>
      </c>
      <c r="R60" s="17">
        <f t="shared" si="6"/>
        <v>356512</v>
      </c>
      <c r="S60" s="46">
        <f t="shared" si="7"/>
        <v>8.1843893480257108</v>
      </c>
      <c r="T60" s="41">
        <v>82.5</v>
      </c>
      <c r="U60" s="6" t="s">
        <v>82</v>
      </c>
      <c r="V60" t="s">
        <v>296</v>
      </c>
      <c r="X60" t="s">
        <v>297</v>
      </c>
      <c r="Y60">
        <v>0</v>
      </c>
      <c r="Z60">
        <v>1</v>
      </c>
      <c r="AA60" s="7">
        <v>42473</v>
      </c>
      <c r="AC60" s="8" t="s">
        <v>48</v>
      </c>
      <c r="AD60" t="s">
        <v>49</v>
      </c>
    </row>
    <row r="61" spans="1:30" x14ac:dyDescent="0.25">
      <c r="A61" t="s">
        <v>377</v>
      </c>
      <c r="B61" t="s">
        <v>378</v>
      </c>
      <c r="C61" s="27">
        <v>44394</v>
      </c>
      <c r="D61" s="17">
        <v>130000</v>
      </c>
      <c r="E61" t="s">
        <v>58</v>
      </c>
      <c r="F61" t="s">
        <v>45</v>
      </c>
      <c r="G61" s="17">
        <v>130000</v>
      </c>
      <c r="H61" s="17">
        <v>37700</v>
      </c>
      <c r="I61" s="22">
        <f t="shared" si="4"/>
        <v>28.999999999999996</v>
      </c>
      <c r="J61" s="17">
        <v>104148</v>
      </c>
      <c r="K61" s="17">
        <f>G61-84348</f>
        <v>45652</v>
      </c>
      <c r="L61" s="17">
        <v>19800</v>
      </c>
      <c r="M61" s="32">
        <v>66</v>
      </c>
      <c r="N61" s="36">
        <v>82.5</v>
      </c>
      <c r="O61" s="41">
        <v>0.125</v>
      </c>
      <c r="P61" s="41">
        <v>0.125</v>
      </c>
      <c r="Q61" s="17">
        <f t="shared" si="5"/>
        <v>691.69696969696975</v>
      </c>
      <c r="R61" s="17">
        <f t="shared" si="6"/>
        <v>365216</v>
      </c>
      <c r="S61" s="46">
        <f t="shared" si="7"/>
        <v>8.384205693296602</v>
      </c>
      <c r="T61" s="41">
        <v>66</v>
      </c>
      <c r="U61" s="6" t="s">
        <v>82</v>
      </c>
      <c r="V61" t="s">
        <v>379</v>
      </c>
      <c r="X61" t="s">
        <v>317</v>
      </c>
      <c r="Y61">
        <v>0</v>
      </c>
      <c r="Z61">
        <v>1</v>
      </c>
      <c r="AA61" s="7">
        <v>44461</v>
      </c>
      <c r="AC61" s="8" t="s">
        <v>48</v>
      </c>
      <c r="AD61" t="s">
        <v>91</v>
      </c>
    </row>
    <row r="62" spans="1:30" x14ac:dyDescent="0.25">
      <c r="A62" t="s">
        <v>336</v>
      </c>
      <c r="B62" t="s">
        <v>337</v>
      </c>
      <c r="C62" s="27">
        <v>44498</v>
      </c>
      <c r="D62" s="17">
        <v>120000</v>
      </c>
      <c r="E62" t="s">
        <v>44</v>
      </c>
      <c r="F62" t="s">
        <v>45</v>
      </c>
      <c r="G62" s="17">
        <v>120000</v>
      </c>
      <c r="H62" s="17">
        <v>36900</v>
      </c>
      <c r="I62" s="22">
        <f t="shared" si="4"/>
        <v>30.75</v>
      </c>
      <c r="J62" s="17">
        <v>96607</v>
      </c>
      <c r="K62" s="17">
        <f>G62-74332</f>
        <v>45668</v>
      </c>
      <c r="L62" s="17">
        <v>22275</v>
      </c>
      <c r="M62" s="32">
        <v>74.25</v>
      </c>
      <c r="N62" s="36">
        <v>222.75</v>
      </c>
      <c r="O62" s="41">
        <v>0.38</v>
      </c>
      <c r="P62" s="41">
        <v>0.38</v>
      </c>
      <c r="Q62" s="17">
        <f t="shared" si="5"/>
        <v>615.05723905723903</v>
      </c>
      <c r="R62" s="17">
        <f t="shared" si="6"/>
        <v>120178.94736842105</v>
      </c>
      <c r="S62" s="46">
        <f t="shared" si="7"/>
        <v>2.7589290029481419</v>
      </c>
      <c r="T62" s="41">
        <v>74.25</v>
      </c>
      <c r="U62" s="6" t="s">
        <v>82</v>
      </c>
      <c r="V62" t="s">
        <v>338</v>
      </c>
      <c r="X62" t="s">
        <v>317</v>
      </c>
      <c r="Y62">
        <v>0</v>
      </c>
      <c r="Z62">
        <v>1</v>
      </c>
      <c r="AA62" s="7">
        <v>44579</v>
      </c>
      <c r="AB62" t="s">
        <v>88</v>
      </c>
      <c r="AC62" s="8" t="s">
        <v>48</v>
      </c>
      <c r="AD62" t="s">
        <v>91</v>
      </c>
    </row>
    <row r="63" spans="1:30" x14ac:dyDescent="0.25">
      <c r="A63" t="s">
        <v>63</v>
      </c>
      <c r="B63" t="s">
        <v>64</v>
      </c>
      <c r="C63" s="27">
        <v>44874</v>
      </c>
      <c r="D63" s="17">
        <v>260000</v>
      </c>
      <c r="E63" t="s">
        <v>44</v>
      </c>
      <c r="F63" t="s">
        <v>45</v>
      </c>
      <c r="G63" s="17">
        <v>260000</v>
      </c>
      <c r="H63" s="17">
        <v>97200</v>
      </c>
      <c r="I63" s="22">
        <f t="shared" si="4"/>
        <v>37.38461538461538</v>
      </c>
      <c r="J63" s="17">
        <v>244203</v>
      </c>
      <c r="K63" s="17">
        <f>G63-214203</f>
        <v>45797</v>
      </c>
      <c r="L63" s="17">
        <v>30000</v>
      </c>
      <c r="M63" s="32">
        <v>100</v>
      </c>
      <c r="N63" s="36">
        <v>200</v>
      </c>
      <c r="O63" s="41">
        <v>0.45900000000000002</v>
      </c>
      <c r="P63" s="41">
        <v>0.45900000000000002</v>
      </c>
      <c r="Q63" s="17">
        <f t="shared" si="5"/>
        <v>457.97</v>
      </c>
      <c r="R63" s="17">
        <f t="shared" si="6"/>
        <v>99775.5991285403</v>
      </c>
      <c r="S63" s="46">
        <f t="shared" si="7"/>
        <v>2.2905325787084552</v>
      </c>
      <c r="T63" s="41">
        <v>100</v>
      </c>
      <c r="U63" s="6" t="s">
        <v>46</v>
      </c>
      <c r="V63" t="s">
        <v>65</v>
      </c>
      <c r="X63" t="s">
        <v>47</v>
      </c>
      <c r="Y63">
        <v>1</v>
      </c>
      <c r="Z63">
        <v>0</v>
      </c>
      <c r="AA63" s="7">
        <v>44558</v>
      </c>
      <c r="AC63" s="8" t="s">
        <v>48</v>
      </c>
      <c r="AD63" t="s">
        <v>49</v>
      </c>
    </row>
    <row r="64" spans="1:30" x14ac:dyDescent="0.25">
      <c r="A64" t="s">
        <v>269</v>
      </c>
      <c r="B64" t="s">
        <v>270</v>
      </c>
      <c r="C64" s="27">
        <v>44390</v>
      </c>
      <c r="D64" s="17">
        <v>194000</v>
      </c>
      <c r="E64" t="s">
        <v>58</v>
      </c>
      <c r="F64" t="s">
        <v>45</v>
      </c>
      <c r="G64" s="17">
        <v>194000</v>
      </c>
      <c r="H64" s="17">
        <v>70800</v>
      </c>
      <c r="I64" s="22">
        <f t="shared" si="4"/>
        <v>36.494845360824741</v>
      </c>
      <c r="J64" s="17">
        <v>183083</v>
      </c>
      <c r="K64" s="17">
        <f>G64-147083</f>
        <v>46917</v>
      </c>
      <c r="L64" s="17">
        <v>36000</v>
      </c>
      <c r="M64" s="32">
        <v>120</v>
      </c>
      <c r="N64" s="36">
        <v>125</v>
      </c>
      <c r="O64" s="41">
        <v>0.34399999999999997</v>
      </c>
      <c r="P64" s="41">
        <v>0.34399999999999997</v>
      </c>
      <c r="Q64" s="17">
        <f t="shared" si="5"/>
        <v>390.97500000000002</v>
      </c>
      <c r="R64" s="17">
        <f t="shared" si="6"/>
        <v>136386.62790697676</v>
      </c>
      <c r="S64" s="46">
        <f t="shared" si="7"/>
        <v>3.1310061502979054</v>
      </c>
      <c r="T64" s="41">
        <v>120</v>
      </c>
      <c r="U64" s="6" t="s">
        <v>82</v>
      </c>
      <c r="V64" t="s">
        <v>271</v>
      </c>
      <c r="X64" t="s">
        <v>272</v>
      </c>
      <c r="Y64">
        <v>0</v>
      </c>
      <c r="Z64">
        <v>1</v>
      </c>
      <c r="AA64" s="7">
        <v>38414</v>
      </c>
      <c r="AC64" s="8" t="s">
        <v>48</v>
      </c>
      <c r="AD64" t="s">
        <v>49</v>
      </c>
    </row>
    <row r="65" spans="1:30" x14ac:dyDescent="0.25">
      <c r="A65" t="s">
        <v>307</v>
      </c>
      <c r="B65" t="s">
        <v>308</v>
      </c>
      <c r="C65" s="27">
        <v>44327</v>
      </c>
      <c r="D65" s="17">
        <v>115000</v>
      </c>
      <c r="E65" t="s">
        <v>44</v>
      </c>
      <c r="F65" t="s">
        <v>45</v>
      </c>
      <c r="G65" s="17">
        <v>115000</v>
      </c>
      <c r="H65" s="17">
        <v>28800</v>
      </c>
      <c r="I65" s="22">
        <f t="shared" si="4"/>
        <v>25.043478260869566</v>
      </c>
      <c r="J65" s="17">
        <v>86806</v>
      </c>
      <c r="K65" s="17">
        <f>G65-67006</f>
        <v>47994</v>
      </c>
      <c r="L65" s="17">
        <v>19800</v>
      </c>
      <c r="M65" s="32">
        <v>66</v>
      </c>
      <c r="N65" s="36">
        <v>165</v>
      </c>
      <c r="O65" s="41">
        <v>0.23699999999999999</v>
      </c>
      <c r="P65" s="41">
        <v>0.25</v>
      </c>
      <c r="Q65" s="17">
        <f t="shared" si="5"/>
        <v>727.18181818181813</v>
      </c>
      <c r="R65" s="17">
        <f t="shared" si="6"/>
        <v>202506.32911392406</v>
      </c>
      <c r="S65" s="46">
        <f t="shared" si="7"/>
        <v>4.6489056270414153</v>
      </c>
      <c r="T65" s="41">
        <v>66</v>
      </c>
      <c r="U65" s="6" t="s">
        <v>82</v>
      </c>
      <c r="V65" t="s">
        <v>309</v>
      </c>
      <c r="X65" t="s">
        <v>297</v>
      </c>
      <c r="Y65">
        <v>0</v>
      </c>
      <c r="Z65">
        <v>1</v>
      </c>
      <c r="AA65" s="7">
        <v>44461</v>
      </c>
      <c r="AC65" s="8" t="s">
        <v>48</v>
      </c>
      <c r="AD65" t="s">
        <v>49</v>
      </c>
    </row>
    <row r="66" spans="1:30" x14ac:dyDescent="0.25">
      <c r="A66" t="s">
        <v>287</v>
      </c>
      <c r="B66" t="s">
        <v>288</v>
      </c>
      <c r="C66" s="27">
        <v>44405</v>
      </c>
      <c r="D66" s="17">
        <v>160000</v>
      </c>
      <c r="E66" t="s">
        <v>58</v>
      </c>
      <c r="F66" t="s">
        <v>45</v>
      </c>
      <c r="G66" s="17">
        <v>160000</v>
      </c>
      <c r="H66" s="17">
        <v>48600</v>
      </c>
      <c r="I66" s="22">
        <f t="shared" ref="I66:I97" si="8">H66/G66*100</f>
        <v>30.375000000000004</v>
      </c>
      <c r="J66" s="17">
        <v>128445</v>
      </c>
      <c r="K66" s="17">
        <f>G66-110445</f>
        <v>49555</v>
      </c>
      <c r="L66" s="17">
        <v>18000</v>
      </c>
      <c r="M66" s="32">
        <v>60</v>
      </c>
      <c r="N66" s="36">
        <v>165</v>
      </c>
      <c r="O66" s="41">
        <v>0.22700000000000001</v>
      </c>
      <c r="P66" s="41">
        <v>0.22700000000000001</v>
      </c>
      <c r="Q66" s="17">
        <f t="shared" ref="Q66:Q97" si="9">K66/M66</f>
        <v>825.91666666666663</v>
      </c>
      <c r="R66" s="17">
        <f t="shared" ref="R66:R97" si="10">K66/O66</f>
        <v>218303.96475770924</v>
      </c>
      <c r="S66" s="46">
        <f t="shared" ref="S66:S97" si="11">K66/O66/43560</f>
        <v>5.0115694388822138</v>
      </c>
      <c r="T66" s="41">
        <v>60</v>
      </c>
      <c r="U66" s="6" t="s">
        <v>82</v>
      </c>
      <c r="V66" t="s">
        <v>289</v>
      </c>
      <c r="X66" t="s">
        <v>272</v>
      </c>
      <c r="Y66">
        <v>0</v>
      </c>
      <c r="Z66">
        <v>1</v>
      </c>
      <c r="AA66" s="7">
        <v>44579</v>
      </c>
      <c r="AC66" s="8" t="s">
        <v>48</v>
      </c>
      <c r="AD66" t="s">
        <v>49</v>
      </c>
    </row>
    <row r="67" spans="1:30" x14ac:dyDescent="0.25">
      <c r="A67" t="s">
        <v>369</v>
      </c>
      <c r="B67" t="s">
        <v>370</v>
      </c>
      <c r="C67" s="27">
        <v>44981</v>
      </c>
      <c r="D67" s="17">
        <v>140000</v>
      </c>
      <c r="E67" t="s">
        <v>44</v>
      </c>
      <c r="F67" t="s">
        <v>45</v>
      </c>
      <c r="G67" s="17">
        <v>140000</v>
      </c>
      <c r="H67" s="17">
        <v>49000</v>
      </c>
      <c r="I67" s="22">
        <f t="shared" si="8"/>
        <v>35</v>
      </c>
      <c r="J67" s="17">
        <v>118909</v>
      </c>
      <c r="K67" s="17">
        <f>G67-88909</f>
        <v>51091</v>
      </c>
      <c r="L67" s="17">
        <v>30000</v>
      </c>
      <c r="M67" s="32">
        <v>200</v>
      </c>
      <c r="N67" s="36">
        <v>154.75</v>
      </c>
      <c r="O67" s="41">
        <v>0.71099999999999997</v>
      </c>
      <c r="P67" s="41">
        <v>0.71099999999999997</v>
      </c>
      <c r="Q67" s="17">
        <f t="shared" si="9"/>
        <v>255.45500000000001</v>
      </c>
      <c r="R67" s="17">
        <f t="shared" si="10"/>
        <v>71857.946554149094</v>
      </c>
      <c r="S67" s="46">
        <f t="shared" si="11"/>
        <v>1.6496314635938727</v>
      </c>
      <c r="T67" s="41">
        <v>200</v>
      </c>
      <c r="U67" s="6" t="s">
        <v>82</v>
      </c>
      <c r="V67" t="s">
        <v>371</v>
      </c>
      <c r="X67" t="s">
        <v>317</v>
      </c>
      <c r="Y67">
        <v>0</v>
      </c>
      <c r="Z67">
        <v>1</v>
      </c>
      <c r="AA67" s="7">
        <v>40885</v>
      </c>
      <c r="AC67" s="8" t="s">
        <v>48</v>
      </c>
      <c r="AD67" t="s">
        <v>339</v>
      </c>
    </row>
    <row r="68" spans="1:30" x14ac:dyDescent="0.25">
      <c r="A68" t="s">
        <v>210</v>
      </c>
      <c r="B68" t="s">
        <v>211</v>
      </c>
      <c r="C68" s="27">
        <v>44802</v>
      </c>
      <c r="D68" s="17">
        <v>134000</v>
      </c>
      <c r="E68" t="s">
        <v>58</v>
      </c>
      <c r="F68" t="s">
        <v>45</v>
      </c>
      <c r="G68" s="17">
        <v>134000</v>
      </c>
      <c r="H68" s="17">
        <v>41600</v>
      </c>
      <c r="I68" s="22">
        <f t="shared" si="8"/>
        <v>31.044776119402982</v>
      </c>
      <c r="J68" s="17">
        <v>102548</v>
      </c>
      <c r="K68" s="17">
        <f>G68-81923</f>
        <v>52077</v>
      </c>
      <c r="L68" s="17">
        <v>20625</v>
      </c>
      <c r="M68" s="32">
        <v>68.75</v>
      </c>
      <c r="N68" s="36">
        <v>156.75</v>
      </c>
      <c r="O68" s="41">
        <v>0.247</v>
      </c>
      <c r="P68" s="41">
        <v>0.247</v>
      </c>
      <c r="Q68" s="17">
        <f t="shared" si="9"/>
        <v>757.48363636363638</v>
      </c>
      <c r="R68" s="17">
        <f t="shared" si="10"/>
        <v>210838.05668016194</v>
      </c>
      <c r="S68" s="46">
        <f t="shared" si="11"/>
        <v>4.8401757731901274</v>
      </c>
      <c r="T68" s="41">
        <v>68.75</v>
      </c>
      <c r="U68" s="6" t="s">
        <v>82</v>
      </c>
      <c r="V68" t="s">
        <v>212</v>
      </c>
      <c r="X68" t="s">
        <v>201</v>
      </c>
      <c r="Y68">
        <v>0</v>
      </c>
      <c r="Z68">
        <v>1</v>
      </c>
      <c r="AA68" s="7">
        <v>33430</v>
      </c>
      <c r="AC68" s="8" t="s">
        <v>48</v>
      </c>
      <c r="AD68" t="s">
        <v>49</v>
      </c>
    </row>
    <row r="69" spans="1:30" x14ac:dyDescent="0.25">
      <c r="A69" t="s">
        <v>252</v>
      </c>
      <c r="B69" t="s">
        <v>253</v>
      </c>
      <c r="C69" s="27">
        <v>44438</v>
      </c>
      <c r="D69" s="17">
        <v>138000</v>
      </c>
      <c r="E69" t="s">
        <v>44</v>
      </c>
      <c r="F69" t="s">
        <v>45</v>
      </c>
      <c r="G69" s="17">
        <v>138000</v>
      </c>
      <c r="H69" s="17">
        <v>42300</v>
      </c>
      <c r="I69" s="22">
        <f t="shared" si="8"/>
        <v>30.65217391304348</v>
      </c>
      <c r="J69" s="17">
        <v>108807</v>
      </c>
      <c r="K69" s="17">
        <f>G69-84057</f>
        <v>53943</v>
      </c>
      <c r="L69" s="17">
        <v>24750</v>
      </c>
      <c r="M69" s="32">
        <v>82.5</v>
      </c>
      <c r="N69" s="36">
        <v>165</v>
      </c>
      <c r="O69" s="41">
        <v>0.313</v>
      </c>
      <c r="P69" s="41">
        <v>0.313</v>
      </c>
      <c r="Q69" s="17">
        <f t="shared" si="9"/>
        <v>653.85454545454547</v>
      </c>
      <c r="R69" s="17">
        <f t="shared" si="10"/>
        <v>172341.85303514378</v>
      </c>
      <c r="S69" s="46">
        <f t="shared" si="11"/>
        <v>3.9564245416699673</v>
      </c>
      <c r="T69" s="41">
        <v>82.5</v>
      </c>
      <c r="U69" s="6" t="s">
        <v>82</v>
      </c>
      <c r="V69" t="s">
        <v>254</v>
      </c>
      <c r="X69" t="s">
        <v>245</v>
      </c>
      <c r="Y69">
        <v>0</v>
      </c>
      <c r="Z69">
        <v>1</v>
      </c>
      <c r="AA69" s="7">
        <v>41864</v>
      </c>
      <c r="AC69" s="8" t="s">
        <v>48</v>
      </c>
      <c r="AD69" t="s">
        <v>49</v>
      </c>
    </row>
    <row r="70" spans="1:30" x14ac:dyDescent="0.25">
      <c r="A70" t="s">
        <v>130</v>
      </c>
      <c r="B70" t="s">
        <v>131</v>
      </c>
      <c r="C70" s="27">
        <v>44879</v>
      </c>
      <c r="D70" s="17">
        <v>130000</v>
      </c>
      <c r="E70" t="s">
        <v>44</v>
      </c>
      <c r="F70" t="s">
        <v>45</v>
      </c>
      <c r="G70" s="17">
        <v>130000</v>
      </c>
      <c r="H70" s="17">
        <v>40300</v>
      </c>
      <c r="I70" s="22">
        <f t="shared" si="8"/>
        <v>31</v>
      </c>
      <c r="J70" s="17">
        <v>100413</v>
      </c>
      <c r="K70" s="17">
        <f>G70-75663</f>
        <v>54337</v>
      </c>
      <c r="L70" s="17">
        <v>24750</v>
      </c>
      <c r="M70" s="32">
        <v>82.5</v>
      </c>
      <c r="N70" s="36">
        <v>90.120002999999997</v>
      </c>
      <c r="O70" s="41">
        <v>0.17100000000000001</v>
      </c>
      <c r="P70" s="41">
        <v>0.17100000000000001</v>
      </c>
      <c r="Q70" s="17">
        <f t="shared" si="9"/>
        <v>658.63030303030303</v>
      </c>
      <c r="R70" s="17">
        <f t="shared" si="10"/>
        <v>317760.23391812865</v>
      </c>
      <c r="S70" s="46">
        <f t="shared" si="11"/>
        <v>7.2947712102417048</v>
      </c>
      <c r="T70" s="41">
        <v>82.5</v>
      </c>
      <c r="U70" s="6" t="s">
        <v>82</v>
      </c>
      <c r="V70" t="s">
        <v>132</v>
      </c>
      <c r="X70" t="s">
        <v>84</v>
      </c>
      <c r="Y70">
        <v>0</v>
      </c>
      <c r="Z70">
        <v>1</v>
      </c>
      <c r="AA70" s="7">
        <v>33065</v>
      </c>
      <c r="AC70" s="8" t="s">
        <v>48</v>
      </c>
      <c r="AD70" t="s">
        <v>49</v>
      </c>
    </row>
    <row r="71" spans="1:30" x14ac:dyDescent="0.25">
      <c r="A71" t="s">
        <v>366</v>
      </c>
      <c r="B71" t="s">
        <v>367</v>
      </c>
      <c r="C71" s="27">
        <v>45084</v>
      </c>
      <c r="D71" s="17">
        <v>193000</v>
      </c>
      <c r="E71" t="s">
        <v>44</v>
      </c>
      <c r="F71" t="s">
        <v>45</v>
      </c>
      <c r="G71" s="17">
        <v>193000</v>
      </c>
      <c r="H71" s="17">
        <v>74500</v>
      </c>
      <c r="I71" s="22">
        <f t="shared" si="8"/>
        <v>38.601036269430047</v>
      </c>
      <c r="J71" s="17">
        <v>158811</v>
      </c>
      <c r="K71" s="17">
        <f>G71-137754</f>
        <v>55246</v>
      </c>
      <c r="L71" s="17">
        <v>21057</v>
      </c>
      <c r="M71" s="32">
        <v>140.38</v>
      </c>
      <c r="N71" s="36">
        <v>154.75</v>
      </c>
      <c r="O71" s="41">
        <v>0.499</v>
      </c>
      <c r="P71" s="41">
        <v>0.499</v>
      </c>
      <c r="Q71" s="17">
        <f t="shared" si="9"/>
        <v>393.54608918649382</v>
      </c>
      <c r="R71" s="17">
        <f t="shared" si="10"/>
        <v>110713.42685370741</v>
      </c>
      <c r="S71" s="46">
        <f t="shared" si="11"/>
        <v>2.5416305521971396</v>
      </c>
      <c r="T71" s="41">
        <v>140.38</v>
      </c>
      <c r="U71" s="6" t="s">
        <v>82</v>
      </c>
      <c r="V71" t="s">
        <v>368</v>
      </c>
      <c r="X71" t="s">
        <v>317</v>
      </c>
      <c r="Y71">
        <v>0</v>
      </c>
      <c r="Z71">
        <v>1</v>
      </c>
      <c r="AA71" t="s">
        <v>74</v>
      </c>
      <c r="AC71" s="8" t="s">
        <v>48</v>
      </c>
      <c r="AD71" t="s">
        <v>339</v>
      </c>
    </row>
    <row r="72" spans="1:30" x14ac:dyDescent="0.25">
      <c r="A72" t="s">
        <v>304</v>
      </c>
      <c r="B72" t="s">
        <v>305</v>
      </c>
      <c r="C72" s="27">
        <v>44561</v>
      </c>
      <c r="D72" s="17">
        <v>135000</v>
      </c>
      <c r="E72" t="s">
        <v>44</v>
      </c>
      <c r="F72" t="s">
        <v>45</v>
      </c>
      <c r="G72" s="17">
        <v>135000</v>
      </c>
      <c r="H72" s="17">
        <v>38100</v>
      </c>
      <c r="I72" s="22">
        <f t="shared" si="8"/>
        <v>28.222222222222221</v>
      </c>
      <c r="J72" s="17">
        <v>98683</v>
      </c>
      <c r="K72" s="17">
        <f>G72-78883</f>
        <v>56117</v>
      </c>
      <c r="L72" s="17">
        <v>19800</v>
      </c>
      <c r="M72" s="32">
        <v>66</v>
      </c>
      <c r="N72" s="36">
        <v>165</v>
      </c>
      <c r="O72" s="41">
        <v>0.25</v>
      </c>
      <c r="P72" s="41">
        <v>0.25</v>
      </c>
      <c r="Q72" s="17">
        <f t="shared" si="9"/>
        <v>850.25757575757575</v>
      </c>
      <c r="R72" s="17">
        <f t="shared" si="10"/>
        <v>224468</v>
      </c>
      <c r="S72" s="46">
        <f t="shared" si="11"/>
        <v>5.1530762167125808</v>
      </c>
      <c r="T72" s="41">
        <v>66</v>
      </c>
      <c r="U72" s="6" t="s">
        <v>82</v>
      </c>
      <c r="V72" t="s">
        <v>306</v>
      </c>
      <c r="X72" t="s">
        <v>297</v>
      </c>
      <c r="Y72">
        <v>0</v>
      </c>
      <c r="Z72">
        <v>1</v>
      </c>
      <c r="AA72" s="7">
        <v>33065</v>
      </c>
      <c r="AB72" t="s">
        <v>88</v>
      </c>
      <c r="AC72" s="8" t="s">
        <v>48</v>
      </c>
      <c r="AD72" t="s">
        <v>49</v>
      </c>
    </row>
    <row r="73" spans="1:30" x14ac:dyDescent="0.25">
      <c r="A73" t="s">
        <v>363</v>
      </c>
      <c r="B73" t="s">
        <v>364</v>
      </c>
      <c r="C73" s="27">
        <v>44778</v>
      </c>
      <c r="D73" s="17">
        <v>150000</v>
      </c>
      <c r="E73" t="s">
        <v>44</v>
      </c>
      <c r="F73" t="s">
        <v>45</v>
      </c>
      <c r="G73" s="17">
        <v>150000</v>
      </c>
      <c r="H73" s="17">
        <v>44600</v>
      </c>
      <c r="I73" s="22">
        <f t="shared" si="8"/>
        <v>29.733333333333334</v>
      </c>
      <c r="J73" s="17">
        <v>113760</v>
      </c>
      <c r="K73" s="17">
        <f>G73-93510</f>
        <v>56490</v>
      </c>
      <c r="L73" s="17">
        <v>20250</v>
      </c>
      <c r="M73" s="32">
        <v>67.5</v>
      </c>
      <c r="N73" s="36">
        <v>212.5</v>
      </c>
      <c r="O73" s="41">
        <v>0.32900000000000001</v>
      </c>
      <c r="P73" s="41">
        <v>0.32900000000000001</v>
      </c>
      <c r="Q73" s="17">
        <f t="shared" si="9"/>
        <v>836.88888888888891</v>
      </c>
      <c r="R73" s="17">
        <f t="shared" si="10"/>
        <v>171702.12765957447</v>
      </c>
      <c r="S73" s="46">
        <f t="shared" si="11"/>
        <v>3.9417384678506537</v>
      </c>
      <c r="T73" s="41">
        <v>67.5</v>
      </c>
      <c r="U73" s="6" t="s">
        <v>82</v>
      </c>
      <c r="V73" t="s">
        <v>365</v>
      </c>
      <c r="X73" t="s">
        <v>317</v>
      </c>
      <c r="Y73">
        <v>0</v>
      </c>
      <c r="Z73">
        <v>1</v>
      </c>
      <c r="AA73" s="7">
        <v>44419</v>
      </c>
      <c r="AC73" s="8" t="s">
        <v>48</v>
      </c>
      <c r="AD73" t="s">
        <v>91</v>
      </c>
    </row>
    <row r="74" spans="1:30" x14ac:dyDescent="0.25">
      <c r="A74" t="s">
        <v>53</v>
      </c>
      <c r="B74" t="s">
        <v>54</v>
      </c>
      <c r="C74" s="27">
        <v>44678</v>
      </c>
      <c r="D74" s="17">
        <v>151500</v>
      </c>
      <c r="E74" t="s">
        <v>44</v>
      </c>
      <c r="F74" t="s">
        <v>45</v>
      </c>
      <c r="G74" s="17">
        <v>151500</v>
      </c>
      <c r="H74" s="17">
        <v>54900</v>
      </c>
      <c r="I74" s="22">
        <f t="shared" si="8"/>
        <v>36.237623762376238</v>
      </c>
      <c r="J74" s="17">
        <v>131868</v>
      </c>
      <c r="K74" s="17">
        <f>G74-94368</f>
        <v>57132</v>
      </c>
      <c r="L74" s="17">
        <v>37500</v>
      </c>
      <c r="M74" s="32">
        <v>125</v>
      </c>
      <c r="N74" s="36">
        <v>165</v>
      </c>
      <c r="O74" s="41">
        <v>0.47299999999999998</v>
      </c>
      <c r="P74" s="41">
        <v>0.47299999999999998</v>
      </c>
      <c r="Q74" s="17">
        <f t="shared" si="9"/>
        <v>457.05599999999998</v>
      </c>
      <c r="R74" s="17">
        <f t="shared" si="10"/>
        <v>120786.46934460888</v>
      </c>
      <c r="S74" s="46">
        <f t="shared" si="11"/>
        <v>2.7728757884437298</v>
      </c>
      <c r="T74" s="41">
        <v>125</v>
      </c>
      <c r="U74" s="6" t="s">
        <v>46</v>
      </c>
      <c r="V74" t="s">
        <v>55</v>
      </c>
      <c r="X74" t="s">
        <v>47</v>
      </c>
      <c r="Y74">
        <v>0</v>
      </c>
      <c r="Z74">
        <v>1</v>
      </c>
      <c r="AA74" s="7">
        <v>33430</v>
      </c>
      <c r="AC74" s="8" t="s">
        <v>48</v>
      </c>
      <c r="AD74" t="s">
        <v>49</v>
      </c>
    </row>
    <row r="75" spans="1:30" x14ac:dyDescent="0.25">
      <c r="A75" t="s">
        <v>276</v>
      </c>
      <c r="B75" t="s">
        <v>277</v>
      </c>
      <c r="C75" s="27">
        <v>44677</v>
      </c>
      <c r="D75" s="17">
        <v>114900</v>
      </c>
      <c r="E75" t="s">
        <v>44</v>
      </c>
      <c r="F75" t="s">
        <v>45</v>
      </c>
      <c r="G75" s="17">
        <v>114900</v>
      </c>
      <c r="H75" s="17">
        <v>28700</v>
      </c>
      <c r="I75" s="22">
        <f t="shared" si="8"/>
        <v>24.978241949521323</v>
      </c>
      <c r="J75" s="17">
        <v>72674</v>
      </c>
      <c r="K75" s="17">
        <f>G75-57674</f>
        <v>57226</v>
      </c>
      <c r="L75" s="17">
        <v>15000</v>
      </c>
      <c r="M75" s="32">
        <v>50</v>
      </c>
      <c r="N75" s="36">
        <v>111</v>
      </c>
      <c r="O75" s="41">
        <v>0.127</v>
      </c>
      <c r="P75" s="41">
        <v>0.127</v>
      </c>
      <c r="Q75" s="17">
        <f t="shared" si="9"/>
        <v>1144.52</v>
      </c>
      <c r="R75" s="17">
        <f t="shared" si="10"/>
        <v>450598.42519685038</v>
      </c>
      <c r="S75" s="46">
        <f t="shared" si="11"/>
        <v>10.34431646457416</v>
      </c>
      <c r="T75" s="41">
        <v>50</v>
      </c>
      <c r="U75" s="6" t="s">
        <v>82</v>
      </c>
      <c r="V75" t="s">
        <v>278</v>
      </c>
      <c r="X75" t="s">
        <v>272</v>
      </c>
      <c r="Y75">
        <v>0</v>
      </c>
      <c r="Z75">
        <v>1</v>
      </c>
      <c r="AA75" s="7">
        <v>33430</v>
      </c>
      <c r="AC75" s="8" t="s">
        <v>48</v>
      </c>
      <c r="AD75" t="s">
        <v>49</v>
      </c>
    </row>
    <row r="76" spans="1:30" x14ac:dyDescent="0.25">
      <c r="A76" t="s">
        <v>290</v>
      </c>
      <c r="B76" t="s">
        <v>291</v>
      </c>
      <c r="C76" s="27">
        <v>45044</v>
      </c>
      <c r="D76" s="17">
        <v>110000</v>
      </c>
      <c r="E76" t="s">
        <v>292</v>
      </c>
      <c r="F76" t="s">
        <v>45</v>
      </c>
      <c r="G76" s="17">
        <v>110000</v>
      </c>
      <c r="H76" s="17">
        <v>36700</v>
      </c>
      <c r="I76" s="22">
        <f t="shared" si="8"/>
        <v>33.36363636363636</v>
      </c>
      <c r="J76" s="17">
        <v>77137</v>
      </c>
      <c r="K76" s="17">
        <f>G76-52387</f>
        <v>57613</v>
      </c>
      <c r="L76" s="17">
        <v>24750</v>
      </c>
      <c r="M76" s="32">
        <v>82.5</v>
      </c>
      <c r="N76" s="36">
        <v>170.75</v>
      </c>
      <c r="O76" s="41">
        <v>0.32300000000000001</v>
      </c>
      <c r="P76" s="41">
        <v>0.32300000000000001</v>
      </c>
      <c r="Q76" s="17">
        <f t="shared" si="9"/>
        <v>698.33939393939397</v>
      </c>
      <c r="R76" s="17">
        <f t="shared" si="10"/>
        <v>178368.42105263157</v>
      </c>
      <c r="S76" s="46">
        <f t="shared" si="11"/>
        <v>4.0947755062587596</v>
      </c>
      <c r="T76" s="41">
        <v>82.5</v>
      </c>
      <c r="U76" s="6" t="s">
        <v>82</v>
      </c>
      <c r="V76" t="s">
        <v>293</v>
      </c>
      <c r="X76" t="s">
        <v>272</v>
      </c>
      <c r="Y76">
        <v>0</v>
      </c>
      <c r="Z76">
        <v>1</v>
      </c>
      <c r="AA76" s="7">
        <v>41556</v>
      </c>
      <c r="AC76" s="8" t="s">
        <v>48</v>
      </c>
      <c r="AD76" t="s">
        <v>49</v>
      </c>
    </row>
    <row r="77" spans="1:30" x14ac:dyDescent="0.25">
      <c r="A77" t="s">
        <v>150</v>
      </c>
      <c r="B77" t="s">
        <v>151</v>
      </c>
      <c r="C77" s="27">
        <v>45147</v>
      </c>
      <c r="D77" s="17">
        <v>178225</v>
      </c>
      <c r="E77" t="s">
        <v>44</v>
      </c>
      <c r="F77" t="s">
        <v>45</v>
      </c>
      <c r="G77" s="17">
        <v>178225</v>
      </c>
      <c r="H77" s="17">
        <v>65400</v>
      </c>
      <c r="I77" s="22">
        <f t="shared" si="8"/>
        <v>36.695188666012065</v>
      </c>
      <c r="J77" s="17">
        <v>139393</v>
      </c>
      <c r="K77" s="17">
        <f>G77-119593</f>
        <v>58632</v>
      </c>
      <c r="L77" s="17">
        <v>19800</v>
      </c>
      <c r="M77" s="32">
        <v>66</v>
      </c>
      <c r="N77" s="36">
        <v>198</v>
      </c>
      <c r="O77" s="41">
        <v>0.3</v>
      </c>
      <c r="P77" s="41">
        <v>0.3</v>
      </c>
      <c r="Q77" s="17">
        <f t="shared" si="9"/>
        <v>888.36363636363637</v>
      </c>
      <c r="R77" s="17">
        <f t="shared" si="10"/>
        <v>195440</v>
      </c>
      <c r="S77" s="46">
        <f t="shared" si="11"/>
        <v>4.4866850321395777</v>
      </c>
      <c r="T77" s="41">
        <v>66</v>
      </c>
      <c r="U77" s="6" t="s">
        <v>82</v>
      </c>
      <c r="V77" t="s">
        <v>152</v>
      </c>
      <c r="X77" t="s">
        <v>84</v>
      </c>
      <c r="Y77">
        <v>0</v>
      </c>
      <c r="Z77">
        <v>1</v>
      </c>
      <c r="AA77" s="7">
        <v>33065</v>
      </c>
      <c r="AC77" s="8" t="s">
        <v>48</v>
      </c>
      <c r="AD77" t="s">
        <v>49</v>
      </c>
    </row>
    <row r="78" spans="1:30" x14ac:dyDescent="0.25">
      <c r="A78" t="s">
        <v>127</v>
      </c>
      <c r="B78" t="s">
        <v>128</v>
      </c>
      <c r="C78" s="27">
        <v>45016</v>
      </c>
      <c r="D78" s="17">
        <v>239996</v>
      </c>
      <c r="E78" t="s">
        <v>44</v>
      </c>
      <c r="F78" t="s">
        <v>45</v>
      </c>
      <c r="G78" s="17">
        <v>239996</v>
      </c>
      <c r="H78" s="17">
        <v>74500</v>
      </c>
      <c r="I78" s="22">
        <f t="shared" si="8"/>
        <v>31.042184036400606</v>
      </c>
      <c r="J78" s="17">
        <v>203035</v>
      </c>
      <c r="K78" s="17">
        <f>G78-178285</f>
        <v>61711</v>
      </c>
      <c r="L78" s="17">
        <v>24750</v>
      </c>
      <c r="M78" s="32">
        <v>82.5</v>
      </c>
      <c r="N78" s="36">
        <v>152.5</v>
      </c>
      <c r="O78" s="41">
        <v>0.28899999999999998</v>
      </c>
      <c r="P78" s="41">
        <v>0.28899999999999998</v>
      </c>
      <c r="Q78" s="17">
        <f t="shared" si="9"/>
        <v>748.0121212121212</v>
      </c>
      <c r="R78" s="17">
        <f t="shared" si="10"/>
        <v>213532.87197231836</v>
      </c>
      <c r="S78" s="46">
        <f t="shared" si="11"/>
        <v>4.9020402197501918</v>
      </c>
      <c r="T78" s="41">
        <v>82.5</v>
      </c>
      <c r="U78" s="6" t="s">
        <v>82</v>
      </c>
      <c r="V78" t="s">
        <v>129</v>
      </c>
      <c r="X78" t="s">
        <v>84</v>
      </c>
      <c r="Y78">
        <v>0</v>
      </c>
      <c r="Z78">
        <v>1</v>
      </c>
      <c r="AA78" s="7">
        <v>33065</v>
      </c>
      <c r="AC78" s="8" t="s">
        <v>48</v>
      </c>
      <c r="AD78" t="s">
        <v>49</v>
      </c>
    </row>
    <row r="79" spans="1:30" x14ac:dyDescent="0.25">
      <c r="A79" t="s">
        <v>342</v>
      </c>
      <c r="B79" t="s">
        <v>343</v>
      </c>
      <c r="C79" s="27">
        <v>44699</v>
      </c>
      <c r="D79" s="17">
        <v>151000</v>
      </c>
      <c r="E79" t="s">
        <v>44</v>
      </c>
      <c r="F79" t="s">
        <v>45</v>
      </c>
      <c r="G79" s="17">
        <v>151000</v>
      </c>
      <c r="H79" s="17">
        <v>42900</v>
      </c>
      <c r="I79" s="22">
        <f t="shared" si="8"/>
        <v>28.410596026490065</v>
      </c>
      <c r="J79" s="17">
        <v>109083</v>
      </c>
      <c r="K79" s="17">
        <f>G79-89283</f>
        <v>61717</v>
      </c>
      <c r="L79" s="17">
        <v>19800</v>
      </c>
      <c r="M79" s="32">
        <v>66</v>
      </c>
      <c r="N79" s="36">
        <v>165</v>
      </c>
      <c r="O79" s="41">
        <v>0.25</v>
      </c>
      <c r="P79" s="41">
        <v>0.25</v>
      </c>
      <c r="Q79" s="17">
        <f t="shared" si="9"/>
        <v>935.10606060606062</v>
      </c>
      <c r="R79" s="17">
        <f t="shared" si="10"/>
        <v>246868</v>
      </c>
      <c r="S79" s="46">
        <f t="shared" si="11"/>
        <v>5.6673094582185488</v>
      </c>
      <c r="T79" s="41">
        <v>66</v>
      </c>
      <c r="U79" s="6" t="s">
        <v>82</v>
      </c>
      <c r="V79" t="s">
        <v>344</v>
      </c>
      <c r="X79" t="s">
        <v>317</v>
      </c>
      <c r="Y79">
        <v>0</v>
      </c>
      <c r="Z79">
        <v>1</v>
      </c>
      <c r="AA79" s="7">
        <v>33065</v>
      </c>
      <c r="AC79" s="8" t="s">
        <v>48</v>
      </c>
      <c r="AD79" t="s">
        <v>91</v>
      </c>
    </row>
    <row r="80" spans="1:30" x14ac:dyDescent="0.25">
      <c r="A80" t="s">
        <v>349</v>
      </c>
      <c r="B80" t="s">
        <v>350</v>
      </c>
      <c r="C80" s="27">
        <v>44705</v>
      </c>
      <c r="D80" s="17">
        <v>168000</v>
      </c>
      <c r="E80" t="s">
        <v>44</v>
      </c>
      <c r="F80" t="s">
        <v>45</v>
      </c>
      <c r="G80" s="17">
        <v>168000</v>
      </c>
      <c r="H80" s="17">
        <v>40000</v>
      </c>
      <c r="I80" s="22">
        <f t="shared" si="8"/>
        <v>23.809523809523807</v>
      </c>
      <c r="J80" s="17">
        <v>124856</v>
      </c>
      <c r="K80" s="17">
        <f>G80-105056</f>
        <v>62944</v>
      </c>
      <c r="L80" s="17">
        <v>19800</v>
      </c>
      <c r="M80" s="32">
        <v>66</v>
      </c>
      <c r="N80" s="36">
        <v>231</v>
      </c>
      <c r="O80" s="41">
        <v>0.35</v>
      </c>
      <c r="P80" s="41">
        <v>0.35</v>
      </c>
      <c r="Q80" s="17">
        <f t="shared" si="9"/>
        <v>953.69696969696975</v>
      </c>
      <c r="R80" s="17">
        <f t="shared" si="10"/>
        <v>179840</v>
      </c>
      <c r="S80" s="46">
        <f t="shared" si="11"/>
        <v>4.1285583103764925</v>
      </c>
      <c r="T80" s="41">
        <v>66</v>
      </c>
      <c r="U80" s="6" t="s">
        <v>82</v>
      </c>
      <c r="V80" t="s">
        <v>351</v>
      </c>
      <c r="X80" t="s">
        <v>317</v>
      </c>
      <c r="Y80">
        <v>0</v>
      </c>
      <c r="Z80">
        <v>1</v>
      </c>
      <c r="AA80" s="7">
        <v>44697</v>
      </c>
      <c r="AC80" s="8" t="s">
        <v>48</v>
      </c>
      <c r="AD80" t="s">
        <v>91</v>
      </c>
    </row>
    <row r="81" spans="1:31" x14ac:dyDescent="0.25">
      <c r="A81" t="s">
        <v>333</v>
      </c>
      <c r="B81" t="s">
        <v>334</v>
      </c>
      <c r="C81" s="27">
        <v>44757</v>
      </c>
      <c r="D81" s="17">
        <v>190000</v>
      </c>
      <c r="E81" t="s">
        <v>58</v>
      </c>
      <c r="F81" t="s">
        <v>45</v>
      </c>
      <c r="G81" s="17">
        <v>190000</v>
      </c>
      <c r="H81" s="17">
        <v>71200</v>
      </c>
      <c r="I81" s="22">
        <f t="shared" si="8"/>
        <v>37.473684210526315</v>
      </c>
      <c r="J81" s="17">
        <v>172240</v>
      </c>
      <c r="K81" s="17">
        <f>G81-126940</f>
        <v>63060</v>
      </c>
      <c r="L81" s="17">
        <v>45300</v>
      </c>
      <c r="M81" s="32">
        <v>151</v>
      </c>
      <c r="N81" s="36">
        <v>222.75</v>
      </c>
      <c r="O81" s="41">
        <v>0.77200000000000002</v>
      </c>
      <c r="P81" s="41">
        <v>0.77200000000000002</v>
      </c>
      <c r="Q81" s="17">
        <f t="shared" si="9"/>
        <v>417.61589403973511</v>
      </c>
      <c r="R81" s="17">
        <f t="shared" si="10"/>
        <v>81683.937823834189</v>
      </c>
      <c r="S81" s="46">
        <f t="shared" si="11"/>
        <v>1.8752051842018869</v>
      </c>
      <c r="T81" s="41">
        <v>151</v>
      </c>
      <c r="U81" s="6" t="s">
        <v>82</v>
      </c>
      <c r="V81" t="s">
        <v>335</v>
      </c>
      <c r="X81" t="s">
        <v>317</v>
      </c>
      <c r="Y81">
        <v>0</v>
      </c>
      <c r="Z81">
        <v>0</v>
      </c>
      <c r="AA81" s="7">
        <v>41183</v>
      </c>
      <c r="AC81" s="8" t="s">
        <v>48</v>
      </c>
      <c r="AD81" t="s">
        <v>91</v>
      </c>
    </row>
    <row r="82" spans="1:31" x14ac:dyDescent="0.25">
      <c r="A82" t="s">
        <v>230</v>
      </c>
      <c r="B82" t="s">
        <v>231</v>
      </c>
      <c r="C82" s="27">
        <v>44538</v>
      </c>
      <c r="D82" s="17">
        <v>140000</v>
      </c>
      <c r="E82" t="s">
        <v>44</v>
      </c>
      <c r="F82" t="s">
        <v>45</v>
      </c>
      <c r="G82" s="17">
        <v>140000</v>
      </c>
      <c r="H82" s="17">
        <v>35600</v>
      </c>
      <c r="I82" s="22">
        <f t="shared" si="8"/>
        <v>25.428571428571427</v>
      </c>
      <c r="J82" s="17">
        <v>92224</v>
      </c>
      <c r="K82" s="17">
        <f>G82-72424</f>
        <v>67576</v>
      </c>
      <c r="L82" s="17">
        <v>19800</v>
      </c>
      <c r="M82" s="32">
        <v>66</v>
      </c>
      <c r="N82" s="36">
        <v>189.75</v>
      </c>
      <c r="O82" s="41">
        <v>0.28799999999999998</v>
      </c>
      <c r="P82" s="41">
        <v>0.28799999999999998</v>
      </c>
      <c r="Q82" s="17">
        <f t="shared" si="9"/>
        <v>1023.8787878787879</v>
      </c>
      <c r="R82" s="17">
        <f t="shared" si="10"/>
        <v>234638.88888888891</v>
      </c>
      <c r="S82" s="46">
        <f t="shared" si="11"/>
        <v>5.3865676971737582</v>
      </c>
      <c r="T82" s="41">
        <v>66</v>
      </c>
      <c r="U82" s="6" t="s">
        <v>82</v>
      </c>
      <c r="V82" t="s">
        <v>232</v>
      </c>
      <c r="X82" t="s">
        <v>216</v>
      </c>
      <c r="Y82">
        <v>0</v>
      </c>
      <c r="Z82">
        <v>1</v>
      </c>
      <c r="AA82" s="7">
        <v>33430</v>
      </c>
      <c r="AC82" s="8" t="s">
        <v>48</v>
      </c>
      <c r="AD82" t="s">
        <v>49</v>
      </c>
    </row>
    <row r="83" spans="1:31" x14ac:dyDescent="0.25">
      <c r="A83" t="s">
        <v>147</v>
      </c>
      <c r="B83" t="s">
        <v>148</v>
      </c>
      <c r="C83" s="27">
        <v>44875</v>
      </c>
      <c r="D83" s="17">
        <v>163500</v>
      </c>
      <c r="E83" t="s">
        <v>44</v>
      </c>
      <c r="F83" t="s">
        <v>45</v>
      </c>
      <c r="G83" s="17">
        <v>163500</v>
      </c>
      <c r="H83" s="17">
        <v>46400</v>
      </c>
      <c r="I83" s="22">
        <f t="shared" si="8"/>
        <v>28.37920489296636</v>
      </c>
      <c r="J83" s="17">
        <v>114968</v>
      </c>
      <c r="K83" s="17">
        <f>G83-95168</f>
        <v>68332</v>
      </c>
      <c r="L83" s="17">
        <v>19800</v>
      </c>
      <c r="M83" s="32">
        <v>66</v>
      </c>
      <c r="N83" s="36">
        <v>198</v>
      </c>
      <c r="O83" s="41">
        <v>0.3</v>
      </c>
      <c r="P83" s="41">
        <v>0.3</v>
      </c>
      <c r="Q83" s="17">
        <f t="shared" si="9"/>
        <v>1035.3333333333333</v>
      </c>
      <c r="R83" s="17">
        <f t="shared" si="10"/>
        <v>227773.33333333334</v>
      </c>
      <c r="S83" s="46">
        <f t="shared" si="11"/>
        <v>5.2289562289562292</v>
      </c>
      <c r="T83" s="41">
        <v>66</v>
      </c>
      <c r="U83" s="6" t="s">
        <v>82</v>
      </c>
      <c r="V83" t="s">
        <v>149</v>
      </c>
      <c r="X83" t="s">
        <v>84</v>
      </c>
      <c r="Y83">
        <v>0</v>
      </c>
      <c r="Z83">
        <v>1</v>
      </c>
      <c r="AA83" s="7">
        <v>42242</v>
      </c>
      <c r="AC83" s="8" t="s">
        <v>48</v>
      </c>
      <c r="AD83" t="s">
        <v>49</v>
      </c>
    </row>
    <row r="84" spans="1:31" x14ac:dyDescent="0.25">
      <c r="A84" t="s">
        <v>241</v>
      </c>
      <c r="B84" t="s">
        <v>240</v>
      </c>
      <c r="C84" s="27">
        <v>44624</v>
      </c>
      <c r="D84" s="17">
        <v>130000</v>
      </c>
      <c r="E84" t="s">
        <v>44</v>
      </c>
      <c r="F84" t="s">
        <v>173</v>
      </c>
      <c r="G84" s="17">
        <v>130000</v>
      </c>
      <c r="H84" s="17">
        <v>33700</v>
      </c>
      <c r="I84" s="22">
        <f t="shared" si="8"/>
        <v>25.92307692307692</v>
      </c>
      <c r="J84" s="17">
        <v>83875</v>
      </c>
      <c r="K84" s="17">
        <f>G84-61600</f>
        <v>68400</v>
      </c>
      <c r="L84" s="17">
        <v>22275</v>
      </c>
      <c r="M84" s="32">
        <v>74.25</v>
      </c>
      <c r="N84" s="36">
        <v>132</v>
      </c>
      <c r="O84" s="41">
        <v>0.22500000000000001</v>
      </c>
      <c r="P84" s="41">
        <v>0.22500000000000001</v>
      </c>
      <c r="Q84" s="17">
        <f t="shared" si="9"/>
        <v>921.21212121212125</v>
      </c>
      <c r="R84" s="17">
        <f t="shared" si="10"/>
        <v>304000</v>
      </c>
      <c r="S84" s="46">
        <f t="shared" si="11"/>
        <v>6.9788797061524335</v>
      </c>
      <c r="T84" s="41">
        <v>74.25</v>
      </c>
      <c r="U84" s="6" t="s">
        <v>82</v>
      </c>
      <c r="W84" t="s">
        <v>239</v>
      </c>
      <c r="X84" t="s">
        <v>216</v>
      </c>
      <c r="Y84">
        <v>0</v>
      </c>
      <c r="Z84">
        <v>1</v>
      </c>
      <c r="AA84" s="7">
        <v>33430</v>
      </c>
      <c r="AC84" s="8" t="s">
        <v>48</v>
      </c>
      <c r="AD84" t="s">
        <v>49</v>
      </c>
    </row>
    <row r="85" spans="1:31" x14ac:dyDescent="0.25">
      <c r="A85" t="s">
        <v>66</v>
      </c>
      <c r="B85" t="s">
        <v>67</v>
      </c>
      <c r="C85" s="27">
        <v>45163</v>
      </c>
      <c r="D85" s="17">
        <v>271000</v>
      </c>
      <c r="E85" t="s">
        <v>44</v>
      </c>
      <c r="F85" t="s">
        <v>45</v>
      </c>
      <c r="G85" s="17">
        <v>271000</v>
      </c>
      <c r="H85" s="17">
        <v>107400</v>
      </c>
      <c r="I85" s="22">
        <f t="shared" si="8"/>
        <v>39.630996309963102</v>
      </c>
      <c r="J85" s="17">
        <v>229291</v>
      </c>
      <c r="K85" s="17">
        <f>G85-201791</f>
        <v>69209</v>
      </c>
      <c r="L85" s="17">
        <v>27500</v>
      </c>
      <c r="M85" s="32">
        <v>120.407</v>
      </c>
      <c r="N85" s="36">
        <v>350.20300300000002</v>
      </c>
      <c r="O85" s="41">
        <v>0.96799999999999997</v>
      </c>
      <c r="P85" s="41">
        <v>0.96799999999999997</v>
      </c>
      <c r="Q85" s="17">
        <f t="shared" si="9"/>
        <v>574.79216324632296</v>
      </c>
      <c r="R85" s="17">
        <f t="shared" si="10"/>
        <v>71496.90082644629</v>
      </c>
      <c r="S85" s="46">
        <f t="shared" si="11"/>
        <v>1.6413429941792077</v>
      </c>
      <c r="T85" s="41">
        <v>120.407</v>
      </c>
      <c r="U85" s="6" t="s">
        <v>46</v>
      </c>
      <c r="V85" t="s">
        <v>68</v>
      </c>
      <c r="X85" t="s">
        <v>69</v>
      </c>
      <c r="Y85">
        <v>0</v>
      </c>
      <c r="Z85">
        <v>0</v>
      </c>
      <c r="AA85" s="7">
        <v>44558</v>
      </c>
      <c r="AC85" s="8" t="s">
        <v>48</v>
      </c>
      <c r="AD85" t="s">
        <v>70</v>
      </c>
    </row>
    <row r="86" spans="1:31" x14ac:dyDescent="0.25">
      <c r="A86" t="s">
        <v>202</v>
      </c>
      <c r="B86" t="s">
        <v>203</v>
      </c>
      <c r="C86" s="27">
        <v>44628</v>
      </c>
      <c r="D86" s="17">
        <v>155000</v>
      </c>
      <c r="E86" t="s">
        <v>58</v>
      </c>
      <c r="F86" t="s">
        <v>45</v>
      </c>
      <c r="G86" s="17">
        <v>155000</v>
      </c>
      <c r="H86" s="17">
        <v>36400</v>
      </c>
      <c r="I86" s="22">
        <f t="shared" si="8"/>
        <v>23.483870967741936</v>
      </c>
      <c r="J86" s="17">
        <v>102758</v>
      </c>
      <c r="K86" s="17">
        <f>G86-85040</f>
        <v>69960</v>
      </c>
      <c r="L86" s="17">
        <v>17718</v>
      </c>
      <c r="M86" s="32">
        <v>59.06</v>
      </c>
      <c r="N86" s="36">
        <v>196</v>
      </c>
      <c r="O86" s="41">
        <v>0.26600000000000001</v>
      </c>
      <c r="P86" s="41">
        <v>0.26600000000000001</v>
      </c>
      <c r="Q86" s="17">
        <f t="shared" si="9"/>
        <v>1184.55807653234</v>
      </c>
      <c r="R86" s="17">
        <f t="shared" si="10"/>
        <v>263007.51879699249</v>
      </c>
      <c r="S86" s="46">
        <f t="shared" si="11"/>
        <v>6.0378218272955113</v>
      </c>
      <c r="T86" s="41">
        <v>59.06</v>
      </c>
      <c r="U86" s="6" t="s">
        <v>82</v>
      </c>
      <c r="X86" t="s">
        <v>201</v>
      </c>
      <c r="Y86">
        <v>0</v>
      </c>
      <c r="Z86">
        <v>1</v>
      </c>
      <c r="AA86" s="7">
        <v>33422</v>
      </c>
      <c r="AC86" s="8" t="s">
        <v>48</v>
      </c>
      <c r="AD86" t="s">
        <v>49</v>
      </c>
    </row>
    <row r="87" spans="1:31" x14ac:dyDescent="0.25">
      <c r="A87" t="s">
        <v>118</v>
      </c>
      <c r="B87" t="s">
        <v>119</v>
      </c>
      <c r="C87" s="27">
        <v>45079</v>
      </c>
      <c r="D87" s="17">
        <v>165000</v>
      </c>
      <c r="E87" t="s">
        <v>44</v>
      </c>
      <c r="F87" t="s">
        <v>45</v>
      </c>
      <c r="G87" s="17">
        <v>165000</v>
      </c>
      <c r="H87" s="17">
        <v>55100</v>
      </c>
      <c r="I87" s="22">
        <f t="shared" si="8"/>
        <v>33.393939393939391</v>
      </c>
      <c r="J87" s="17">
        <v>116946</v>
      </c>
      <c r="K87" s="17">
        <f>G87-94053</f>
        <v>70947</v>
      </c>
      <c r="L87" s="17">
        <v>22893</v>
      </c>
      <c r="M87" s="32">
        <v>76.31</v>
      </c>
      <c r="N87" s="36">
        <v>165</v>
      </c>
      <c r="O87" s="41">
        <v>0.28899999999999998</v>
      </c>
      <c r="P87" s="41">
        <v>0.28899999999999998</v>
      </c>
      <c r="Q87" s="17">
        <f t="shared" si="9"/>
        <v>929.7208753767527</v>
      </c>
      <c r="R87" s="17">
        <f t="shared" si="10"/>
        <v>245491.34948096887</v>
      </c>
      <c r="S87" s="46">
        <f t="shared" si="11"/>
        <v>5.6357059109496985</v>
      </c>
      <c r="T87" s="41">
        <v>76.31</v>
      </c>
      <c r="U87" s="6" t="s">
        <v>82</v>
      </c>
      <c r="V87" t="s">
        <v>120</v>
      </c>
      <c r="X87" t="s">
        <v>84</v>
      </c>
      <c r="Y87">
        <v>0</v>
      </c>
      <c r="Z87">
        <v>1</v>
      </c>
      <c r="AA87" s="7">
        <v>33065</v>
      </c>
      <c r="AC87" s="8" t="s">
        <v>48</v>
      </c>
      <c r="AD87" t="s">
        <v>49</v>
      </c>
    </row>
    <row r="88" spans="1:31" x14ac:dyDescent="0.25">
      <c r="A88" t="s">
        <v>207</v>
      </c>
      <c r="B88" t="s">
        <v>208</v>
      </c>
      <c r="C88" s="27">
        <v>44686</v>
      </c>
      <c r="D88" s="17">
        <v>139000</v>
      </c>
      <c r="E88" t="s">
        <v>44</v>
      </c>
      <c r="F88" t="s">
        <v>45</v>
      </c>
      <c r="G88" s="17">
        <v>139000</v>
      </c>
      <c r="H88" s="17">
        <v>29900</v>
      </c>
      <c r="I88" s="22">
        <f t="shared" si="8"/>
        <v>21.510791366906474</v>
      </c>
      <c r="J88" s="17">
        <v>87832</v>
      </c>
      <c r="K88" s="17">
        <f>G88-67207</f>
        <v>71793</v>
      </c>
      <c r="L88" s="17">
        <v>20625</v>
      </c>
      <c r="M88" s="32">
        <v>68.75</v>
      </c>
      <c r="N88" s="36">
        <v>156.75</v>
      </c>
      <c r="O88" s="41">
        <v>0.247</v>
      </c>
      <c r="P88" s="41">
        <v>0.247</v>
      </c>
      <c r="Q88" s="17">
        <f t="shared" si="9"/>
        <v>1044.2618181818182</v>
      </c>
      <c r="R88" s="17">
        <f t="shared" si="10"/>
        <v>290659.91902834008</v>
      </c>
      <c r="S88" s="46">
        <f t="shared" si="11"/>
        <v>6.6726335865091846</v>
      </c>
      <c r="T88" s="41">
        <v>68.75</v>
      </c>
      <c r="U88" s="6" t="s">
        <v>82</v>
      </c>
      <c r="V88" t="s">
        <v>209</v>
      </c>
      <c r="X88" t="s">
        <v>201</v>
      </c>
      <c r="Y88">
        <v>0</v>
      </c>
      <c r="Z88">
        <v>1</v>
      </c>
      <c r="AA88" s="7">
        <v>44691</v>
      </c>
      <c r="AC88" s="8" t="s">
        <v>48</v>
      </c>
      <c r="AD88" t="s">
        <v>49</v>
      </c>
    </row>
    <row r="89" spans="1:31" x14ac:dyDescent="0.25">
      <c r="A89" t="s">
        <v>133</v>
      </c>
      <c r="B89" t="s">
        <v>134</v>
      </c>
      <c r="C89" s="27">
        <v>44904</v>
      </c>
      <c r="D89" s="17">
        <v>205000</v>
      </c>
      <c r="E89" t="s">
        <v>44</v>
      </c>
      <c r="F89" t="s">
        <v>45</v>
      </c>
      <c r="G89" s="17">
        <v>205000</v>
      </c>
      <c r="H89" s="17">
        <v>61500</v>
      </c>
      <c r="I89" s="22">
        <f t="shared" si="8"/>
        <v>30</v>
      </c>
      <c r="J89" s="17">
        <v>157952</v>
      </c>
      <c r="K89" s="17">
        <f>G89-133202</f>
        <v>71798</v>
      </c>
      <c r="L89" s="17">
        <v>24750</v>
      </c>
      <c r="M89" s="32">
        <v>82.5</v>
      </c>
      <c r="N89" s="36">
        <v>152.61999499999999</v>
      </c>
      <c r="O89" s="41">
        <v>0.28899999999999998</v>
      </c>
      <c r="P89" s="41">
        <v>0.28899999999999998</v>
      </c>
      <c r="Q89" s="17">
        <f t="shared" si="9"/>
        <v>870.27878787878785</v>
      </c>
      <c r="R89" s="17">
        <f t="shared" si="10"/>
        <v>248435.98615916958</v>
      </c>
      <c r="S89" s="46">
        <f t="shared" si="11"/>
        <v>5.7033054673822221</v>
      </c>
      <c r="T89" s="41">
        <v>82.5</v>
      </c>
      <c r="U89" s="6" t="s">
        <v>82</v>
      </c>
      <c r="V89" t="s">
        <v>135</v>
      </c>
      <c r="X89" t="s">
        <v>84</v>
      </c>
      <c r="Y89">
        <v>0</v>
      </c>
      <c r="Z89">
        <v>1</v>
      </c>
      <c r="AA89" s="7">
        <v>33065</v>
      </c>
      <c r="AC89" s="8" t="s">
        <v>48</v>
      </c>
      <c r="AD89" t="s">
        <v>49</v>
      </c>
    </row>
    <row r="90" spans="1:31" x14ac:dyDescent="0.25">
      <c r="A90" t="s">
        <v>92</v>
      </c>
      <c r="B90" t="s">
        <v>93</v>
      </c>
      <c r="C90" s="27">
        <v>45162</v>
      </c>
      <c r="D90" s="17">
        <v>258000</v>
      </c>
      <c r="E90" t="s">
        <v>44</v>
      </c>
      <c r="F90" t="s">
        <v>45</v>
      </c>
      <c r="G90" s="17">
        <v>258000</v>
      </c>
      <c r="H90" s="17">
        <v>97800</v>
      </c>
      <c r="I90" s="22">
        <f t="shared" si="8"/>
        <v>37.906976744186046</v>
      </c>
      <c r="J90" s="17">
        <v>208881</v>
      </c>
      <c r="K90" s="17">
        <f>G90-186111</f>
        <v>71889</v>
      </c>
      <c r="L90" s="17">
        <v>22770</v>
      </c>
      <c r="M90" s="32">
        <v>192.5</v>
      </c>
      <c r="N90" s="36">
        <v>247.5</v>
      </c>
      <c r="O90" s="41">
        <v>0.375</v>
      </c>
      <c r="P90" s="41">
        <v>0.375</v>
      </c>
      <c r="Q90" s="17">
        <f t="shared" si="9"/>
        <v>373.44935064935066</v>
      </c>
      <c r="R90" s="17">
        <f t="shared" si="10"/>
        <v>191704</v>
      </c>
      <c r="S90" s="46">
        <f t="shared" si="11"/>
        <v>4.4009182736455461</v>
      </c>
      <c r="T90" s="41">
        <v>132</v>
      </c>
      <c r="U90" s="6" t="s">
        <v>82</v>
      </c>
      <c r="V90" t="s">
        <v>94</v>
      </c>
      <c r="X90" t="s">
        <v>84</v>
      </c>
      <c r="Y90">
        <v>0</v>
      </c>
      <c r="Z90">
        <v>1</v>
      </c>
      <c r="AA90" s="7">
        <v>44383</v>
      </c>
      <c r="AC90" s="8" t="s">
        <v>48</v>
      </c>
      <c r="AD90" t="s">
        <v>49</v>
      </c>
      <c r="AE90" t="s">
        <v>49</v>
      </c>
    </row>
    <row r="91" spans="1:31" x14ac:dyDescent="0.25">
      <c r="A91" t="s">
        <v>156</v>
      </c>
      <c r="B91" t="s">
        <v>157</v>
      </c>
      <c r="C91" s="27">
        <v>44795</v>
      </c>
      <c r="D91" s="17">
        <v>228000</v>
      </c>
      <c r="E91" t="s">
        <v>44</v>
      </c>
      <c r="F91" t="s">
        <v>45</v>
      </c>
      <c r="G91" s="17">
        <v>228000</v>
      </c>
      <c r="H91" s="17">
        <v>76200</v>
      </c>
      <c r="I91" s="22">
        <f t="shared" si="8"/>
        <v>33.421052631578945</v>
      </c>
      <c r="J91" s="17">
        <v>197777</v>
      </c>
      <c r="K91" s="17">
        <f>G91-155777</f>
        <v>72223</v>
      </c>
      <c r="L91" s="17">
        <v>42000</v>
      </c>
      <c r="M91" s="32">
        <v>120</v>
      </c>
      <c r="N91" s="36">
        <v>283</v>
      </c>
      <c r="O91" s="41">
        <v>3.5089999999999999</v>
      </c>
      <c r="P91" s="41">
        <v>0.78</v>
      </c>
      <c r="Q91" s="17">
        <f t="shared" si="9"/>
        <v>601.85833333333335</v>
      </c>
      <c r="R91" s="17">
        <f t="shared" si="10"/>
        <v>20582.217155884868</v>
      </c>
      <c r="S91" s="46">
        <f t="shared" si="11"/>
        <v>0.47250268952903735</v>
      </c>
      <c r="T91" s="41">
        <v>120</v>
      </c>
      <c r="U91" s="6" t="s">
        <v>82</v>
      </c>
      <c r="V91" t="s">
        <v>158</v>
      </c>
      <c r="X91" t="s">
        <v>153</v>
      </c>
      <c r="Y91">
        <v>0</v>
      </c>
      <c r="Z91">
        <v>0</v>
      </c>
      <c r="AA91" s="7">
        <v>41899</v>
      </c>
      <c r="AC91" s="8" t="s">
        <v>48</v>
      </c>
      <c r="AD91" t="s">
        <v>155</v>
      </c>
    </row>
    <row r="92" spans="1:31" x14ac:dyDescent="0.25">
      <c r="A92" t="s">
        <v>124</v>
      </c>
      <c r="B92" t="s">
        <v>125</v>
      </c>
      <c r="C92" s="27">
        <v>44706</v>
      </c>
      <c r="D92" s="17">
        <v>195000</v>
      </c>
      <c r="E92" t="s">
        <v>44</v>
      </c>
      <c r="F92" t="s">
        <v>45</v>
      </c>
      <c r="G92" s="17">
        <v>195000</v>
      </c>
      <c r="H92" s="17">
        <v>51900</v>
      </c>
      <c r="I92" s="22">
        <f t="shared" si="8"/>
        <v>26.615384615384613</v>
      </c>
      <c r="J92" s="17">
        <v>141876</v>
      </c>
      <c r="K92" s="17">
        <f>G92-117126</f>
        <v>77874</v>
      </c>
      <c r="L92" s="17">
        <v>24750</v>
      </c>
      <c r="M92" s="32">
        <v>82.5</v>
      </c>
      <c r="N92" s="36">
        <v>198</v>
      </c>
      <c r="O92" s="41">
        <v>0.375</v>
      </c>
      <c r="P92" s="41">
        <v>0.375</v>
      </c>
      <c r="Q92" s="17">
        <f t="shared" si="9"/>
        <v>943.92727272727268</v>
      </c>
      <c r="R92" s="17">
        <f t="shared" si="10"/>
        <v>207664</v>
      </c>
      <c r="S92" s="46">
        <f t="shared" si="11"/>
        <v>4.7673094582185493</v>
      </c>
      <c r="T92" s="41">
        <v>82.5</v>
      </c>
      <c r="U92" s="6" t="s">
        <v>82</v>
      </c>
      <c r="V92" t="s">
        <v>126</v>
      </c>
      <c r="X92" t="s">
        <v>84</v>
      </c>
      <c r="Y92">
        <v>0</v>
      </c>
      <c r="Z92">
        <v>1</v>
      </c>
      <c r="AA92" s="7">
        <v>39758</v>
      </c>
      <c r="AC92" s="8" t="s">
        <v>48</v>
      </c>
      <c r="AD92" t="s">
        <v>49</v>
      </c>
    </row>
    <row r="93" spans="1:31" x14ac:dyDescent="0.25">
      <c r="A93" t="s">
        <v>162</v>
      </c>
      <c r="B93" t="s">
        <v>163</v>
      </c>
      <c r="C93" s="27">
        <v>44419</v>
      </c>
      <c r="D93" s="17">
        <v>170000</v>
      </c>
      <c r="E93" t="s">
        <v>44</v>
      </c>
      <c r="F93" t="s">
        <v>45</v>
      </c>
      <c r="G93" s="17">
        <v>170000</v>
      </c>
      <c r="H93" s="17">
        <v>55700</v>
      </c>
      <c r="I93" s="22">
        <f t="shared" si="8"/>
        <v>32.764705882352942</v>
      </c>
      <c r="J93" s="17">
        <v>145187</v>
      </c>
      <c r="K93" s="17">
        <f>G93-91147</f>
        <v>78853</v>
      </c>
      <c r="L93" s="17">
        <v>54040</v>
      </c>
      <c r="M93" s="32">
        <v>193</v>
      </c>
      <c r="N93" s="36">
        <v>170</v>
      </c>
      <c r="O93" s="41">
        <v>0.753</v>
      </c>
      <c r="P93" s="41">
        <v>0.753</v>
      </c>
      <c r="Q93" s="17">
        <f t="shared" si="9"/>
        <v>408.56476683937825</v>
      </c>
      <c r="R93" s="17">
        <f t="shared" si="10"/>
        <v>104718.45949535193</v>
      </c>
      <c r="S93" s="46">
        <f t="shared" si="11"/>
        <v>2.4040050389199248</v>
      </c>
      <c r="T93" s="41">
        <v>193</v>
      </c>
      <c r="U93" s="6" t="s">
        <v>82</v>
      </c>
      <c r="V93" t="s">
        <v>164</v>
      </c>
      <c r="X93" t="s">
        <v>153</v>
      </c>
      <c r="Y93">
        <v>0</v>
      </c>
      <c r="Z93">
        <v>1</v>
      </c>
      <c r="AA93" s="7">
        <v>44558</v>
      </c>
      <c r="AC93" s="8" t="s">
        <v>48</v>
      </c>
      <c r="AD93" t="s">
        <v>155</v>
      </c>
    </row>
    <row r="94" spans="1:31" x14ac:dyDescent="0.25">
      <c r="A94" t="s">
        <v>192</v>
      </c>
      <c r="B94" t="s">
        <v>193</v>
      </c>
      <c r="C94" s="27">
        <v>44739</v>
      </c>
      <c r="D94" s="17">
        <v>80000</v>
      </c>
      <c r="E94" t="s">
        <v>194</v>
      </c>
      <c r="F94" t="s">
        <v>45</v>
      </c>
      <c r="G94" s="17">
        <v>80000</v>
      </c>
      <c r="H94" s="17">
        <v>18900</v>
      </c>
      <c r="I94" s="22">
        <f t="shared" si="8"/>
        <v>23.625</v>
      </c>
      <c r="J94" s="17">
        <v>37894</v>
      </c>
      <c r="K94" s="17">
        <f>G94-0</f>
        <v>80000</v>
      </c>
      <c r="L94" s="17">
        <v>37894</v>
      </c>
      <c r="M94" s="32">
        <v>472.01</v>
      </c>
      <c r="N94" s="36">
        <v>307.28247099999999</v>
      </c>
      <c r="O94" s="41">
        <v>2.7639999999999998</v>
      </c>
      <c r="P94" s="41">
        <v>3.33</v>
      </c>
      <c r="Q94" s="17">
        <f t="shared" si="9"/>
        <v>169.48793457765726</v>
      </c>
      <c r="R94" s="17">
        <f t="shared" si="10"/>
        <v>28943.560057887124</v>
      </c>
      <c r="S94" s="46">
        <f t="shared" si="11"/>
        <v>0.66445271023615982</v>
      </c>
      <c r="T94" s="41">
        <v>472.01</v>
      </c>
      <c r="U94" s="6" t="s">
        <v>82</v>
      </c>
      <c r="W94" t="s">
        <v>195</v>
      </c>
      <c r="X94" t="s">
        <v>153</v>
      </c>
      <c r="Y94">
        <v>0</v>
      </c>
      <c r="Z94">
        <v>0</v>
      </c>
      <c r="AA94" t="s">
        <v>74</v>
      </c>
      <c r="AC94" s="8" t="s">
        <v>75</v>
      </c>
      <c r="AD94" t="s">
        <v>196</v>
      </c>
      <c r="AE94" t="s">
        <v>196</v>
      </c>
    </row>
    <row r="95" spans="1:31" x14ac:dyDescent="0.25">
      <c r="A95" t="s">
        <v>142</v>
      </c>
      <c r="B95" t="s">
        <v>143</v>
      </c>
      <c r="C95" s="27">
        <v>45155</v>
      </c>
      <c r="D95" s="17">
        <v>155000</v>
      </c>
      <c r="E95" t="s">
        <v>44</v>
      </c>
      <c r="F95" t="s">
        <v>45</v>
      </c>
      <c r="G95" s="17">
        <v>155000</v>
      </c>
      <c r="H95" s="17">
        <v>52500</v>
      </c>
      <c r="I95" s="22">
        <f t="shared" si="8"/>
        <v>33.87096774193548</v>
      </c>
      <c r="J95" s="17">
        <v>110215</v>
      </c>
      <c r="K95" s="17">
        <f>G95-73315</f>
        <v>81685</v>
      </c>
      <c r="L95" s="17">
        <v>36900</v>
      </c>
      <c r="M95" s="32">
        <v>123</v>
      </c>
      <c r="N95" s="36">
        <v>127.24406399999999</v>
      </c>
      <c r="O95" s="41">
        <v>0.35899999999999999</v>
      </c>
      <c r="P95" s="41">
        <v>0.35899999999999999</v>
      </c>
      <c r="Q95" s="17">
        <f t="shared" si="9"/>
        <v>664.10569105691059</v>
      </c>
      <c r="R95" s="17">
        <f t="shared" si="10"/>
        <v>227534.8189415042</v>
      </c>
      <c r="S95" s="46">
        <f t="shared" si="11"/>
        <v>5.223480691953724</v>
      </c>
      <c r="T95" s="41">
        <v>123</v>
      </c>
      <c r="U95" s="6" t="s">
        <v>82</v>
      </c>
      <c r="V95" t="s">
        <v>144</v>
      </c>
      <c r="X95" t="s">
        <v>84</v>
      </c>
      <c r="Y95">
        <v>0</v>
      </c>
      <c r="Z95">
        <v>1</v>
      </c>
      <c r="AA95" s="7">
        <v>40451</v>
      </c>
      <c r="AC95" s="8" t="s">
        <v>48</v>
      </c>
      <c r="AD95" t="s">
        <v>49</v>
      </c>
      <c r="AE95" t="s">
        <v>49</v>
      </c>
    </row>
    <row r="96" spans="1:31" x14ac:dyDescent="0.25">
      <c r="A96" t="s">
        <v>56</v>
      </c>
      <c r="B96" t="s">
        <v>57</v>
      </c>
      <c r="C96" s="27">
        <v>44651</v>
      </c>
      <c r="D96" s="17">
        <v>215500</v>
      </c>
      <c r="E96" t="s">
        <v>58</v>
      </c>
      <c r="F96" t="s">
        <v>45</v>
      </c>
      <c r="G96" s="17">
        <v>215500</v>
      </c>
      <c r="H96" s="17">
        <v>58700</v>
      </c>
      <c r="I96" s="22">
        <f t="shared" si="8"/>
        <v>27.238979118329464</v>
      </c>
      <c r="J96" s="17">
        <v>161629</v>
      </c>
      <c r="K96" s="17">
        <f>G96-126169</f>
        <v>89331</v>
      </c>
      <c r="L96" s="17">
        <v>35460</v>
      </c>
      <c r="M96" s="32">
        <v>118.2</v>
      </c>
      <c r="N96" s="36">
        <v>297.98001099999999</v>
      </c>
      <c r="O96" s="41">
        <v>0.80900000000000005</v>
      </c>
      <c r="P96" s="41">
        <v>0.80900000000000005</v>
      </c>
      <c r="Q96" s="17">
        <f t="shared" si="9"/>
        <v>755.76142131979691</v>
      </c>
      <c r="R96" s="17">
        <f t="shared" si="10"/>
        <v>110421.50803461063</v>
      </c>
      <c r="S96" s="46">
        <f t="shared" si="11"/>
        <v>2.5349290182417499</v>
      </c>
      <c r="T96" s="41">
        <v>118.2</v>
      </c>
      <c r="U96" s="6" t="s">
        <v>46</v>
      </c>
      <c r="V96" t="s">
        <v>59</v>
      </c>
      <c r="X96" t="s">
        <v>47</v>
      </c>
      <c r="Y96">
        <v>1</v>
      </c>
      <c r="Z96">
        <v>0</v>
      </c>
      <c r="AA96" s="7">
        <v>44558</v>
      </c>
      <c r="AC96" s="8" t="s">
        <v>48</v>
      </c>
      <c r="AD96" t="s">
        <v>49</v>
      </c>
    </row>
    <row r="97" spans="1:44" x14ac:dyDescent="0.25">
      <c r="A97" t="s">
        <v>145</v>
      </c>
      <c r="B97" t="s">
        <v>146</v>
      </c>
      <c r="C97" s="27">
        <v>44848</v>
      </c>
      <c r="D97" s="17">
        <v>235000</v>
      </c>
      <c r="E97" t="s">
        <v>44</v>
      </c>
      <c r="F97" t="s">
        <v>45</v>
      </c>
      <c r="G97" s="17">
        <v>235000</v>
      </c>
      <c r="H97" s="17">
        <v>70300</v>
      </c>
      <c r="I97" s="22">
        <f t="shared" si="8"/>
        <v>29.914893617021278</v>
      </c>
      <c r="J97" s="17">
        <v>174534</v>
      </c>
      <c r="K97" s="17">
        <f>G97-144834</f>
        <v>90166</v>
      </c>
      <c r="L97" s="17">
        <v>29700</v>
      </c>
      <c r="M97" s="32">
        <v>99</v>
      </c>
      <c r="N97" s="36">
        <v>132</v>
      </c>
      <c r="O97" s="41">
        <v>0.3</v>
      </c>
      <c r="P97" s="41">
        <v>0.3</v>
      </c>
      <c r="Q97" s="17">
        <f t="shared" si="9"/>
        <v>910.76767676767679</v>
      </c>
      <c r="R97" s="17">
        <f t="shared" si="10"/>
        <v>300553.33333333337</v>
      </c>
      <c r="S97" s="46">
        <f t="shared" si="11"/>
        <v>6.8997551270278548</v>
      </c>
      <c r="T97" s="41">
        <v>99</v>
      </c>
      <c r="U97" s="6" t="s">
        <v>82</v>
      </c>
      <c r="X97" t="s">
        <v>84</v>
      </c>
      <c r="Y97">
        <v>0</v>
      </c>
      <c r="Z97">
        <v>1</v>
      </c>
      <c r="AA97" s="7">
        <v>33065</v>
      </c>
      <c r="AC97" s="8" t="s">
        <v>48</v>
      </c>
      <c r="AD97" t="s">
        <v>49</v>
      </c>
    </row>
    <row r="98" spans="1:44" x14ac:dyDescent="0.25">
      <c r="A98" t="s">
        <v>159</v>
      </c>
      <c r="B98" t="s">
        <v>160</v>
      </c>
      <c r="C98" s="27">
        <v>44314</v>
      </c>
      <c r="D98" s="17">
        <v>380000</v>
      </c>
      <c r="E98" t="s">
        <v>44</v>
      </c>
      <c r="F98" t="s">
        <v>45</v>
      </c>
      <c r="G98" s="17">
        <v>380000</v>
      </c>
      <c r="H98" s="17">
        <v>128500</v>
      </c>
      <c r="I98" s="22">
        <f t="shared" ref="I98:I106" si="12">H98/G98*100</f>
        <v>33.815789473684212</v>
      </c>
      <c r="J98" s="17">
        <v>381107</v>
      </c>
      <c r="K98" s="17">
        <f>G98-288707</f>
        <v>91293</v>
      </c>
      <c r="L98" s="17">
        <v>92400</v>
      </c>
      <c r="M98" s="32">
        <v>264</v>
      </c>
      <c r="N98" s="36">
        <v>330</v>
      </c>
      <c r="O98" s="41">
        <v>2</v>
      </c>
      <c r="P98" s="41">
        <v>2</v>
      </c>
      <c r="Q98" s="17">
        <f t="shared" ref="Q98:Q106" si="13">K98/M98</f>
        <v>345.80681818181819</v>
      </c>
      <c r="R98" s="17">
        <f t="shared" ref="R98:R106" si="14">K98/O98</f>
        <v>45646.5</v>
      </c>
      <c r="S98" s="46">
        <f t="shared" ref="S98:S106" si="15">K98/O98/43560</f>
        <v>1.0478994490358127</v>
      </c>
      <c r="T98" s="41">
        <v>264</v>
      </c>
      <c r="U98" s="6" t="s">
        <v>82</v>
      </c>
      <c r="V98" t="s">
        <v>161</v>
      </c>
      <c r="X98" t="s">
        <v>153</v>
      </c>
      <c r="Y98">
        <v>0</v>
      </c>
      <c r="Z98">
        <v>0</v>
      </c>
      <c r="AA98" s="7">
        <v>44419</v>
      </c>
      <c r="AC98" s="8" t="s">
        <v>48</v>
      </c>
      <c r="AD98" t="s">
        <v>155</v>
      </c>
    </row>
    <row r="99" spans="1:44" x14ac:dyDescent="0.25">
      <c r="A99" t="s">
        <v>50</v>
      </c>
      <c r="B99" t="s">
        <v>51</v>
      </c>
      <c r="C99" s="27">
        <v>44522</v>
      </c>
      <c r="D99" s="17">
        <v>249000</v>
      </c>
      <c r="E99" t="s">
        <v>44</v>
      </c>
      <c r="F99" t="s">
        <v>45</v>
      </c>
      <c r="G99" s="17">
        <v>249000</v>
      </c>
      <c r="H99" s="17">
        <v>73800</v>
      </c>
      <c r="I99" s="22">
        <f t="shared" si="12"/>
        <v>29.638554216867469</v>
      </c>
      <c r="J99" s="17">
        <v>186272</v>
      </c>
      <c r="K99" s="17">
        <f>G99-156272</f>
        <v>92728</v>
      </c>
      <c r="L99" s="17">
        <v>30000</v>
      </c>
      <c r="M99" s="32">
        <v>100</v>
      </c>
      <c r="N99" s="36">
        <v>150</v>
      </c>
      <c r="O99" s="41">
        <v>0.34399999999999997</v>
      </c>
      <c r="P99" s="41">
        <v>0.34399999999999997</v>
      </c>
      <c r="Q99" s="17">
        <f t="shared" si="13"/>
        <v>927.28</v>
      </c>
      <c r="R99" s="17">
        <f t="shared" si="14"/>
        <v>269558.13953488372</v>
      </c>
      <c r="S99" s="46">
        <f t="shared" si="15"/>
        <v>6.1882033869348883</v>
      </c>
      <c r="T99" s="41">
        <v>100</v>
      </c>
      <c r="U99" s="6" t="s">
        <v>46</v>
      </c>
      <c r="V99" t="s">
        <v>52</v>
      </c>
      <c r="X99" t="s">
        <v>47</v>
      </c>
      <c r="Y99">
        <v>0</v>
      </c>
      <c r="Z99">
        <v>1</v>
      </c>
      <c r="AA99" s="7">
        <v>44558</v>
      </c>
      <c r="AC99" s="8" t="s">
        <v>48</v>
      </c>
      <c r="AD99" t="s">
        <v>49</v>
      </c>
    </row>
    <row r="100" spans="1:44" x14ac:dyDescent="0.25">
      <c r="A100" t="s">
        <v>165</v>
      </c>
      <c r="B100" t="s">
        <v>166</v>
      </c>
      <c r="C100" s="27">
        <v>45128</v>
      </c>
      <c r="D100" s="17">
        <v>235000</v>
      </c>
      <c r="E100" t="s">
        <v>44</v>
      </c>
      <c r="F100" t="s">
        <v>45</v>
      </c>
      <c r="G100" s="17">
        <v>235000</v>
      </c>
      <c r="H100" s="17">
        <v>80200</v>
      </c>
      <c r="I100" s="22">
        <f t="shared" si="12"/>
        <v>34.127659574468083</v>
      </c>
      <c r="J100" s="17">
        <v>170060</v>
      </c>
      <c r="K100" s="17">
        <f>G100-136484</f>
        <v>98516</v>
      </c>
      <c r="L100" s="17">
        <v>33576</v>
      </c>
      <c r="M100" s="32">
        <v>181.49</v>
      </c>
      <c r="N100" s="36">
        <v>223</v>
      </c>
      <c r="O100" s="41">
        <v>0.92900000000000005</v>
      </c>
      <c r="P100" s="41">
        <v>0.92900000000000005</v>
      </c>
      <c r="Q100" s="17">
        <f t="shared" si="13"/>
        <v>542.81778610391757</v>
      </c>
      <c r="R100" s="17">
        <f t="shared" si="14"/>
        <v>106045.20990312163</v>
      </c>
      <c r="S100" s="46">
        <f t="shared" si="15"/>
        <v>2.4344630372617457</v>
      </c>
      <c r="T100" s="41">
        <v>181.49</v>
      </c>
      <c r="U100" s="6" t="s">
        <v>82</v>
      </c>
      <c r="V100" t="s">
        <v>167</v>
      </c>
      <c r="X100" t="s">
        <v>153</v>
      </c>
      <c r="Y100">
        <v>0</v>
      </c>
      <c r="Z100">
        <v>1</v>
      </c>
      <c r="AA100" s="7">
        <v>44475</v>
      </c>
      <c r="AC100" s="8" t="s">
        <v>48</v>
      </c>
      <c r="AD100" t="s">
        <v>49</v>
      </c>
    </row>
    <row r="101" spans="1:44" x14ac:dyDescent="0.25">
      <c r="A101" t="s">
        <v>226</v>
      </c>
      <c r="B101" t="s">
        <v>224</v>
      </c>
      <c r="C101" s="27">
        <v>44533</v>
      </c>
      <c r="D101" s="17">
        <v>101000</v>
      </c>
      <c r="E101" t="s">
        <v>44</v>
      </c>
      <c r="F101" t="s">
        <v>173</v>
      </c>
      <c r="G101" s="17">
        <v>101000</v>
      </c>
      <c r="H101" s="17">
        <v>9900</v>
      </c>
      <c r="I101" s="22">
        <f t="shared" si="12"/>
        <v>9.8019801980198018</v>
      </c>
      <c r="J101" s="17">
        <v>19800</v>
      </c>
      <c r="K101" s="17">
        <f>G101-0</f>
        <v>101000</v>
      </c>
      <c r="L101" s="17">
        <v>19800</v>
      </c>
      <c r="M101" s="32">
        <v>66</v>
      </c>
      <c r="N101" s="36">
        <v>189.75</v>
      </c>
      <c r="O101" s="41">
        <v>0.28799999999999998</v>
      </c>
      <c r="P101" s="41">
        <v>0.28799999999999998</v>
      </c>
      <c r="Q101" s="17">
        <f t="shared" si="13"/>
        <v>1530.3030303030303</v>
      </c>
      <c r="R101" s="17">
        <f t="shared" si="14"/>
        <v>350694.4444444445</v>
      </c>
      <c r="S101" s="46">
        <f t="shared" si="15"/>
        <v>8.0508366493214982</v>
      </c>
      <c r="T101" s="41">
        <v>66</v>
      </c>
      <c r="U101" s="6" t="s">
        <v>82</v>
      </c>
      <c r="W101" t="s">
        <v>223</v>
      </c>
      <c r="X101" t="s">
        <v>216</v>
      </c>
      <c r="Y101">
        <v>0</v>
      </c>
      <c r="Z101">
        <v>1</v>
      </c>
      <c r="AA101" s="7">
        <v>33430</v>
      </c>
      <c r="AC101" s="8" t="s">
        <v>75</v>
      </c>
      <c r="AD101" t="s">
        <v>49</v>
      </c>
    </row>
    <row r="102" spans="1:44" x14ac:dyDescent="0.25">
      <c r="A102" t="s">
        <v>327</v>
      </c>
      <c r="B102" t="s">
        <v>328</v>
      </c>
      <c r="C102" s="27">
        <v>44935</v>
      </c>
      <c r="D102" s="17">
        <v>165000</v>
      </c>
      <c r="E102" t="s">
        <v>44</v>
      </c>
      <c r="F102" t="s">
        <v>45</v>
      </c>
      <c r="G102" s="17">
        <v>165000</v>
      </c>
      <c r="H102" s="17">
        <v>33700</v>
      </c>
      <c r="I102" s="22">
        <f t="shared" si="12"/>
        <v>20.424242424242426</v>
      </c>
      <c r="J102" s="17">
        <v>81851</v>
      </c>
      <c r="K102" s="17">
        <f>G102-61571</f>
        <v>103429</v>
      </c>
      <c r="L102" s="17">
        <v>20280</v>
      </c>
      <c r="M102" s="32">
        <v>67.599999999999994</v>
      </c>
      <c r="N102" s="36">
        <v>214.5</v>
      </c>
      <c r="O102" s="41">
        <v>0.33300000000000002</v>
      </c>
      <c r="P102" s="41">
        <v>0.33300000000000002</v>
      </c>
      <c r="Q102" s="17">
        <f t="shared" si="13"/>
        <v>1530.0147928994083</v>
      </c>
      <c r="R102" s="17">
        <f t="shared" si="14"/>
        <v>310597.59759759757</v>
      </c>
      <c r="S102" s="46">
        <f t="shared" si="15"/>
        <v>7.1303397060972813</v>
      </c>
      <c r="T102" s="41">
        <v>67.599999999999994</v>
      </c>
      <c r="U102" s="6" t="s">
        <v>82</v>
      </c>
      <c r="V102" t="s">
        <v>329</v>
      </c>
      <c r="X102" t="s">
        <v>317</v>
      </c>
      <c r="Y102">
        <v>0</v>
      </c>
      <c r="Z102">
        <v>1</v>
      </c>
      <c r="AA102" s="7">
        <v>33065</v>
      </c>
      <c r="AC102" s="8" t="s">
        <v>48</v>
      </c>
      <c r="AD102" t="s">
        <v>91</v>
      </c>
    </row>
    <row r="103" spans="1:44" x14ac:dyDescent="0.25">
      <c r="A103" t="s">
        <v>262</v>
      </c>
      <c r="B103" t="s">
        <v>263</v>
      </c>
      <c r="C103" s="27">
        <v>45057</v>
      </c>
      <c r="D103" s="17">
        <v>207000</v>
      </c>
      <c r="E103" t="s">
        <v>44</v>
      </c>
      <c r="F103" t="s">
        <v>45</v>
      </c>
      <c r="G103" s="17">
        <v>207000</v>
      </c>
      <c r="H103" s="17">
        <v>60700</v>
      </c>
      <c r="I103" s="22">
        <f t="shared" si="12"/>
        <v>29.323671497584542</v>
      </c>
      <c r="J103" s="17">
        <v>121382</v>
      </c>
      <c r="K103" s="17">
        <f>G103-102662</f>
        <v>104338</v>
      </c>
      <c r="L103" s="17">
        <v>18720</v>
      </c>
      <c r="M103" s="32">
        <v>203</v>
      </c>
      <c r="N103" s="36">
        <v>247.5</v>
      </c>
      <c r="O103" s="41">
        <v>0.46899999999999997</v>
      </c>
      <c r="P103" s="41">
        <v>0.34799999999999998</v>
      </c>
      <c r="Q103" s="17">
        <f t="shared" si="13"/>
        <v>513.98029556650249</v>
      </c>
      <c r="R103" s="17">
        <f t="shared" si="14"/>
        <v>222469.08315565033</v>
      </c>
      <c r="S103" s="46">
        <f t="shared" si="15"/>
        <v>5.1071874002674544</v>
      </c>
      <c r="T103" s="41">
        <v>203</v>
      </c>
      <c r="U103" s="6" t="s">
        <v>82</v>
      </c>
      <c r="V103" t="s">
        <v>264</v>
      </c>
      <c r="W103" t="s">
        <v>265</v>
      </c>
      <c r="X103" t="s">
        <v>261</v>
      </c>
      <c r="Y103">
        <v>0</v>
      </c>
      <c r="Z103">
        <v>1</v>
      </c>
      <c r="AA103" s="7">
        <v>38301</v>
      </c>
      <c r="AC103" s="8" t="s">
        <v>48</v>
      </c>
      <c r="AD103" t="s">
        <v>83</v>
      </c>
    </row>
    <row r="104" spans="1:44" x14ac:dyDescent="0.25">
      <c r="A104" t="s">
        <v>352</v>
      </c>
      <c r="B104" t="s">
        <v>353</v>
      </c>
      <c r="C104" s="27">
        <v>44739</v>
      </c>
      <c r="D104" s="17">
        <v>220000</v>
      </c>
      <c r="E104" t="s">
        <v>44</v>
      </c>
      <c r="F104" t="s">
        <v>45</v>
      </c>
      <c r="G104" s="17">
        <v>220000</v>
      </c>
      <c r="H104" s="17">
        <v>60700</v>
      </c>
      <c r="I104" s="22">
        <f t="shared" si="12"/>
        <v>27.590909090909086</v>
      </c>
      <c r="J104" s="17">
        <v>146590</v>
      </c>
      <c r="K104" s="17">
        <f>G104-109270</f>
        <v>110730</v>
      </c>
      <c r="L104" s="17">
        <v>37320</v>
      </c>
      <c r="M104" s="32">
        <v>155.5</v>
      </c>
      <c r="N104" s="36">
        <v>99</v>
      </c>
      <c r="O104" s="41">
        <v>0.35299999999999998</v>
      </c>
      <c r="P104" s="41">
        <v>0.35299999999999998</v>
      </c>
      <c r="Q104" s="17">
        <f t="shared" si="13"/>
        <v>712.09003215434086</v>
      </c>
      <c r="R104" s="17">
        <f t="shared" si="14"/>
        <v>313682.71954674221</v>
      </c>
      <c r="S104" s="46">
        <f t="shared" si="15"/>
        <v>7.2011643605771862</v>
      </c>
      <c r="T104" s="41">
        <v>155.5</v>
      </c>
      <c r="U104" s="6" t="s">
        <v>82</v>
      </c>
      <c r="V104" t="s">
        <v>354</v>
      </c>
      <c r="X104" t="s">
        <v>317</v>
      </c>
      <c r="Y104">
        <v>0</v>
      </c>
      <c r="Z104">
        <v>1</v>
      </c>
      <c r="AA104" s="7">
        <v>43468</v>
      </c>
      <c r="AC104" s="8" t="s">
        <v>48</v>
      </c>
      <c r="AD104" t="s">
        <v>91</v>
      </c>
    </row>
    <row r="105" spans="1:44" x14ac:dyDescent="0.25">
      <c r="A105" t="s">
        <v>357</v>
      </c>
      <c r="B105" t="s">
        <v>358</v>
      </c>
      <c r="C105" s="27">
        <v>44833</v>
      </c>
      <c r="D105" s="17">
        <v>240000</v>
      </c>
      <c r="E105" t="s">
        <v>44</v>
      </c>
      <c r="F105" t="s">
        <v>45</v>
      </c>
      <c r="G105" s="17">
        <v>240000</v>
      </c>
      <c r="H105" s="17">
        <v>66500</v>
      </c>
      <c r="I105" s="22">
        <f t="shared" si="12"/>
        <v>27.708333333333336</v>
      </c>
      <c r="J105" s="17">
        <v>163508</v>
      </c>
      <c r="K105" s="17">
        <f>G105-129262</f>
        <v>110738</v>
      </c>
      <c r="L105" s="17">
        <v>34246</v>
      </c>
      <c r="M105" s="32">
        <v>342.46</v>
      </c>
      <c r="N105" s="36">
        <v>287.08898900000003</v>
      </c>
      <c r="O105" s="41">
        <v>2.2570000000000001</v>
      </c>
      <c r="P105" s="41">
        <v>2.2570000000000001</v>
      </c>
      <c r="Q105" s="17">
        <f t="shared" si="13"/>
        <v>323.36039245459324</v>
      </c>
      <c r="R105" s="17">
        <f t="shared" si="14"/>
        <v>49064.24457244129</v>
      </c>
      <c r="S105" s="46">
        <f t="shared" si="15"/>
        <v>1.1263600682378625</v>
      </c>
      <c r="T105" s="41">
        <v>342.46</v>
      </c>
      <c r="U105" s="6" t="s">
        <v>82</v>
      </c>
      <c r="V105" t="s">
        <v>359</v>
      </c>
      <c r="X105" t="s">
        <v>317</v>
      </c>
      <c r="Y105">
        <v>0</v>
      </c>
      <c r="Z105">
        <v>1</v>
      </c>
      <c r="AA105" s="7">
        <v>44538</v>
      </c>
      <c r="AC105" s="8" t="s">
        <v>48</v>
      </c>
      <c r="AD105" t="s">
        <v>197</v>
      </c>
    </row>
    <row r="106" spans="1:44" ht="15.75" thickBot="1" x14ac:dyDescent="0.3">
      <c r="A106" t="s">
        <v>188</v>
      </c>
      <c r="B106" t="s">
        <v>189</v>
      </c>
      <c r="C106" s="27">
        <v>44790</v>
      </c>
      <c r="D106" s="17">
        <v>270000</v>
      </c>
      <c r="E106" t="s">
        <v>44</v>
      </c>
      <c r="F106" t="s">
        <v>45</v>
      </c>
      <c r="G106" s="17">
        <v>270000</v>
      </c>
      <c r="H106" s="17">
        <v>87500</v>
      </c>
      <c r="I106" s="22">
        <f t="shared" si="12"/>
        <v>32.407407407407405</v>
      </c>
      <c r="J106" s="17">
        <v>209053</v>
      </c>
      <c r="K106" s="17">
        <f>G106-145472</f>
        <v>124528</v>
      </c>
      <c r="L106" s="17">
        <v>63581</v>
      </c>
      <c r="M106" s="32">
        <v>264.92</v>
      </c>
      <c r="N106" s="36">
        <v>250</v>
      </c>
      <c r="O106" s="41">
        <v>1.52</v>
      </c>
      <c r="P106" s="41">
        <v>1.52</v>
      </c>
      <c r="Q106" s="17">
        <f t="shared" si="13"/>
        <v>470.0588857013438</v>
      </c>
      <c r="R106" s="17">
        <f t="shared" si="14"/>
        <v>81926.31578947368</v>
      </c>
      <c r="S106" s="46">
        <f t="shared" si="15"/>
        <v>1.8807694166545841</v>
      </c>
      <c r="T106" s="41">
        <v>264.92</v>
      </c>
      <c r="U106" s="6" t="s">
        <v>82</v>
      </c>
      <c r="V106" t="s">
        <v>190</v>
      </c>
      <c r="W106" t="s">
        <v>191</v>
      </c>
      <c r="X106" t="s">
        <v>153</v>
      </c>
      <c r="Y106">
        <v>0</v>
      </c>
      <c r="Z106">
        <v>1</v>
      </c>
      <c r="AA106" s="7">
        <v>33430</v>
      </c>
      <c r="AC106" s="8" t="s">
        <v>48</v>
      </c>
      <c r="AD106" t="s">
        <v>155</v>
      </c>
    </row>
    <row r="107" spans="1:44" ht="15.75" thickTop="1" x14ac:dyDescent="0.25">
      <c r="A107" s="10"/>
      <c r="B107" s="10"/>
      <c r="C107" s="28" t="s">
        <v>380</v>
      </c>
      <c r="D107" s="18">
        <f>+SUM(D2:D106)</f>
        <v>15387921</v>
      </c>
      <c r="E107" s="10"/>
      <c r="F107" s="10"/>
      <c r="G107" s="18">
        <f>+SUM(G2:G106)</f>
        <v>15387921</v>
      </c>
      <c r="H107" s="18">
        <f>+SUM(H2:H106)</f>
        <v>5178300</v>
      </c>
      <c r="I107" s="23"/>
      <c r="J107" s="18">
        <f>+SUM(J2:J106)</f>
        <v>13442615</v>
      </c>
      <c r="K107" s="18">
        <f>+SUM(K2:K106)</f>
        <v>4749497</v>
      </c>
      <c r="L107" s="18">
        <f>+SUM(L2:L106)</f>
        <v>2804191</v>
      </c>
      <c r="M107" s="33">
        <f>+SUM(M2:M106)</f>
        <v>11213.339667000002</v>
      </c>
      <c r="N107" s="37"/>
      <c r="O107" s="42">
        <f>+SUM(O2:O106)</f>
        <v>53.714000000000013</v>
      </c>
      <c r="P107" s="42">
        <f>+SUM(P2:P106)</f>
        <v>50.983000000000004</v>
      </c>
      <c r="Q107" s="18"/>
      <c r="R107" s="18"/>
      <c r="S107" s="47"/>
      <c r="T107" s="42"/>
      <c r="U107" s="11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</row>
    <row r="108" spans="1:44" x14ac:dyDescent="0.25">
      <c r="A108" s="12"/>
      <c r="B108" s="12"/>
      <c r="C108" s="29"/>
      <c r="D108" s="19"/>
      <c r="E108" s="12"/>
      <c r="F108" s="12"/>
      <c r="G108" s="19"/>
      <c r="H108" s="19" t="s">
        <v>381</v>
      </c>
      <c r="I108" s="24">
        <f>H107/G107*100</f>
        <v>33.651719423306112</v>
      </c>
      <c r="J108" s="19"/>
      <c r="K108" s="19"/>
      <c r="L108" s="19" t="s">
        <v>382</v>
      </c>
      <c r="M108" s="34"/>
      <c r="N108" s="38"/>
      <c r="O108" s="43" t="s">
        <v>382</v>
      </c>
      <c r="P108" s="43"/>
      <c r="Q108" s="19"/>
      <c r="R108" s="19" t="s">
        <v>382</v>
      </c>
      <c r="S108" s="48"/>
      <c r="T108" s="43"/>
      <c r="U108" s="13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</row>
    <row r="109" spans="1:44" x14ac:dyDescent="0.25">
      <c r="A109" s="14"/>
      <c r="B109" s="14"/>
      <c r="C109" s="30"/>
      <c r="D109" s="20"/>
      <c r="E109" s="14"/>
      <c r="F109" s="14"/>
      <c r="G109" s="20"/>
      <c r="H109" s="20" t="s">
        <v>383</v>
      </c>
      <c r="I109" s="25">
        <f>STDEV(I2:I106)</f>
        <v>14.961021319125638</v>
      </c>
      <c r="J109" s="20"/>
      <c r="K109" s="20"/>
      <c r="L109" s="20" t="s">
        <v>384</v>
      </c>
      <c r="M109" s="50">
        <f>K107/M107</f>
        <v>423.55775719319422</v>
      </c>
      <c r="N109" s="39"/>
      <c r="O109" s="44" t="s">
        <v>385</v>
      </c>
      <c r="P109" s="44">
        <f>K107/O107</f>
        <v>88421.957031686325</v>
      </c>
      <c r="Q109" s="20"/>
      <c r="R109" s="20" t="s">
        <v>386</v>
      </c>
      <c r="S109" s="49">
        <f>K107/O107/43560</f>
        <v>2.0298888207457835</v>
      </c>
      <c r="T109" s="44"/>
      <c r="U109" s="15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</row>
    <row r="111" spans="1:44" x14ac:dyDescent="0.25">
      <c r="A111" s="1" t="s">
        <v>388</v>
      </c>
    </row>
    <row r="112" spans="1:44" s="1" customFormat="1" x14ac:dyDescent="0.25">
      <c r="A112" s="1" t="s">
        <v>387</v>
      </c>
      <c r="C112" s="51"/>
      <c r="D112" s="52"/>
      <c r="G112" s="52"/>
      <c r="H112" s="52"/>
      <c r="I112" s="53"/>
      <c r="J112" s="52"/>
      <c r="K112" s="52"/>
      <c r="L112" s="52"/>
      <c r="M112" s="54"/>
      <c r="N112" s="55"/>
      <c r="O112" s="56"/>
      <c r="P112" s="56"/>
      <c r="Q112" s="52"/>
      <c r="R112" s="52"/>
      <c r="S112" s="57"/>
      <c r="T112" s="56"/>
      <c r="U112" s="9"/>
    </row>
  </sheetData>
  <sortState xmlns:xlrd2="http://schemas.microsoft.com/office/spreadsheetml/2017/richdata2" ref="A2:AR109">
    <sortCondition ref="K2:K109"/>
  </sortState>
  <conditionalFormatting sqref="A2:AR106">
    <cfRule type="expression" dxfId="1" priority="3" stopIfTrue="1">
      <formula>MOD(ROW(),4)&gt;1</formula>
    </cfRule>
    <cfRule type="expression" dxfId="0" priority="4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C3B5-5AD2-4FB5-848B-B0E89D2FCF5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2024-01-22T15:07:54Z</dcterms:created>
  <dcterms:modified xsi:type="dcterms:W3CDTF">2024-01-28T15:35:13Z</dcterms:modified>
</cp:coreProperties>
</file>