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\Dropbox\stuff\StJohnsBoulder\Solar Investigation 2015\Tell the Story\6 - LLC\"/>
    </mc:Choice>
  </mc:AlternateContent>
  <bookViews>
    <workbookView xWindow="0" yWindow="0" windowWidth="23040" windowHeight="9576"/>
  </bookViews>
  <sheets>
    <sheet name="A" sheetId="1" r:id="rId1"/>
  </sheets>
  <calcPr calcId="152511"/>
</workbook>
</file>

<file path=xl/calcChain.xml><?xml version="1.0" encoding="utf-8"?>
<calcChain xmlns="http://schemas.openxmlformats.org/spreadsheetml/2006/main">
  <c r="C26" i="1" l="1"/>
  <c r="C25" i="1"/>
  <c r="I26" i="1"/>
  <c r="I25" i="1"/>
  <c r="J39" i="1" l="1"/>
  <c r="B35" i="1"/>
  <c r="B33" i="1"/>
  <c r="D26" i="1"/>
  <c r="B7" i="1"/>
  <c r="B22" i="1" s="1"/>
  <c r="B8" i="1"/>
  <c r="B23" i="1"/>
  <c r="B28" i="1" s="1"/>
  <c r="D25" i="1"/>
  <c r="E25" i="1"/>
  <c r="F25" i="1"/>
  <c r="G25" i="1"/>
  <c r="H25" i="1"/>
  <c r="F26" i="1"/>
  <c r="G26" i="1"/>
  <c r="G28" i="1" s="1"/>
  <c r="G30" i="1" s="1"/>
  <c r="C27" i="1"/>
  <c r="J27" i="1" s="1"/>
  <c r="C29" i="1"/>
  <c r="J29" i="1" s="1"/>
  <c r="D29" i="1"/>
  <c r="E29" i="1"/>
  <c r="F29" i="1"/>
  <c r="G29" i="1"/>
  <c r="H29" i="1"/>
  <c r="C41" i="1"/>
  <c r="D41" i="1"/>
  <c r="E41" i="1"/>
  <c r="F41" i="1"/>
  <c r="G41" i="1"/>
  <c r="H41" i="1"/>
  <c r="I41" i="1"/>
  <c r="C43" i="1"/>
  <c r="J43" i="1" s="1"/>
  <c r="J25" i="1" l="1"/>
  <c r="F28" i="1"/>
  <c r="F30" i="1" s="1"/>
  <c r="D28" i="1"/>
  <c r="D30" i="1" s="1"/>
  <c r="E26" i="1"/>
  <c r="E28" i="1" s="1"/>
  <c r="E30" i="1" s="1"/>
  <c r="H26" i="1"/>
  <c r="H28" i="1" s="1"/>
  <c r="H30" i="1" s="1"/>
  <c r="H38" i="1" s="1"/>
  <c r="H40" i="1" s="1"/>
  <c r="H42" i="1" s="1"/>
  <c r="H44" i="1" s="1"/>
  <c r="H32" i="1" s="1"/>
  <c r="H33" i="1" s="1"/>
  <c r="H35" i="1" s="1"/>
  <c r="G38" i="1"/>
  <c r="G40" i="1" s="1"/>
  <c r="G42" i="1" s="1"/>
  <c r="G44" i="1" s="1"/>
  <c r="G32" i="1" s="1"/>
  <c r="G33" i="1" s="1"/>
  <c r="G35" i="1" s="1"/>
  <c r="D38" i="1"/>
  <c r="D40" i="1" s="1"/>
  <c r="D42" i="1" s="1"/>
  <c r="D44" i="1" s="1"/>
  <c r="D32" i="1" s="1"/>
  <c r="D33" i="1" s="1"/>
  <c r="D35" i="1" s="1"/>
  <c r="F38" i="1"/>
  <c r="F40" i="1" s="1"/>
  <c r="F42" i="1" s="1"/>
  <c r="F44" i="1" s="1"/>
  <c r="F32" i="1" s="1"/>
  <c r="F33" i="1" s="1"/>
  <c r="F35" i="1" s="1"/>
  <c r="B31" i="1"/>
  <c r="C28" i="1"/>
  <c r="C30" i="1" s="1"/>
  <c r="J26" i="1" l="1"/>
  <c r="E38" i="1"/>
  <c r="E40" i="1" s="1"/>
  <c r="E42" i="1" s="1"/>
  <c r="E44" i="1" s="1"/>
  <c r="E32" i="1" s="1"/>
  <c r="E33" i="1" s="1"/>
  <c r="E35" i="1" s="1"/>
  <c r="C38" i="1"/>
  <c r="C40" i="1" s="1"/>
  <c r="C42" i="1" s="1"/>
  <c r="C44" i="1" s="1"/>
  <c r="C32" i="1" s="1"/>
  <c r="I31" i="1"/>
  <c r="C33" i="1" l="1"/>
  <c r="C35" i="1" s="1"/>
  <c r="I24" i="1"/>
  <c r="J31" i="1"/>
  <c r="J24" i="1" l="1"/>
  <c r="J28" i="1" s="1"/>
  <c r="I28" i="1"/>
  <c r="I30" i="1" s="1"/>
  <c r="J30" i="1" l="1"/>
  <c r="I38" i="1"/>
  <c r="J38" i="1" l="1"/>
  <c r="I40" i="1"/>
  <c r="I42" i="1" l="1"/>
  <c r="J40" i="1"/>
  <c r="I44" i="1" l="1"/>
  <c r="J42" i="1"/>
  <c r="I32" i="1" l="1"/>
  <c r="J44" i="1"/>
  <c r="J32" i="1" l="1"/>
  <c r="J33" i="1" s="1"/>
  <c r="J35" i="1" s="1"/>
  <c r="I33" i="1"/>
  <c r="I35" i="1" s="1"/>
  <c r="E7" i="1" s="1"/>
  <c r="E8" i="1" l="1"/>
  <c r="E9" i="1"/>
</calcChain>
</file>

<file path=xl/sharedStrings.xml><?xml version="1.0" encoding="utf-8"?>
<sst xmlns="http://schemas.openxmlformats.org/spreadsheetml/2006/main" count="45" uniqueCount="38">
  <si>
    <t>SJ Solar, LLC</t>
  </si>
  <si>
    <t>Projected Cash Flow and Taxable Income</t>
  </si>
  <si>
    <t>(Investor Has Passive Activity Income)</t>
  </si>
  <si>
    <t>2015 to 2022</t>
  </si>
  <si>
    <t>Assumptions:</t>
  </si>
  <si>
    <t>Member capital contributions</t>
  </si>
  <si>
    <t>Member ownership percentage</t>
  </si>
  <si>
    <t>Contract cost of array</t>
  </si>
  <si>
    <t>Monthly revenue from Church</t>
  </si>
  <si>
    <t>Monthly revenue from Xcel</t>
  </si>
  <si>
    <t>Boulder County PACE Grant</t>
  </si>
  <si>
    <t>Annual operating expenses</t>
  </si>
  <si>
    <t>Solar tax credit percentage</t>
  </si>
  <si>
    <t>Solar Array sales price</t>
  </si>
  <si>
    <t>Solar array installation date</t>
  </si>
  <si>
    <t>Federal and Colorado tax rate</t>
  </si>
  <si>
    <t>Projected Annual Cash Flow</t>
  </si>
  <si>
    <t>Annual revenue from Church</t>
  </si>
  <si>
    <t xml:space="preserve">  Total annual cash receipts</t>
  </si>
  <si>
    <t xml:space="preserve">   Net cash flow from operations/sale</t>
  </si>
  <si>
    <t>Return of excess member contributions</t>
  </si>
  <si>
    <t>Cash flow from taxes</t>
  </si>
  <si>
    <t>Total Projected Annual Cash Flow</t>
  </si>
  <si>
    <t>Projected Cash Flow Per Member</t>
  </si>
  <si>
    <t>Projected Taxable Income</t>
  </si>
  <si>
    <t>Net cash flow from operations/sale</t>
  </si>
  <si>
    <t>Depreciation (cost less 50% of solar credit)</t>
  </si>
  <si>
    <t xml:space="preserve">   Net Taxable Income(loss)</t>
  </si>
  <si>
    <t xml:space="preserve">  Tax Savings(Cost) from operations/sale</t>
  </si>
  <si>
    <t>Solar tax credit</t>
  </si>
  <si>
    <t>Total Cash Flow From Taxes</t>
  </si>
  <si>
    <t>Taxable Year Ending December 31,</t>
  </si>
  <si>
    <t>Total</t>
  </si>
  <si>
    <t>Return:</t>
  </si>
  <si>
    <t>IRR</t>
  </si>
  <si>
    <t>Cash-on-Cash</t>
  </si>
  <si>
    <t>Gross Cash</t>
  </si>
  <si>
    <t xml:space="preserve">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</si>
</sst>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0%"/>
    <numFmt numFmtId="165" formatCode="dd\-mmm\-yyyy"/>
    <numFmt numFmtId="166" formatCode="0.0%"/>
    <numFmt numFmtId="167" formatCode="_(&quot;$&quot;* #,##0_);_(&quot;$&quot;* \(#,##0\);_(&quot;$&quot;* &quot;-&quot;??_);_(@_)"/>
  </numFmts>
  <fonts count="8" x14ac:knownFonts="1"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9">
    <xf numFmtId="0" fontId="0" fillId="0" borderId="0" xfId="0"/>
    <xf numFmtId="3" fontId="1" fillId="0" borderId="0" xfId="0" applyNumberFormat="1" applyFont="1" applyAlignment="1"/>
    <xf numFmtId="3" fontId="2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3" fontId="6" fillId="0" borderId="0" xfId="0" applyNumberFormat="1" applyFont="1" applyAlignment="1"/>
    <xf numFmtId="164" fontId="1" fillId="0" borderId="0" xfId="0" applyNumberFormat="1" applyFont="1"/>
    <xf numFmtId="3" fontId="3" fillId="0" borderId="0" xfId="0" applyNumberFormat="1" applyFont="1" applyAlignment="1"/>
    <xf numFmtId="10" fontId="1" fillId="0" borderId="0" xfId="0" applyNumberFormat="1" applyFont="1"/>
    <xf numFmtId="165" fontId="1" fillId="0" borderId="0" xfId="0" applyNumberFormat="1" applyFont="1"/>
    <xf numFmtId="3" fontId="6" fillId="0" borderId="0" xfId="0" applyNumberFormat="1" applyFont="1" applyAlignment="1">
      <alignment horizontal="centerContinuous"/>
    </xf>
    <xf numFmtId="0" fontId="6" fillId="0" borderId="1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6" fillId="2" borderId="0" xfId="0" applyNumberFormat="1" applyFont="1" applyFill="1" applyAlignment="1"/>
    <xf numFmtId="3" fontId="3" fillId="2" borderId="2" xfId="0" applyNumberFormat="1" applyFont="1" applyFill="1" applyBorder="1" applyAlignment="1"/>
    <xf numFmtId="3" fontId="1" fillId="0" borderId="3" xfId="0" applyNumberFormat="1" applyFont="1" applyBorder="1"/>
    <xf numFmtId="3" fontId="6" fillId="3" borderId="0" xfId="0" applyNumberFormat="1" applyFont="1" applyFill="1" applyAlignment="1"/>
    <xf numFmtId="3" fontId="3" fillId="3" borderId="0" xfId="0" applyNumberFormat="1" applyFont="1" applyFill="1" applyAlignment="1"/>
    <xf numFmtId="3" fontId="3" fillId="0" borderId="2" xfId="0" applyNumberFormat="1" applyFont="1" applyBorder="1" applyAlignment="1"/>
    <xf numFmtId="3" fontId="6" fillId="4" borderId="0" xfId="0" applyNumberFormat="1" applyFont="1" applyFill="1" applyAlignment="1"/>
    <xf numFmtId="3" fontId="3" fillId="4" borderId="0" xfId="0" applyNumberFormat="1" applyFont="1" applyFill="1" applyAlignment="1"/>
    <xf numFmtId="3" fontId="3" fillId="4" borderId="2" xfId="0" applyNumberFormat="1" applyFont="1" applyFill="1" applyBorder="1" applyAlignment="1"/>
    <xf numFmtId="3" fontId="6" fillId="5" borderId="0" xfId="0" applyNumberFormat="1" applyFont="1" applyFill="1" applyAlignment="1"/>
    <xf numFmtId="3" fontId="3" fillId="5" borderId="0" xfId="0" applyNumberFormat="1" applyFont="1" applyFill="1" applyAlignment="1"/>
    <xf numFmtId="3" fontId="3" fillId="5" borderId="2" xfId="0" applyNumberFormat="1" applyFont="1" applyFill="1" applyBorder="1" applyAlignment="1"/>
    <xf numFmtId="166" fontId="1" fillId="0" borderId="0" xfId="2" applyNumberFormat="1" applyFont="1" applyAlignment="1"/>
    <xf numFmtId="167" fontId="1" fillId="0" borderId="0" xfId="1" applyNumberFormat="1" applyFont="1" applyAlignment="1"/>
    <xf numFmtId="3" fontId="1" fillId="0" borderId="0" xfId="0" applyNumberFormat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tabSelected="1" zoomScale="80" zoomScaleNormal="80" workbookViewId="0">
      <selection activeCell="G7" sqref="G7"/>
    </sheetView>
  </sheetViews>
  <sheetFormatPr defaultColWidth="11.7265625" defaultRowHeight="15" x14ac:dyDescent="0.25"/>
  <cols>
    <col min="1" max="1" width="33" style="1" customWidth="1"/>
    <col min="2" max="256" width="11.7265625" style="1"/>
  </cols>
  <sheetData>
    <row r="1" spans="1:10" ht="22.8" x14ac:dyDescent="0.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7.399999999999999" x14ac:dyDescent="0.3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3.95" customHeight="1" x14ac:dyDescent="0.3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7.399999999999999" x14ac:dyDescent="0.3">
      <c r="A4" s="4" t="s">
        <v>3</v>
      </c>
      <c r="B4" s="3"/>
      <c r="C4" s="3"/>
      <c r="D4" s="3"/>
      <c r="E4" s="3"/>
      <c r="F4" s="3"/>
      <c r="G4" s="3"/>
      <c r="H4" s="3"/>
      <c r="I4" s="3"/>
      <c r="J4" s="3"/>
    </row>
    <row r="6" spans="1:10" ht="15.6" x14ac:dyDescent="0.3">
      <c r="A6" s="6" t="s">
        <v>4</v>
      </c>
      <c r="D6" s="6" t="s">
        <v>33</v>
      </c>
    </row>
    <row r="7" spans="1:10" x14ac:dyDescent="0.25">
      <c r="A7" s="1" t="s">
        <v>5</v>
      </c>
      <c r="B7" s="1">
        <f>11*9500</f>
        <v>104500</v>
      </c>
      <c r="D7" s="28" t="s">
        <v>34</v>
      </c>
      <c r="E7" s="26">
        <f>IRR(B35:I35)</f>
        <v>7.5728001698427194E-2</v>
      </c>
      <c r="F7" s="1" t="s">
        <v>37</v>
      </c>
    </row>
    <row r="8" spans="1:10" x14ac:dyDescent="0.25">
      <c r="A8" s="1" t="s">
        <v>6</v>
      </c>
      <c r="B8" s="7">
        <f>1/11</f>
        <v>9.0909090909090912E-2</v>
      </c>
      <c r="D8" s="28" t="s">
        <v>35</v>
      </c>
      <c r="E8" s="26">
        <f>(J35+B35)/-B35</f>
        <v>0.26484593301435405</v>
      </c>
    </row>
    <row r="9" spans="1:10" x14ac:dyDescent="0.25">
      <c r="A9" s="1" t="s">
        <v>7</v>
      </c>
      <c r="B9" s="1">
        <v>100000</v>
      </c>
      <c r="D9" s="28" t="s">
        <v>36</v>
      </c>
      <c r="E9" s="27">
        <f>J35+B35</f>
        <v>2516.0363636363636</v>
      </c>
    </row>
    <row r="10" spans="1:10" x14ac:dyDescent="0.25">
      <c r="A10" s="8" t="s">
        <v>8</v>
      </c>
      <c r="B10" s="1">
        <v>450</v>
      </c>
    </row>
    <row r="11" spans="1:10" x14ac:dyDescent="0.25">
      <c r="A11" s="1" t="s">
        <v>9</v>
      </c>
      <c r="B11" s="1">
        <v>158</v>
      </c>
    </row>
    <row r="12" spans="1:10" x14ac:dyDescent="0.25">
      <c r="A12" s="1" t="s">
        <v>10</v>
      </c>
      <c r="B12" s="1">
        <v>10000</v>
      </c>
    </row>
    <row r="13" spans="1:10" x14ac:dyDescent="0.25">
      <c r="A13" s="1" t="s">
        <v>11</v>
      </c>
      <c r="B13" s="1">
        <v>500</v>
      </c>
    </row>
    <row r="14" spans="1:10" x14ac:dyDescent="0.25">
      <c r="A14" s="8" t="s">
        <v>12</v>
      </c>
      <c r="B14" s="9">
        <v>0.3</v>
      </c>
    </row>
    <row r="15" spans="1:10" x14ac:dyDescent="0.25">
      <c r="A15" s="1" t="s">
        <v>13</v>
      </c>
      <c r="B15" s="1">
        <v>62000</v>
      </c>
    </row>
    <row r="16" spans="1:10" x14ac:dyDescent="0.25">
      <c r="A16" s="1" t="s">
        <v>14</v>
      </c>
      <c r="B16" s="10">
        <v>42428</v>
      </c>
    </row>
    <row r="17" spans="1:10" x14ac:dyDescent="0.25">
      <c r="A17" s="1" t="s">
        <v>15</v>
      </c>
      <c r="B17" s="9">
        <v>0.33</v>
      </c>
    </row>
    <row r="19" spans="1:10" ht="16.95" customHeight="1" x14ac:dyDescent="0.3">
      <c r="B19" s="11" t="s">
        <v>31</v>
      </c>
      <c r="C19" s="11"/>
      <c r="D19" s="11"/>
      <c r="E19" s="11"/>
      <c r="F19" s="11"/>
      <c r="G19" s="11"/>
      <c r="H19" s="11"/>
      <c r="I19" s="11"/>
      <c r="J19" s="11"/>
    </row>
    <row r="20" spans="1:10" ht="16.95" customHeight="1" x14ac:dyDescent="0.3">
      <c r="B20" s="12">
        <v>2015</v>
      </c>
      <c r="C20" s="12">
        <v>2016</v>
      </c>
      <c r="D20" s="12">
        <v>2017</v>
      </c>
      <c r="E20" s="12">
        <v>2018</v>
      </c>
      <c r="F20" s="12">
        <v>2019</v>
      </c>
      <c r="G20" s="12">
        <v>2020</v>
      </c>
      <c r="H20" s="12">
        <v>2021</v>
      </c>
      <c r="I20" s="12">
        <v>2022</v>
      </c>
      <c r="J20" s="12" t="s">
        <v>32</v>
      </c>
    </row>
    <row r="21" spans="1:10" ht="15.6" x14ac:dyDescent="0.3">
      <c r="A21" s="6" t="s">
        <v>16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3" t="s">
        <v>5</v>
      </c>
      <c r="B22" s="1">
        <f>B7</f>
        <v>104500</v>
      </c>
    </row>
    <row r="23" spans="1:10" x14ac:dyDescent="0.25">
      <c r="A23" s="1" t="s">
        <v>7</v>
      </c>
      <c r="B23" s="1">
        <f>-B9</f>
        <v>-100000</v>
      </c>
    </row>
    <row r="24" spans="1:10" x14ac:dyDescent="0.25">
      <c r="A24" s="1" t="s">
        <v>13</v>
      </c>
      <c r="I24" s="1">
        <f>B15</f>
        <v>62000</v>
      </c>
      <c r="J24" s="1">
        <f>SUM(B24:I24)</f>
        <v>62000</v>
      </c>
    </row>
    <row r="25" spans="1:10" x14ac:dyDescent="0.25">
      <c r="A25" s="1" t="s">
        <v>17</v>
      </c>
      <c r="C25" s="1">
        <f>B10*9</f>
        <v>4050</v>
      </c>
      <c r="D25" s="1">
        <f>$B$10*12</f>
        <v>5400</v>
      </c>
      <c r="E25" s="1">
        <f>$B$10*12</f>
        <v>5400</v>
      </c>
      <c r="F25" s="1">
        <f>$B$10*12</f>
        <v>5400</v>
      </c>
      <c r="G25" s="1">
        <f>$B$10*12</f>
        <v>5400</v>
      </c>
      <c r="H25" s="1">
        <f>$B$10*12</f>
        <v>5400</v>
      </c>
      <c r="I25" s="1">
        <f>$B$10*3</f>
        <v>1350</v>
      </c>
      <c r="J25" s="1">
        <f>SUM(B25:I25)</f>
        <v>32400</v>
      </c>
    </row>
    <row r="26" spans="1:10" x14ac:dyDescent="0.25">
      <c r="A26" s="1" t="s">
        <v>9</v>
      </c>
      <c r="C26" s="1">
        <f>B11*10</f>
        <v>1580</v>
      </c>
      <c r="D26" s="1">
        <f>$B$11*12</f>
        <v>1896</v>
      </c>
      <c r="E26" s="1">
        <f>$B$11*12</f>
        <v>1896</v>
      </c>
      <c r="F26" s="1">
        <f>$B$11*12</f>
        <v>1896</v>
      </c>
      <c r="G26" s="1">
        <f>$B$11*12</f>
        <v>1896</v>
      </c>
      <c r="H26" s="1">
        <f>$B$11*12</f>
        <v>1896</v>
      </c>
      <c r="I26" s="1">
        <f>$B$11*2</f>
        <v>316</v>
      </c>
      <c r="J26" s="1">
        <f>SUM(B26:I26)</f>
        <v>11376</v>
      </c>
    </row>
    <row r="27" spans="1:10" x14ac:dyDescent="0.25">
      <c r="A27" s="1" t="s">
        <v>10</v>
      </c>
      <c r="C27" s="1">
        <f>B12</f>
        <v>10000</v>
      </c>
      <c r="J27" s="1">
        <f>SUM(B27:I27)</f>
        <v>10000</v>
      </c>
    </row>
    <row r="28" spans="1:10" ht="16.95" customHeight="1" x14ac:dyDescent="0.3">
      <c r="A28" s="6" t="s">
        <v>18</v>
      </c>
      <c r="B28" s="13">
        <f>B22+B23</f>
        <v>4500</v>
      </c>
      <c r="C28" s="13">
        <f t="shared" ref="C28:H28" si="0">SUM(C25:C27)</f>
        <v>15630</v>
      </c>
      <c r="D28" s="13">
        <f t="shared" si="0"/>
        <v>7296</v>
      </c>
      <c r="E28" s="13">
        <f t="shared" si="0"/>
        <v>7296</v>
      </c>
      <c r="F28" s="13">
        <f t="shared" si="0"/>
        <v>7296</v>
      </c>
      <c r="G28" s="13">
        <f t="shared" si="0"/>
        <v>7296</v>
      </c>
      <c r="H28" s="13">
        <f t="shared" si="0"/>
        <v>7296</v>
      </c>
      <c r="I28" s="13">
        <f>SUM(I24:I27)</f>
        <v>63666</v>
      </c>
      <c r="J28" s="13">
        <f>SUM(J24:J27)</f>
        <v>115776</v>
      </c>
    </row>
    <row r="29" spans="1:10" x14ac:dyDescent="0.25">
      <c r="A29" s="1" t="s">
        <v>11</v>
      </c>
      <c r="C29" s="1">
        <f t="shared" ref="C29:H29" si="1">-$B$13</f>
        <v>-500</v>
      </c>
      <c r="D29" s="1">
        <f t="shared" si="1"/>
        <v>-500</v>
      </c>
      <c r="E29" s="1">
        <f t="shared" si="1"/>
        <v>-500</v>
      </c>
      <c r="F29" s="1">
        <f t="shared" si="1"/>
        <v>-500</v>
      </c>
      <c r="G29" s="1">
        <f t="shared" si="1"/>
        <v>-500</v>
      </c>
      <c r="H29" s="1">
        <f t="shared" si="1"/>
        <v>-500</v>
      </c>
      <c r="J29" s="1">
        <f>SUM(B29:I29)</f>
        <v>-3000</v>
      </c>
    </row>
    <row r="30" spans="1:10" ht="16.95" customHeight="1" x14ac:dyDescent="0.3">
      <c r="A30" s="6" t="s">
        <v>19</v>
      </c>
      <c r="C30" s="13">
        <f t="shared" ref="C30:I30" si="2">C28+C29</f>
        <v>15130</v>
      </c>
      <c r="D30" s="13">
        <f t="shared" si="2"/>
        <v>6796</v>
      </c>
      <c r="E30" s="13">
        <f t="shared" si="2"/>
        <v>6796</v>
      </c>
      <c r="F30" s="13">
        <f t="shared" si="2"/>
        <v>6796</v>
      </c>
      <c r="G30" s="13">
        <f t="shared" si="2"/>
        <v>6796</v>
      </c>
      <c r="H30" s="13">
        <f t="shared" si="2"/>
        <v>6796</v>
      </c>
      <c r="I30" s="13">
        <f t="shared" si="2"/>
        <v>63666</v>
      </c>
      <c r="J30" s="13">
        <f>SUM(B30:I30)</f>
        <v>112776</v>
      </c>
    </row>
    <row r="31" spans="1:10" x14ac:dyDescent="0.25">
      <c r="A31" s="1" t="s">
        <v>20</v>
      </c>
      <c r="B31" s="1">
        <f>-(+B22+B23)</f>
        <v>-4500</v>
      </c>
      <c r="I31" s="1">
        <f>-B31</f>
        <v>4500</v>
      </c>
      <c r="J31" s="1">
        <f>SUM(B31:I31)</f>
        <v>0</v>
      </c>
    </row>
    <row r="32" spans="1:10" x14ac:dyDescent="0.25">
      <c r="A32" s="8" t="s">
        <v>21</v>
      </c>
      <c r="C32" s="1">
        <f t="shared" ref="C32:I32" si="3">C44</f>
        <v>30330.33</v>
      </c>
      <c r="D32" s="1">
        <f t="shared" si="3"/>
        <v>6274.62</v>
      </c>
      <c r="E32" s="1">
        <f t="shared" si="3"/>
        <v>2867.7000000000003</v>
      </c>
      <c r="F32" s="1">
        <f t="shared" si="3"/>
        <v>823.68000000000006</v>
      </c>
      <c r="G32" s="1">
        <f t="shared" si="3"/>
        <v>516.78</v>
      </c>
      <c r="H32" s="1">
        <f t="shared" si="3"/>
        <v>-402.93</v>
      </c>
      <c r="I32" s="1">
        <f t="shared" si="3"/>
        <v>-21009.780000000002</v>
      </c>
      <c r="J32" s="1">
        <f>SUM(B32:I32)</f>
        <v>19400.399999999998</v>
      </c>
    </row>
    <row r="33" spans="1:11" ht="19.95" customHeight="1" x14ac:dyDescent="0.3">
      <c r="A33" s="14" t="s">
        <v>22</v>
      </c>
      <c r="B33" s="15">
        <f>-B22</f>
        <v>-104500</v>
      </c>
      <c r="C33" s="15">
        <f t="shared" ref="C33:J33" si="4">SUM(C30:C32)</f>
        <v>45460.33</v>
      </c>
      <c r="D33" s="15">
        <f t="shared" si="4"/>
        <v>13070.619999999999</v>
      </c>
      <c r="E33" s="15">
        <f t="shared" si="4"/>
        <v>9663.7000000000007</v>
      </c>
      <c r="F33" s="15">
        <f t="shared" si="4"/>
        <v>7619.68</v>
      </c>
      <c r="G33" s="15">
        <f t="shared" si="4"/>
        <v>7312.78</v>
      </c>
      <c r="H33" s="15">
        <f t="shared" si="4"/>
        <v>6393.07</v>
      </c>
      <c r="I33" s="15">
        <f t="shared" si="4"/>
        <v>47156.22</v>
      </c>
      <c r="J33" s="15">
        <f t="shared" si="4"/>
        <v>132176.4</v>
      </c>
    </row>
    <row r="34" spans="1:11" x14ac:dyDescent="0.25">
      <c r="B34" s="16"/>
      <c r="C34" s="16"/>
      <c r="D34" s="16"/>
      <c r="E34" s="16"/>
      <c r="F34" s="16"/>
      <c r="G34" s="16"/>
      <c r="H34" s="16"/>
      <c r="I34" s="16"/>
      <c r="J34" s="16"/>
    </row>
    <row r="35" spans="1:11" ht="19.95" customHeight="1" thickBot="1" x14ac:dyDescent="0.35">
      <c r="A35" s="17" t="s">
        <v>23</v>
      </c>
      <c r="B35" s="18">
        <f t="shared" ref="B35:J35" si="5">B33*$B$8</f>
        <v>-9500</v>
      </c>
      <c r="C35" s="18">
        <f t="shared" si="5"/>
        <v>4132.7572727272727</v>
      </c>
      <c r="D35" s="18">
        <f t="shared" si="5"/>
        <v>1188.2381818181818</v>
      </c>
      <c r="E35" s="18">
        <f t="shared" si="5"/>
        <v>878.51818181818192</v>
      </c>
      <c r="F35" s="18">
        <f t="shared" si="5"/>
        <v>692.69818181818187</v>
      </c>
      <c r="G35" s="18">
        <f t="shared" si="5"/>
        <v>664.79818181818177</v>
      </c>
      <c r="H35" s="18">
        <f t="shared" si="5"/>
        <v>581.18818181818176</v>
      </c>
      <c r="I35" s="18">
        <f t="shared" si="5"/>
        <v>4286.9290909090914</v>
      </c>
      <c r="J35" s="18">
        <f t="shared" si="5"/>
        <v>12016.036363636364</v>
      </c>
      <c r="K35" s="26"/>
    </row>
    <row r="36" spans="1:11" ht="15.6" thickTop="1" x14ac:dyDescent="0.25">
      <c r="B36" s="16"/>
      <c r="C36" s="16"/>
      <c r="D36" s="16"/>
      <c r="E36" s="16"/>
      <c r="F36" s="16"/>
      <c r="G36" s="16"/>
      <c r="H36" s="16"/>
      <c r="I36" s="16"/>
      <c r="J36" s="16"/>
    </row>
    <row r="37" spans="1:11" ht="15.6" x14ac:dyDescent="0.3">
      <c r="A37" s="6" t="s">
        <v>24</v>
      </c>
    </row>
    <row r="38" spans="1:11" x14ac:dyDescent="0.25">
      <c r="A38" s="19" t="s">
        <v>25</v>
      </c>
      <c r="C38" s="1">
        <f t="shared" ref="C38:I38" si="6">C30</f>
        <v>15130</v>
      </c>
      <c r="D38" s="1">
        <f t="shared" si="6"/>
        <v>6796</v>
      </c>
      <c r="E38" s="1">
        <f t="shared" si="6"/>
        <v>6796</v>
      </c>
      <c r="F38" s="1">
        <f t="shared" si="6"/>
        <v>6796</v>
      </c>
      <c r="G38" s="1">
        <f t="shared" si="6"/>
        <v>6796</v>
      </c>
      <c r="H38" s="1">
        <f t="shared" si="6"/>
        <v>6796</v>
      </c>
      <c r="I38" s="1">
        <f t="shared" si="6"/>
        <v>63666</v>
      </c>
      <c r="J38" s="1">
        <f t="shared" ref="J38" si="7">SUM(B38:I38)</f>
        <v>112776</v>
      </c>
    </row>
    <row r="39" spans="1:11" x14ac:dyDescent="0.25">
      <c r="A39" s="8" t="s">
        <v>26</v>
      </c>
      <c r="C39" s="1">
        <v>-16131</v>
      </c>
      <c r="D39" s="1">
        <v>-25810</v>
      </c>
      <c r="E39" s="1">
        <v>-15486</v>
      </c>
      <c r="F39" s="1">
        <v>-9292</v>
      </c>
      <c r="G39" s="1">
        <v>-8362</v>
      </c>
      <c r="H39" s="1">
        <v>-5575</v>
      </c>
      <c r="J39" s="1">
        <f>SUM(B39:I39)</f>
        <v>-80656</v>
      </c>
    </row>
    <row r="40" spans="1:11" ht="16.95" customHeight="1" x14ac:dyDescent="0.3">
      <c r="A40" s="20" t="s">
        <v>27</v>
      </c>
      <c r="B40" s="21"/>
      <c r="C40" s="22">
        <f t="shared" ref="C40:I40" si="8">C38+C39</f>
        <v>-1001</v>
      </c>
      <c r="D40" s="22">
        <f t="shared" si="8"/>
        <v>-19014</v>
      </c>
      <c r="E40" s="22">
        <f t="shared" si="8"/>
        <v>-8690</v>
      </c>
      <c r="F40" s="22">
        <f t="shared" si="8"/>
        <v>-2496</v>
      </c>
      <c r="G40" s="22">
        <f t="shared" si="8"/>
        <v>-1566</v>
      </c>
      <c r="H40" s="22">
        <f t="shared" si="8"/>
        <v>1221</v>
      </c>
      <c r="I40" s="22">
        <f t="shared" si="8"/>
        <v>63666</v>
      </c>
      <c r="J40" s="1">
        <f t="shared" ref="J40" si="9">SUM(B40:I40)</f>
        <v>32120</v>
      </c>
    </row>
    <row r="41" spans="1:11" x14ac:dyDescent="0.25">
      <c r="A41" s="1" t="s">
        <v>15</v>
      </c>
      <c r="C41" s="9">
        <f t="shared" ref="C41:I41" si="10">$B$17</f>
        <v>0.33</v>
      </c>
      <c r="D41" s="9">
        <f t="shared" si="10"/>
        <v>0.33</v>
      </c>
      <c r="E41" s="9">
        <f t="shared" si="10"/>
        <v>0.33</v>
      </c>
      <c r="F41" s="9">
        <f t="shared" si="10"/>
        <v>0.33</v>
      </c>
      <c r="G41" s="9">
        <f t="shared" si="10"/>
        <v>0.33</v>
      </c>
      <c r="H41" s="9">
        <f t="shared" si="10"/>
        <v>0.33</v>
      </c>
      <c r="I41" s="9">
        <f t="shared" si="10"/>
        <v>0.33</v>
      </c>
    </row>
    <row r="42" spans="1:11" ht="16.95" customHeight="1" x14ac:dyDescent="0.25">
      <c r="A42" s="8" t="s">
        <v>28</v>
      </c>
      <c r="C42" s="13">
        <f t="shared" ref="C42:I42" si="11">-C40*C41</f>
        <v>330.33000000000004</v>
      </c>
      <c r="D42" s="13">
        <f t="shared" si="11"/>
        <v>6274.62</v>
      </c>
      <c r="E42" s="13">
        <f t="shared" si="11"/>
        <v>2867.7000000000003</v>
      </c>
      <c r="F42" s="13">
        <f t="shared" si="11"/>
        <v>823.68000000000006</v>
      </c>
      <c r="G42" s="13">
        <f t="shared" si="11"/>
        <v>516.78</v>
      </c>
      <c r="H42" s="13">
        <f t="shared" si="11"/>
        <v>-402.93</v>
      </c>
      <c r="I42" s="13">
        <f t="shared" si="11"/>
        <v>-21009.780000000002</v>
      </c>
      <c r="J42" s="1">
        <f t="shared" ref="J42:J43" si="12">SUM(B42:I42)</f>
        <v>-10599.600000000002</v>
      </c>
    </row>
    <row r="43" spans="1:11" x14ac:dyDescent="0.25">
      <c r="A43" s="8" t="s">
        <v>29</v>
      </c>
      <c r="C43" s="1">
        <f>B9*B14</f>
        <v>30000</v>
      </c>
      <c r="J43" s="1">
        <f t="shared" si="12"/>
        <v>30000</v>
      </c>
    </row>
    <row r="44" spans="1:11" ht="19.05" customHeight="1" x14ac:dyDescent="0.3">
      <c r="A44" s="23" t="s">
        <v>30</v>
      </c>
      <c r="B44" s="24"/>
      <c r="C44" s="25">
        <f t="shared" ref="C44:I44" si="13">C42+C43</f>
        <v>30330.33</v>
      </c>
      <c r="D44" s="25">
        <f t="shared" si="13"/>
        <v>6274.62</v>
      </c>
      <c r="E44" s="25">
        <f t="shared" si="13"/>
        <v>2867.7000000000003</v>
      </c>
      <c r="F44" s="25">
        <f t="shared" si="13"/>
        <v>823.68000000000006</v>
      </c>
      <c r="G44" s="25">
        <f t="shared" si="13"/>
        <v>516.78</v>
      </c>
      <c r="H44" s="25">
        <f t="shared" si="13"/>
        <v>-402.93</v>
      </c>
      <c r="I44" s="25">
        <f t="shared" si="13"/>
        <v>-21009.780000000002</v>
      </c>
      <c r="J44" s="1">
        <f>SUM(B44:I44)</f>
        <v>19400.399999999998</v>
      </c>
    </row>
    <row r="45" spans="1:11" x14ac:dyDescent="0.25">
      <c r="C45" s="16"/>
      <c r="D45" s="16"/>
      <c r="E45" s="16"/>
      <c r="F45" s="16"/>
      <c r="G45" s="16"/>
      <c r="H45" s="16"/>
      <c r="I45" s="16"/>
    </row>
  </sheetData>
  <pageMargins left="0.3" right="0.3" top="0.3" bottom="0.3" header="0" footer="0"/>
  <pageSetup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monroe</cp:lastModifiedBy>
  <dcterms:created xsi:type="dcterms:W3CDTF">2015-11-25T15:39:17Z</dcterms:created>
  <dcterms:modified xsi:type="dcterms:W3CDTF">2016-02-18T22:13:49Z</dcterms:modified>
</cp:coreProperties>
</file>