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ck\Desktop\2024 local unit studies\fulton twp 2024 studies\"/>
    </mc:Choice>
  </mc:AlternateContent>
  <xr:revisionPtr revIDLastSave="0" documentId="13_ncr:1_{0DDC599C-37B0-43C6-AE7C-EFA4CEDE2CBC}" xr6:coauthVersionLast="47" xr6:coauthVersionMax="47" xr10:uidLastSave="{00000000-0000-0000-0000-000000000000}"/>
  <bookViews>
    <workbookView xWindow="-120" yWindow="-120" windowWidth="29040" windowHeight="15840" xr2:uid="{CC828ED7-D34C-43B8-9CF7-A7D261BC1406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2" l="1"/>
  <c r="K28" i="2"/>
  <c r="Q28" i="2"/>
  <c r="R28" i="2"/>
  <c r="S28" i="2"/>
  <c r="I21" i="2"/>
  <c r="K21" i="2"/>
  <c r="Q21" i="2"/>
  <c r="R21" i="2"/>
  <c r="S21" i="2"/>
  <c r="I3" i="2"/>
  <c r="K3" i="2"/>
  <c r="Q3" i="2"/>
  <c r="R3" i="2"/>
  <c r="S3" i="2"/>
  <c r="I12" i="2"/>
  <c r="K12" i="2"/>
  <c r="Q12" i="2"/>
  <c r="R12" i="2"/>
  <c r="S12" i="2"/>
  <c r="I14" i="2"/>
  <c r="K14" i="2"/>
  <c r="Q14" i="2"/>
  <c r="R14" i="2"/>
  <c r="S14" i="2"/>
  <c r="I20" i="2"/>
  <c r="K20" i="2"/>
  <c r="Q20" i="2"/>
  <c r="R20" i="2"/>
  <c r="S20" i="2"/>
  <c r="I15" i="2"/>
  <c r="K15" i="2"/>
  <c r="Q15" i="2"/>
  <c r="R15" i="2"/>
  <c r="S15" i="2"/>
  <c r="I2" i="2"/>
  <c r="K2" i="2"/>
  <c r="Q2" i="2"/>
  <c r="R2" i="2"/>
  <c r="S2" i="2"/>
  <c r="I23" i="2"/>
  <c r="K23" i="2"/>
  <c r="Q23" i="2"/>
  <c r="R23" i="2"/>
  <c r="S23" i="2"/>
  <c r="I11" i="2"/>
  <c r="K11" i="2"/>
  <c r="Q11" i="2"/>
  <c r="R11" i="2"/>
  <c r="S11" i="2"/>
  <c r="I4" i="2"/>
  <c r="K4" i="2"/>
  <c r="Q4" i="2"/>
  <c r="R4" i="2"/>
  <c r="S4" i="2"/>
  <c r="I5" i="2"/>
  <c r="K5" i="2"/>
  <c r="Q5" i="2"/>
  <c r="R5" i="2"/>
  <c r="S5" i="2"/>
  <c r="I6" i="2"/>
  <c r="K6" i="2"/>
  <c r="Q6" i="2"/>
  <c r="R6" i="2"/>
  <c r="S6" i="2"/>
  <c r="I16" i="2"/>
  <c r="K16" i="2"/>
  <c r="Q16" i="2"/>
  <c r="R16" i="2"/>
  <c r="S16" i="2"/>
  <c r="I17" i="2"/>
  <c r="K17" i="2"/>
  <c r="Q17" i="2"/>
  <c r="R17" i="2"/>
  <c r="S17" i="2"/>
  <c r="I7" i="2"/>
  <c r="K7" i="2"/>
  <c r="Q7" i="2"/>
  <c r="R7" i="2"/>
  <c r="S7" i="2"/>
  <c r="I25" i="2"/>
  <c r="K25" i="2"/>
  <c r="Q25" i="2"/>
  <c r="R25" i="2"/>
  <c r="S25" i="2"/>
  <c r="I18" i="2"/>
  <c r="K18" i="2"/>
  <c r="Q18" i="2"/>
  <c r="R18" i="2"/>
  <c r="S18" i="2"/>
  <c r="I8" i="2"/>
  <c r="K8" i="2"/>
  <c r="Q8" i="2"/>
  <c r="R8" i="2"/>
  <c r="S8" i="2"/>
  <c r="I9" i="2"/>
  <c r="K9" i="2"/>
  <c r="Q9" i="2"/>
  <c r="R9" i="2"/>
  <c r="S9" i="2"/>
  <c r="I26" i="2"/>
  <c r="K26" i="2"/>
  <c r="Q26" i="2"/>
  <c r="R26" i="2"/>
  <c r="S26" i="2"/>
  <c r="I24" i="2"/>
  <c r="K24" i="2"/>
  <c r="Q24" i="2"/>
  <c r="R24" i="2"/>
  <c r="S24" i="2"/>
  <c r="I19" i="2"/>
  <c r="K19" i="2"/>
  <c r="Q19" i="2"/>
  <c r="R19" i="2"/>
  <c r="S19" i="2"/>
  <c r="I22" i="2"/>
  <c r="K22" i="2"/>
  <c r="Q22" i="2"/>
  <c r="R22" i="2"/>
  <c r="S22" i="2"/>
  <c r="I10" i="2"/>
  <c r="K10" i="2"/>
  <c r="Q10" i="2"/>
  <c r="R10" i="2"/>
  <c r="S10" i="2"/>
  <c r="I13" i="2"/>
  <c r="K13" i="2"/>
  <c r="Q13" i="2"/>
  <c r="R13" i="2"/>
  <c r="S13" i="2"/>
  <c r="I27" i="2"/>
  <c r="K27" i="2"/>
  <c r="Q27" i="2"/>
  <c r="R27" i="2"/>
  <c r="S27" i="2"/>
  <c r="D29" i="2"/>
  <c r="G29" i="2"/>
  <c r="H29" i="2"/>
  <c r="J29" i="2"/>
  <c r="K29" i="2"/>
  <c r="L29" i="2"/>
  <c r="M29" i="2"/>
  <c r="O29" i="2"/>
  <c r="P29" i="2"/>
  <c r="I30" i="2"/>
  <c r="I31" i="2"/>
  <c r="M31" i="2"/>
  <c r="P31" i="2"/>
  <c r="S31" i="2"/>
</calcChain>
</file>

<file path=xl/sharedStrings.xml><?xml version="1.0" encoding="utf-8"?>
<sst xmlns="http://schemas.openxmlformats.org/spreadsheetml/2006/main" count="252" uniqueCount="133">
  <si>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</si>
  <si>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</si>
  <si>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</si>
  <si>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</si>
  <si>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</si>
  <si>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</si>
  <si>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</si>
  <si>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</si>
  <si>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</si>
  <si>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</si>
  <si>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</si>
  <si>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</si>
  <si>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</si>
  <si>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</si>
  <si>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</si>
  <si>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</si>
  <si>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</si>
  <si>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</si>
  <si>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</si>
  <si>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</si>
  <si>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</si>
  <si>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</si>
  <si>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</si>
  <si>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</si>
  <si>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</si>
  <si>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</si>
  <si>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</si>
  <si>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</si>
  <si>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</si>
  <si>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</si>
  <si>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</si>
  <si>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</si>
  <si>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05-007-012-50</t>
  </si>
  <si>
    <t>425 N NEWTON ST</t>
  </si>
  <si>
    <t>WD</t>
  </si>
  <si>
    <t>03-ARM'S LENGTH</t>
  </si>
  <si>
    <t>4200</t>
  </si>
  <si>
    <t>1102-0633</t>
  </si>
  <si>
    <t>4200 MIDDLETON</t>
  </si>
  <si>
    <t>NOT INSPECTED</t>
  </si>
  <si>
    <t>401</t>
  </si>
  <si>
    <t>SEWER</t>
  </si>
  <si>
    <t>05-007-036-00</t>
  </si>
  <si>
    <t>223 S CAROLINE ST</t>
  </si>
  <si>
    <t>1091-0503</t>
  </si>
  <si>
    <t>05-007-052-00</t>
  </si>
  <si>
    <t>112 S JANE ST</t>
  </si>
  <si>
    <t>1084-0605</t>
  </si>
  <si>
    <t>05-007-058-00</t>
  </si>
  <si>
    <t>320 S NEWTON ST</t>
  </si>
  <si>
    <t>1100-0073</t>
  </si>
  <si>
    <t>4220</t>
  </si>
  <si>
    <t>05-102-011-00</t>
  </si>
  <si>
    <t>320 N NEWTON</t>
  </si>
  <si>
    <t>1116-1321</t>
  </si>
  <si>
    <t>05-103-014-00</t>
  </si>
  <si>
    <t>119 W GEORGE ST</t>
  </si>
  <si>
    <t>1089-0240</t>
  </si>
  <si>
    <t>05-112-012-00</t>
  </si>
  <si>
    <t>125 S ELIZABETH ST</t>
  </si>
  <si>
    <t>1114-0084</t>
  </si>
  <si>
    <t>05-116-005-00</t>
  </si>
  <si>
    <t>123 S HOWELL ST</t>
  </si>
  <si>
    <t>1106-1308</t>
  </si>
  <si>
    <t>05-220-038-00</t>
  </si>
  <si>
    <t>316 W FULTON ST</t>
  </si>
  <si>
    <t>1086-1082</t>
  </si>
  <si>
    <t>05-220-039-00</t>
  </si>
  <si>
    <t>4220 POMPEII</t>
  </si>
  <si>
    <t>05-220-097-00</t>
  </si>
  <si>
    <t>304 W BURTON ST</t>
  </si>
  <si>
    <t>1101-0677</t>
  </si>
  <si>
    <t>43-100-053-00</t>
  </si>
  <si>
    <t>203 W FULTON ST</t>
  </si>
  <si>
    <t>4210</t>
  </si>
  <si>
    <t>1094-0267</t>
  </si>
  <si>
    <t>43-100-067-50</t>
  </si>
  <si>
    <t>213 W FULTON</t>
  </si>
  <si>
    <t>1091-0030</t>
  </si>
  <si>
    <t>43-100-072-00</t>
  </si>
  <si>
    <t>219 W RAILROAD ST</t>
  </si>
  <si>
    <t>1098-716</t>
  </si>
  <si>
    <t>43-100-074-00</t>
  </si>
  <si>
    <t>113 N MORSE ST</t>
  </si>
  <si>
    <t>1112-0104</t>
  </si>
  <si>
    <t>43-100-159-00</t>
  </si>
  <si>
    <t>120 E ELBA ST</t>
  </si>
  <si>
    <t>1085-0104</t>
  </si>
  <si>
    <t>43-100-187-00</t>
  </si>
  <si>
    <t>108 N ARNOLD ST</t>
  </si>
  <si>
    <t>1082-602</t>
  </si>
  <si>
    <t>43-100-193-00</t>
  </si>
  <si>
    <t>207 ARNOLD ST</t>
  </si>
  <si>
    <t>1112-0985</t>
  </si>
  <si>
    <t>43-300-003-00</t>
  </si>
  <si>
    <t>120 N SICKLES</t>
  </si>
  <si>
    <t>1104-0205</t>
  </si>
  <si>
    <t>43-300-004-50</t>
  </si>
  <si>
    <t>438 W FULTON ST</t>
  </si>
  <si>
    <t>1100-0278</t>
  </si>
  <si>
    <t>43-600-001-00</t>
  </si>
  <si>
    <t>121 SICKLES ST</t>
  </si>
  <si>
    <t>1113-0164</t>
  </si>
  <si>
    <t>43-600-002-00</t>
  </si>
  <si>
    <t>507 W RAILROAD ST</t>
  </si>
  <si>
    <t>1088-1427</t>
  </si>
  <si>
    <t>43-600-003-00</t>
  </si>
  <si>
    <t>43-700-261-00</t>
  </si>
  <si>
    <t>110 S ESLEY ST</t>
  </si>
  <si>
    <t>1082-472</t>
  </si>
  <si>
    <t>43-700-269-00</t>
  </si>
  <si>
    <t>420 ALLOR</t>
  </si>
  <si>
    <t>1112-0164</t>
  </si>
  <si>
    <t>43-700-298-00</t>
  </si>
  <si>
    <t>221 W ALLOR ST</t>
  </si>
  <si>
    <t>1086-0635</t>
  </si>
  <si>
    <t>43-700-302-00</t>
  </si>
  <si>
    <t>123 W ALLOR ST</t>
  </si>
  <si>
    <t>1100-1091</t>
  </si>
  <si>
    <t>43-700-304-00</t>
  </si>
  <si>
    <t>313 S HODGE ST</t>
  </si>
  <si>
    <t>1110-0400</t>
  </si>
  <si>
    <t>43-700-338-02</t>
  </si>
  <si>
    <t>120 S COLE ST</t>
  </si>
  <si>
    <t>1114-1484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</si>
  <si>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</si>
  <si>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</si>
  <si>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</si>
  <si>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</si>
  <si>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</si>
  <si>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</si>
  <si>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</si>
  <si>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FULTON VILLAGES $.85 PER SQ FOOT APPLIED LAND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</si>
</sst>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/>
    <xf numFmtId="14" fontId="0" fillId="0" borderId="0" xfId="0" applyNumberFormat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0" fontId="1" fillId="2" borderId="0" xfId="0" applyNumberFormat="1" applyFont="1" applyFill="1" applyAlignment="1">
      <alignment horizontal="center"/>
    </xf>
    <xf numFmtId="40" fontId="0" fillId="0" borderId="0" xfId="0" applyNumberFormat="1"/>
    <xf numFmtId="40" fontId="2" fillId="3" borderId="1" xfId="0" applyNumberFormat="1" applyFont="1" applyFill="1" applyBorder="1"/>
    <xf numFmtId="40" fontId="2" fillId="3" borderId="0" xfId="0" applyNumberFormat="1" applyFont="1" applyFill="1" applyBorder="1"/>
    <xf numFmtId="40" fontId="2" fillId="3" borderId="2" xfId="0" applyNumberFormat="1" applyFont="1" applyFill="1" applyBorder="1"/>
    <xf numFmtId="8" fontId="1" fillId="2" borderId="0" xfId="0" applyNumberFormat="1" applyFont="1" applyFill="1" applyAlignment="1">
      <alignment horizontal="center"/>
    </xf>
    <xf numFmtId="8" fontId="0" fillId="0" borderId="0" xfId="0" applyNumberFormat="1"/>
    <xf numFmtId="8" fontId="2" fillId="3" borderId="1" xfId="0" applyNumberFormat="1" applyFont="1" applyFill="1" applyBorder="1"/>
    <xf numFmtId="8" fontId="2" fillId="3" borderId="0" xfId="0" applyNumberFormat="1" applyFont="1" applyFill="1" applyBorder="1"/>
    <xf numFmtId="8" fontId="2" fillId="3" borderId="2" xfId="0" applyNumberFormat="1" applyFont="1" applyFill="1" applyBorder="1"/>
    <xf numFmtId="168" fontId="2" fillId="3" borderId="2" xfId="0" applyNumberFormat="1" applyFont="1" applyFill="1" applyBorder="1"/>
    <xf numFmtId="165" fontId="3" fillId="0" borderId="0" xfId="0" applyNumberFormat="1" applyFont="1"/>
    <xf numFmtId="6" fontId="3" fillId="0" borderId="0" xfId="0" applyNumberFormat="1" applyFont="1"/>
    <xf numFmtId="0" fontId="3" fillId="0" borderId="0" xfId="0" applyFont="1"/>
    <xf numFmtId="164" fontId="3" fillId="0" borderId="0" xfId="0" applyNumberFormat="1" applyFont="1"/>
    <xf numFmtId="166" fontId="3" fillId="0" borderId="0" xfId="0" applyNumberFormat="1" applyFont="1"/>
    <xf numFmtId="167" fontId="3" fillId="0" borderId="0" xfId="0" applyNumberFormat="1" applyFont="1"/>
    <xf numFmtId="40" fontId="3" fillId="0" borderId="0" xfId="0" applyNumberFormat="1" applyFont="1"/>
    <xf numFmtId="8" fontId="3" fillId="0" borderId="0" xfId="0" applyNumberFormat="1" applyFont="1"/>
    <xf numFmtId="0" fontId="3" fillId="0" borderId="0" xfId="0" applyFont="1" applyAlignment="1">
      <alignment horizontal="right"/>
    </xf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34075-81EB-46E9-8B1D-977256838391}">
  <dimension ref="A1:BL33"/>
  <sheetViews>
    <sheetView tabSelected="1" workbookViewId="0">
      <selection activeCell="B33" sqref="A33:XFD33"/>
    </sheetView>
  </sheetViews>
  <sheetFormatPr defaultRowHeight="15" x14ac:dyDescent="0.25"/>
  <cols>
    <col min="1" max="1" width="14.28515625" bestFit="1" customWidth="1"/>
    <col min="2" max="2" width="18.42578125" bestFit="1" customWidth="1"/>
    <col min="3" max="3" width="9.28515625" style="25" bestFit="1" customWidth="1"/>
    <col min="4" max="4" width="10.85546875" style="15" bestFit="1" customWidth="1"/>
    <col min="5" max="5" width="5.5703125" bestFit="1" customWidth="1"/>
    <col min="6" max="6" width="21.85546875" bestFit="1" customWidth="1"/>
    <col min="7" max="7" width="10.85546875" style="15" bestFit="1" customWidth="1"/>
    <col min="8" max="8" width="14.7109375" style="15" bestFit="1" customWidth="1"/>
    <col min="9" max="9" width="12.85546875" style="20" bestFit="1" customWidth="1"/>
    <col min="10" max="10" width="13.42578125" style="15" bestFit="1" customWidth="1"/>
    <col min="11" max="11" width="13.28515625" style="15" bestFit="1" customWidth="1"/>
    <col min="12" max="12" width="14.42578125" style="15" bestFit="1" customWidth="1"/>
    <col min="13" max="13" width="11.140625" style="30" bestFit="1" customWidth="1"/>
    <col min="14" max="14" width="6.42578125" style="34" bestFit="1" customWidth="1"/>
    <col min="15" max="15" width="14.28515625" style="39" bestFit="1" customWidth="1"/>
    <col min="16" max="16" width="10.7109375" style="39" bestFit="1" customWidth="1"/>
    <col min="17" max="17" width="10" style="15" bestFit="1" customWidth="1"/>
    <col min="18" max="18" width="12" style="15" bestFit="1" customWidth="1"/>
    <col min="19" max="19" width="11.85546875" style="44" bestFit="1" customWidth="1"/>
    <col min="20" max="20" width="11.7109375" style="39" bestFit="1" customWidth="1"/>
    <col min="21" max="21" width="8.7109375" style="4" bestFit="1" customWidth="1"/>
    <col min="22" max="22" width="10.5703125" bestFit="1" customWidth="1"/>
    <col min="23" max="23" width="19.42578125" bestFit="1" customWidth="1"/>
    <col min="24" max="24" width="16.140625" bestFit="1" customWidth="1"/>
    <col min="25" max="25" width="6.85546875" bestFit="1" customWidth="1"/>
    <col min="26" max="26" width="6.42578125" bestFit="1" customWidth="1"/>
    <col min="27" max="27" width="15" bestFit="1" customWidth="1"/>
    <col min="28" max="28" width="9.42578125" bestFit="1" customWidth="1"/>
    <col min="29" max="29" width="5.42578125" bestFit="1" customWidth="1"/>
    <col min="30" max="32" width="12.42578125" bestFit="1" customWidth="1"/>
  </cols>
  <sheetData>
    <row r="1" spans="1:64" x14ac:dyDescent="0.25">
      <c r="A1" s="1" t="s">
        <v>0</v>
      </c>
      <c r="B1" s="1" t="s">
        <v>1</v>
      </c>
      <c r="C1" s="24" t="s">
        <v>2</v>
      </c>
      <c r="D1" s="14" t="s">
        <v>3</v>
      </c>
      <c r="E1" s="1" t="s">
        <v>4</v>
      </c>
      <c r="F1" s="1" t="s">
        <v>5</v>
      </c>
      <c r="G1" s="14" t="s">
        <v>6</v>
      </c>
      <c r="H1" s="14" t="s">
        <v>7</v>
      </c>
      <c r="I1" s="19" t="s">
        <v>8</v>
      </c>
      <c r="J1" s="14" t="s">
        <v>9</v>
      </c>
      <c r="K1" s="14" t="s">
        <v>10</v>
      </c>
      <c r="L1" s="14" t="s">
        <v>11</v>
      </c>
      <c r="M1" s="29" t="s">
        <v>12</v>
      </c>
      <c r="N1" s="33" t="s">
        <v>13</v>
      </c>
      <c r="O1" s="38" t="s">
        <v>14</v>
      </c>
      <c r="P1" s="38" t="s">
        <v>15</v>
      </c>
      <c r="Q1" s="14" t="s">
        <v>16</v>
      </c>
      <c r="R1" s="14" t="s">
        <v>17</v>
      </c>
      <c r="S1" s="43" t="s">
        <v>18</v>
      </c>
      <c r="T1" s="38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61</v>
      </c>
      <c r="B2" t="s">
        <v>62</v>
      </c>
      <c r="C2" s="25">
        <v>44771</v>
      </c>
      <c r="D2" s="15">
        <v>100000</v>
      </c>
      <c r="E2" t="s">
        <v>34</v>
      </c>
      <c r="F2" t="s">
        <v>35</v>
      </c>
      <c r="G2" s="15">
        <v>100000</v>
      </c>
      <c r="H2" s="15">
        <v>46600</v>
      </c>
      <c r="I2" s="20">
        <f t="shared" ref="I2:I28" si="0">H2/G2*100</f>
        <v>46.6</v>
      </c>
      <c r="J2" s="15">
        <v>103501</v>
      </c>
      <c r="K2" s="15">
        <f>G2-97363</f>
        <v>2637</v>
      </c>
      <c r="L2" s="15">
        <v>6138</v>
      </c>
      <c r="M2" s="30">
        <v>66</v>
      </c>
      <c r="N2" s="34">
        <v>0</v>
      </c>
      <c r="O2" s="39">
        <v>0.188</v>
      </c>
      <c r="P2" s="39">
        <v>0.188</v>
      </c>
      <c r="Q2" s="15">
        <f t="shared" ref="Q2:Q28" si="1">K2/M2</f>
        <v>39.954545454545453</v>
      </c>
      <c r="R2" s="15">
        <f t="shared" ref="R2:R28" si="2">K2/O2</f>
        <v>14026.595744680852</v>
      </c>
      <c r="S2" s="44">
        <f t="shared" ref="S2:S28" si="3">K2/O2/43560</f>
        <v>0.32200633022683312</v>
      </c>
      <c r="T2" s="39">
        <v>66</v>
      </c>
      <c r="U2" s="5" t="s">
        <v>36</v>
      </c>
      <c r="V2" t="s">
        <v>63</v>
      </c>
      <c r="X2" t="s">
        <v>38</v>
      </c>
      <c r="Y2">
        <v>0</v>
      </c>
      <c r="Z2">
        <v>1</v>
      </c>
      <c r="AA2" s="7">
        <v>41452</v>
      </c>
      <c r="AB2" t="s">
        <v>41</v>
      </c>
      <c r="AC2" s="6" t="s">
        <v>40</v>
      </c>
    </row>
    <row r="3" spans="1:64" x14ac:dyDescent="0.25">
      <c r="A3" t="s">
        <v>45</v>
      </c>
      <c r="B3" t="s">
        <v>46</v>
      </c>
      <c r="C3" s="25">
        <v>44386</v>
      </c>
      <c r="D3" s="15">
        <v>90000</v>
      </c>
      <c r="E3" t="s">
        <v>34</v>
      </c>
      <c r="F3" t="s">
        <v>35</v>
      </c>
      <c r="G3" s="15">
        <v>90000</v>
      </c>
      <c r="H3" s="15">
        <v>14100</v>
      </c>
      <c r="I3" s="20">
        <f t="shared" si="0"/>
        <v>15.666666666666668</v>
      </c>
      <c r="J3" s="15">
        <v>65647</v>
      </c>
      <c r="K3" s="15">
        <f>G3-59113</f>
        <v>30887</v>
      </c>
      <c r="L3" s="15">
        <v>6534</v>
      </c>
      <c r="M3" s="30">
        <v>0</v>
      </c>
      <c r="N3" s="34">
        <v>0</v>
      </c>
      <c r="O3" s="39">
        <v>0.2</v>
      </c>
      <c r="P3" s="39">
        <v>0.2</v>
      </c>
      <c r="Q3" s="15" t="e">
        <f t="shared" si="1"/>
        <v>#DIV/0!</v>
      </c>
      <c r="R3" s="15">
        <f t="shared" si="2"/>
        <v>154435</v>
      </c>
      <c r="S3" s="44">
        <f t="shared" si="3"/>
        <v>3.5453397612488522</v>
      </c>
      <c r="T3" s="39">
        <v>0</v>
      </c>
      <c r="U3" s="5" t="s">
        <v>36</v>
      </c>
      <c r="V3" t="s">
        <v>47</v>
      </c>
      <c r="X3" t="s">
        <v>38</v>
      </c>
      <c r="Y3">
        <v>0</v>
      </c>
      <c r="Z3">
        <v>1</v>
      </c>
      <c r="AA3" s="7">
        <v>44545</v>
      </c>
      <c r="AC3" s="6" t="s">
        <v>40</v>
      </c>
    </row>
    <row r="4" spans="1:64" x14ac:dyDescent="0.25">
      <c r="A4" t="s">
        <v>72</v>
      </c>
      <c r="B4" t="s">
        <v>73</v>
      </c>
      <c r="C4" s="25">
        <v>44524</v>
      </c>
      <c r="D4" s="15">
        <v>115000</v>
      </c>
      <c r="E4" t="s">
        <v>34</v>
      </c>
      <c r="F4" t="s">
        <v>35</v>
      </c>
      <c r="G4" s="15">
        <v>115000</v>
      </c>
      <c r="H4" s="15">
        <v>52600</v>
      </c>
      <c r="I4" s="20">
        <f t="shared" si="0"/>
        <v>45.739130434782609</v>
      </c>
      <c r="J4" s="15">
        <v>121154</v>
      </c>
      <c r="K4" s="15">
        <f>G4-114620</f>
        <v>380</v>
      </c>
      <c r="L4" s="15">
        <v>6534</v>
      </c>
      <c r="M4" s="30">
        <v>0</v>
      </c>
      <c r="N4" s="34">
        <v>0</v>
      </c>
      <c r="O4" s="39">
        <v>0.2</v>
      </c>
      <c r="P4" s="39">
        <v>0.2</v>
      </c>
      <c r="Q4" s="15" t="e">
        <f t="shared" si="1"/>
        <v>#DIV/0!</v>
      </c>
      <c r="R4" s="15">
        <f t="shared" si="2"/>
        <v>1900</v>
      </c>
      <c r="S4" s="44">
        <f t="shared" si="3"/>
        <v>4.3617998163452708E-2</v>
      </c>
      <c r="T4" s="39">
        <v>0</v>
      </c>
      <c r="U4" s="5" t="s">
        <v>74</v>
      </c>
      <c r="V4" t="s">
        <v>75</v>
      </c>
      <c r="Y4">
        <v>0</v>
      </c>
      <c r="Z4">
        <v>1</v>
      </c>
      <c r="AA4" s="7">
        <v>41457</v>
      </c>
      <c r="AC4" s="6" t="s">
        <v>40</v>
      </c>
    </row>
    <row r="5" spans="1:64" x14ac:dyDescent="0.25">
      <c r="A5" t="s">
        <v>76</v>
      </c>
      <c r="B5" t="s">
        <v>77</v>
      </c>
      <c r="C5" s="25">
        <v>44483</v>
      </c>
      <c r="D5" s="15">
        <v>106000</v>
      </c>
      <c r="E5" t="s">
        <v>34</v>
      </c>
      <c r="F5" t="s">
        <v>35</v>
      </c>
      <c r="G5" s="15">
        <v>106000</v>
      </c>
      <c r="H5" s="15">
        <v>37900</v>
      </c>
      <c r="I5" s="20">
        <f t="shared" si="0"/>
        <v>35.75471698113207</v>
      </c>
      <c r="J5" s="15">
        <v>86826</v>
      </c>
      <c r="K5" s="15">
        <f>G5-80292</f>
        <v>25708</v>
      </c>
      <c r="L5" s="15">
        <v>6534</v>
      </c>
      <c r="M5" s="30">
        <v>0</v>
      </c>
      <c r="N5" s="34">
        <v>0</v>
      </c>
      <c r="O5" s="39">
        <v>0.2</v>
      </c>
      <c r="P5" s="39">
        <v>0.2</v>
      </c>
      <c r="Q5" s="15" t="e">
        <f t="shared" si="1"/>
        <v>#DIV/0!</v>
      </c>
      <c r="R5" s="15">
        <f t="shared" si="2"/>
        <v>128540</v>
      </c>
      <c r="S5" s="44">
        <f t="shared" si="3"/>
        <v>2.9508723599632689</v>
      </c>
      <c r="T5" s="39">
        <v>0</v>
      </c>
      <c r="U5" s="5" t="s">
        <v>74</v>
      </c>
      <c r="V5" t="s">
        <v>78</v>
      </c>
      <c r="Y5">
        <v>0</v>
      </c>
      <c r="Z5">
        <v>1</v>
      </c>
      <c r="AA5" s="7">
        <v>41463</v>
      </c>
      <c r="AC5" s="6" t="s">
        <v>40</v>
      </c>
    </row>
    <row r="6" spans="1:64" x14ac:dyDescent="0.25">
      <c r="A6" t="s">
        <v>79</v>
      </c>
      <c r="B6" t="s">
        <v>80</v>
      </c>
      <c r="C6" s="25">
        <v>44603</v>
      </c>
      <c r="D6" s="15">
        <v>109000</v>
      </c>
      <c r="E6" t="s">
        <v>34</v>
      </c>
      <c r="F6" t="s">
        <v>35</v>
      </c>
      <c r="G6" s="15">
        <v>109000</v>
      </c>
      <c r="H6" s="15">
        <v>19600</v>
      </c>
      <c r="I6" s="20">
        <f t="shared" si="0"/>
        <v>17.98165137614679</v>
      </c>
      <c r="J6" s="15">
        <v>96883</v>
      </c>
      <c r="K6" s="15">
        <f>G6-90349</f>
        <v>18651</v>
      </c>
      <c r="L6" s="15">
        <v>6534</v>
      </c>
      <c r="M6" s="30">
        <v>0</v>
      </c>
      <c r="N6" s="34">
        <v>0</v>
      </c>
      <c r="O6" s="39">
        <v>0.2</v>
      </c>
      <c r="P6" s="39">
        <v>0.2</v>
      </c>
      <c r="Q6" s="15" t="e">
        <f t="shared" si="1"/>
        <v>#DIV/0!</v>
      </c>
      <c r="R6" s="15">
        <f t="shared" si="2"/>
        <v>93255</v>
      </c>
      <c r="S6" s="44">
        <f t="shared" si="3"/>
        <v>2.1408402203856749</v>
      </c>
      <c r="T6" s="39">
        <v>0</v>
      </c>
      <c r="U6" s="5" t="s">
        <v>74</v>
      </c>
      <c r="V6" t="s">
        <v>81</v>
      </c>
      <c r="Y6">
        <v>0</v>
      </c>
      <c r="Z6">
        <v>1</v>
      </c>
      <c r="AA6" s="7">
        <v>41463</v>
      </c>
      <c r="AC6" s="6" t="s">
        <v>40</v>
      </c>
    </row>
    <row r="7" spans="1:64" x14ac:dyDescent="0.25">
      <c r="A7" t="s">
        <v>88</v>
      </c>
      <c r="B7" t="s">
        <v>89</v>
      </c>
      <c r="C7" s="25">
        <v>44356</v>
      </c>
      <c r="D7" s="15">
        <v>116500</v>
      </c>
      <c r="E7" t="s">
        <v>34</v>
      </c>
      <c r="F7" t="s">
        <v>35</v>
      </c>
      <c r="G7" s="15">
        <v>116500</v>
      </c>
      <c r="H7" s="15">
        <v>40300</v>
      </c>
      <c r="I7" s="20">
        <f t="shared" si="0"/>
        <v>34.592274678111593</v>
      </c>
      <c r="J7" s="15">
        <v>92381</v>
      </c>
      <c r="K7" s="15">
        <f>G7-85847</f>
        <v>30653</v>
      </c>
      <c r="L7" s="15">
        <v>6534</v>
      </c>
      <c r="M7" s="30">
        <v>0</v>
      </c>
      <c r="N7" s="34">
        <v>0</v>
      </c>
      <c r="O7" s="39">
        <v>0.2</v>
      </c>
      <c r="P7" s="39">
        <v>0.2</v>
      </c>
      <c r="Q7" s="15" t="e">
        <f t="shared" si="1"/>
        <v>#DIV/0!</v>
      </c>
      <c r="R7" s="15">
        <f t="shared" si="2"/>
        <v>153265</v>
      </c>
      <c r="S7" s="44">
        <f t="shared" si="3"/>
        <v>3.5184802571166207</v>
      </c>
      <c r="T7" s="39">
        <v>0</v>
      </c>
      <c r="U7" s="5" t="s">
        <v>74</v>
      </c>
      <c r="V7" t="s">
        <v>90</v>
      </c>
      <c r="Y7">
        <v>0</v>
      </c>
      <c r="Z7">
        <v>1</v>
      </c>
      <c r="AA7" s="7">
        <v>41466</v>
      </c>
      <c r="AC7" s="6" t="s">
        <v>40</v>
      </c>
    </row>
    <row r="8" spans="1:64" x14ac:dyDescent="0.25">
      <c r="A8" t="s">
        <v>97</v>
      </c>
      <c r="B8" t="s">
        <v>98</v>
      </c>
      <c r="C8" s="25">
        <v>44637</v>
      </c>
      <c r="D8" s="15">
        <v>50000</v>
      </c>
      <c r="E8" t="s">
        <v>34</v>
      </c>
      <c r="F8" t="s">
        <v>35</v>
      </c>
      <c r="G8" s="15">
        <v>50000</v>
      </c>
      <c r="H8" s="15">
        <v>19600</v>
      </c>
      <c r="I8" s="20">
        <f t="shared" si="0"/>
        <v>39.200000000000003</v>
      </c>
      <c r="J8" s="15">
        <v>47232</v>
      </c>
      <c r="K8" s="15">
        <f>G8-40698</f>
        <v>9302</v>
      </c>
      <c r="L8" s="15">
        <v>6534</v>
      </c>
      <c r="M8" s="30">
        <v>0</v>
      </c>
      <c r="N8" s="34">
        <v>0</v>
      </c>
      <c r="O8" s="39">
        <v>0.2</v>
      </c>
      <c r="P8" s="39">
        <v>0.2</v>
      </c>
      <c r="Q8" s="15" t="e">
        <f t="shared" si="1"/>
        <v>#DIV/0!</v>
      </c>
      <c r="R8" s="15">
        <f t="shared" si="2"/>
        <v>46510</v>
      </c>
      <c r="S8" s="44">
        <f t="shared" si="3"/>
        <v>1.067722681359045</v>
      </c>
      <c r="T8" s="39">
        <v>0</v>
      </c>
      <c r="U8" s="5" t="s">
        <v>74</v>
      </c>
      <c r="V8" t="s">
        <v>99</v>
      </c>
      <c r="Y8">
        <v>0</v>
      </c>
      <c r="Z8">
        <v>1</v>
      </c>
      <c r="AA8" s="7">
        <v>41471</v>
      </c>
      <c r="AC8" s="6" t="s">
        <v>40</v>
      </c>
    </row>
    <row r="9" spans="1:64" x14ac:dyDescent="0.25">
      <c r="A9" t="s">
        <v>100</v>
      </c>
      <c r="B9" t="s">
        <v>101</v>
      </c>
      <c r="C9" s="25">
        <v>44876</v>
      </c>
      <c r="D9" s="15">
        <v>110000</v>
      </c>
      <c r="E9" t="s">
        <v>34</v>
      </c>
      <c r="F9" t="s">
        <v>35</v>
      </c>
      <c r="G9" s="15">
        <v>110000</v>
      </c>
      <c r="H9" s="15">
        <v>40800</v>
      </c>
      <c r="I9" s="20">
        <f t="shared" si="0"/>
        <v>37.090909090909093</v>
      </c>
      <c r="J9" s="15">
        <v>92317</v>
      </c>
      <c r="K9" s="15">
        <f>G9-85783</f>
        <v>24217</v>
      </c>
      <c r="L9" s="15">
        <v>6534</v>
      </c>
      <c r="M9" s="30">
        <v>0</v>
      </c>
      <c r="N9" s="34">
        <v>0</v>
      </c>
      <c r="O9" s="39">
        <v>0.2</v>
      </c>
      <c r="P9" s="39">
        <v>0.2</v>
      </c>
      <c r="Q9" s="15" t="e">
        <f t="shared" si="1"/>
        <v>#DIV/0!</v>
      </c>
      <c r="R9" s="15">
        <f t="shared" si="2"/>
        <v>121085</v>
      </c>
      <c r="S9" s="44">
        <f t="shared" si="3"/>
        <v>2.7797291092745637</v>
      </c>
      <c r="T9" s="39">
        <v>0</v>
      </c>
      <c r="U9" s="5" t="s">
        <v>74</v>
      </c>
      <c r="V9" t="s">
        <v>102</v>
      </c>
      <c r="Y9">
        <v>0</v>
      </c>
      <c r="Z9">
        <v>1</v>
      </c>
      <c r="AA9" s="7">
        <v>41471</v>
      </c>
      <c r="AC9" s="6" t="s">
        <v>40</v>
      </c>
    </row>
    <row r="10" spans="1:64" x14ac:dyDescent="0.25">
      <c r="A10" t="s">
        <v>116</v>
      </c>
      <c r="B10" t="s">
        <v>117</v>
      </c>
      <c r="C10" s="25">
        <v>44638</v>
      </c>
      <c r="D10" s="15">
        <v>92500</v>
      </c>
      <c r="E10" t="s">
        <v>34</v>
      </c>
      <c r="F10" t="s">
        <v>35</v>
      </c>
      <c r="G10" s="15">
        <v>92500</v>
      </c>
      <c r="H10" s="15">
        <v>26800</v>
      </c>
      <c r="I10" s="20">
        <f t="shared" si="0"/>
        <v>28.972972972972972</v>
      </c>
      <c r="J10" s="15">
        <v>83879</v>
      </c>
      <c r="K10" s="15">
        <f>G10-77345</f>
        <v>15155</v>
      </c>
      <c r="L10" s="15">
        <v>6534</v>
      </c>
      <c r="M10" s="30">
        <v>0</v>
      </c>
      <c r="N10" s="34">
        <v>0</v>
      </c>
      <c r="O10" s="39">
        <v>0.2</v>
      </c>
      <c r="P10" s="39">
        <v>0.2</v>
      </c>
      <c r="Q10" s="15" t="e">
        <f t="shared" si="1"/>
        <v>#DIV/0!</v>
      </c>
      <c r="R10" s="15">
        <f t="shared" si="2"/>
        <v>75775</v>
      </c>
      <c r="S10" s="44">
        <f t="shared" si="3"/>
        <v>1.73955463728191</v>
      </c>
      <c r="T10" s="39">
        <v>0</v>
      </c>
      <c r="U10" s="5" t="s">
        <v>74</v>
      </c>
      <c r="V10" t="s">
        <v>118</v>
      </c>
      <c r="Y10">
        <v>0</v>
      </c>
      <c r="Z10">
        <v>1</v>
      </c>
      <c r="AA10" s="7">
        <v>41484</v>
      </c>
      <c r="AC10" s="6" t="s">
        <v>40</v>
      </c>
    </row>
    <row r="11" spans="1:64" x14ac:dyDescent="0.25">
      <c r="A11" t="s">
        <v>69</v>
      </c>
      <c r="B11" t="s">
        <v>70</v>
      </c>
      <c r="C11" s="25">
        <v>44649</v>
      </c>
      <c r="D11" s="15">
        <v>92500</v>
      </c>
      <c r="E11" t="s">
        <v>34</v>
      </c>
      <c r="F11" t="s">
        <v>35</v>
      </c>
      <c r="G11" s="15">
        <v>92500</v>
      </c>
      <c r="H11" s="15">
        <v>26000</v>
      </c>
      <c r="I11" s="20">
        <f t="shared" si="0"/>
        <v>28.108108108108109</v>
      </c>
      <c r="J11" s="15">
        <v>83737</v>
      </c>
      <c r="K11" s="15">
        <f>G11-76928</f>
        <v>15572</v>
      </c>
      <c r="L11" s="15">
        <v>6809</v>
      </c>
      <c r="M11" s="30">
        <v>0</v>
      </c>
      <c r="N11" s="34">
        <v>0</v>
      </c>
      <c r="O11" s="39">
        <v>0.20799999999999999</v>
      </c>
      <c r="P11" s="39">
        <v>0.20799999999999999</v>
      </c>
      <c r="Q11" s="15" t="e">
        <f t="shared" si="1"/>
        <v>#DIV/0!</v>
      </c>
      <c r="R11" s="15">
        <f t="shared" si="2"/>
        <v>74865.384615384624</v>
      </c>
      <c r="S11" s="44">
        <f t="shared" si="3"/>
        <v>1.7186727414000142</v>
      </c>
      <c r="T11" s="39">
        <v>0</v>
      </c>
      <c r="U11" s="5" t="s">
        <v>51</v>
      </c>
      <c r="V11" t="s">
        <v>71</v>
      </c>
      <c r="X11" t="s">
        <v>68</v>
      </c>
      <c r="Y11">
        <v>0</v>
      </c>
      <c r="Z11">
        <v>1</v>
      </c>
      <c r="AA11" s="7">
        <v>41491</v>
      </c>
      <c r="AB11" t="s">
        <v>41</v>
      </c>
      <c r="AC11" s="6" t="s">
        <v>40</v>
      </c>
    </row>
    <row r="12" spans="1:64" x14ac:dyDescent="0.25">
      <c r="A12" t="s">
        <v>48</v>
      </c>
      <c r="B12" t="s">
        <v>49</v>
      </c>
      <c r="C12" s="25">
        <v>44636</v>
      </c>
      <c r="D12" s="15">
        <v>90000</v>
      </c>
      <c r="E12" t="s">
        <v>34</v>
      </c>
      <c r="F12" t="s">
        <v>35</v>
      </c>
      <c r="G12" s="15">
        <v>90000</v>
      </c>
      <c r="H12" s="15">
        <v>33200</v>
      </c>
      <c r="I12" s="20">
        <f t="shared" si="0"/>
        <v>36.888888888888886</v>
      </c>
      <c r="J12" s="15">
        <v>78999</v>
      </c>
      <c r="K12" s="15">
        <f>G12-70831</f>
        <v>19169</v>
      </c>
      <c r="L12" s="15">
        <v>8168</v>
      </c>
      <c r="M12" s="30">
        <v>0</v>
      </c>
      <c r="N12" s="34">
        <v>0</v>
      </c>
      <c r="O12" s="39">
        <v>0.25</v>
      </c>
      <c r="P12" s="39">
        <v>0.25</v>
      </c>
      <c r="Q12" s="15" t="e">
        <f t="shared" si="1"/>
        <v>#DIV/0!</v>
      </c>
      <c r="R12" s="15">
        <f t="shared" si="2"/>
        <v>76676</v>
      </c>
      <c r="S12" s="44">
        <f t="shared" si="3"/>
        <v>1.7602387511478421</v>
      </c>
      <c r="T12" s="39">
        <v>0</v>
      </c>
      <c r="U12" s="5" t="s">
        <v>36</v>
      </c>
      <c r="V12" t="s">
        <v>50</v>
      </c>
      <c r="X12" t="s">
        <v>38</v>
      </c>
      <c r="Y12">
        <v>0</v>
      </c>
      <c r="Z12">
        <v>1</v>
      </c>
      <c r="AA12" t="s">
        <v>39</v>
      </c>
      <c r="AC12" s="6" t="s">
        <v>40</v>
      </c>
    </row>
    <row r="13" spans="1:64" x14ac:dyDescent="0.25">
      <c r="A13" t="s">
        <v>119</v>
      </c>
      <c r="B13" t="s">
        <v>120</v>
      </c>
      <c r="C13" s="25">
        <v>44834</v>
      </c>
      <c r="D13" s="15">
        <v>92700</v>
      </c>
      <c r="E13" t="s">
        <v>34</v>
      </c>
      <c r="F13" t="s">
        <v>35</v>
      </c>
      <c r="G13" s="15">
        <v>92700</v>
      </c>
      <c r="H13" s="15">
        <v>24900</v>
      </c>
      <c r="I13" s="20">
        <f t="shared" si="0"/>
        <v>26.860841423948216</v>
      </c>
      <c r="J13" s="15">
        <v>55798</v>
      </c>
      <c r="K13" s="15">
        <f>G13-45997</f>
        <v>46703</v>
      </c>
      <c r="L13" s="15">
        <v>9801</v>
      </c>
      <c r="M13" s="30">
        <v>0</v>
      </c>
      <c r="N13" s="34">
        <v>0</v>
      </c>
      <c r="O13" s="39">
        <v>0.3</v>
      </c>
      <c r="P13" s="39">
        <v>0.3</v>
      </c>
      <c r="Q13" s="15" t="e">
        <f t="shared" si="1"/>
        <v>#DIV/0!</v>
      </c>
      <c r="R13" s="15">
        <f t="shared" si="2"/>
        <v>155676.66666666669</v>
      </c>
      <c r="S13" s="44">
        <f t="shared" si="3"/>
        <v>3.573844505662688</v>
      </c>
      <c r="T13" s="39">
        <v>0</v>
      </c>
      <c r="U13" s="5" t="s">
        <v>74</v>
      </c>
      <c r="V13" t="s">
        <v>121</v>
      </c>
      <c r="Y13">
        <v>0</v>
      </c>
      <c r="Z13">
        <v>1</v>
      </c>
      <c r="AA13" s="7">
        <v>41484</v>
      </c>
      <c r="AC13" s="6" t="s">
        <v>40</v>
      </c>
    </row>
    <row r="14" spans="1:64" x14ac:dyDescent="0.25">
      <c r="A14" t="s">
        <v>52</v>
      </c>
      <c r="B14" t="s">
        <v>53</v>
      </c>
      <c r="C14" s="25">
        <v>44994</v>
      </c>
      <c r="D14" s="15">
        <v>79900</v>
      </c>
      <c r="E14" t="s">
        <v>34</v>
      </c>
      <c r="F14" t="s">
        <v>35</v>
      </c>
      <c r="G14" s="15">
        <v>79900</v>
      </c>
      <c r="H14" s="15">
        <v>20800</v>
      </c>
      <c r="I14" s="20">
        <f t="shared" si="0"/>
        <v>26.032540675844807</v>
      </c>
      <c r="J14" s="15">
        <v>50758</v>
      </c>
      <c r="K14" s="15">
        <f>G14-40165</f>
        <v>39735</v>
      </c>
      <c r="L14" s="15">
        <v>10593</v>
      </c>
      <c r="M14" s="30">
        <v>0</v>
      </c>
      <c r="N14" s="34">
        <v>0</v>
      </c>
      <c r="O14" s="39">
        <v>0.32400000000000001</v>
      </c>
      <c r="P14" s="39">
        <v>0.32400000000000001</v>
      </c>
      <c r="Q14" s="15" t="e">
        <f t="shared" si="1"/>
        <v>#DIV/0!</v>
      </c>
      <c r="R14" s="15">
        <f t="shared" si="2"/>
        <v>122638.88888888889</v>
      </c>
      <c r="S14" s="44">
        <f t="shared" si="3"/>
        <v>2.8154014896439139</v>
      </c>
      <c r="T14" s="39">
        <v>0</v>
      </c>
      <c r="U14" s="5" t="s">
        <v>36</v>
      </c>
      <c r="V14" t="s">
        <v>54</v>
      </c>
      <c r="X14" t="s">
        <v>38</v>
      </c>
      <c r="Y14">
        <v>0</v>
      </c>
      <c r="Z14">
        <v>1</v>
      </c>
      <c r="AA14" s="7">
        <v>41442</v>
      </c>
      <c r="AB14" t="s">
        <v>41</v>
      </c>
      <c r="AC14" s="6" t="s">
        <v>40</v>
      </c>
    </row>
    <row r="15" spans="1:64" x14ac:dyDescent="0.25">
      <c r="A15" t="s">
        <v>58</v>
      </c>
      <c r="B15" t="s">
        <v>59</v>
      </c>
      <c r="C15" s="25">
        <v>44916</v>
      </c>
      <c r="D15" s="15">
        <v>120000</v>
      </c>
      <c r="E15" t="s">
        <v>34</v>
      </c>
      <c r="F15" t="s">
        <v>35</v>
      </c>
      <c r="G15" s="15">
        <v>120000</v>
      </c>
      <c r="H15" s="15">
        <v>34200</v>
      </c>
      <c r="I15" s="20">
        <f t="shared" si="0"/>
        <v>28.499999999999996</v>
      </c>
      <c r="J15" s="15">
        <v>96923</v>
      </c>
      <c r="K15" s="15">
        <f>G15-84647</f>
        <v>35353</v>
      </c>
      <c r="L15" s="15">
        <v>12276</v>
      </c>
      <c r="M15" s="30">
        <v>66</v>
      </c>
      <c r="N15" s="34">
        <v>0</v>
      </c>
      <c r="O15" s="39">
        <v>0.376</v>
      </c>
      <c r="P15" s="39">
        <v>0.376</v>
      </c>
      <c r="Q15" s="15">
        <f t="shared" si="1"/>
        <v>535.65151515151513</v>
      </c>
      <c r="R15" s="15">
        <f t="shared" si="2"/>
        <v>94023.936170212764</v>
      </c>
      <c r="S15" s="44">
        <f t="shared" si="3"/>
        <v>2.1584925658910183</v>
      </c>
      <c r="T15" s="39">
        <v>66</v>
      </c>
      <c r="U15" s="5" t="s">
        <v>36</v>
      </c>
      <c r="V15" t="s">
        <v>60</v>
      </c>
      <c r="X15" t="s">
        <v>38</v>
      </c>
      <c r="Y15">
        <v>0</v>
      </c>
      <c r="Z15">
        <v>1</v>
      </c>
      <c r="AA15" s="7">
        <v>41451</v>
      </c>
      <c r="AB15" t="s">
        <v>41</v>
      </c>
      <c r="AC15" s="6" t="s">
        <v>40</v>
      </c>
    </row>
    <row r="16" spans="1:64" x14ac:dyDescent="0.25">
      <c r="A16" t="s">
        <v>82</v>
      </c>
      <c r="B16" t="s">
        <v>83</v>
      </c>
      <c r="C16" s="25">
        <v>44862</v>
      </c>
      <c r="D16" s="15">
        <v>60000</v>
      </c>
      <c r="E16" t="s">
        <v>34</v>
      </c>
      <c r="F16" t="s">
        <v>35</v>
      </c>
      <c r="G16" s="15">
        <v>60000</v>
      </c>
      <c r="H16" s="15">
        <v>27400</v>
      </c>
      <c r="I16" s="20">
        <f t="shared" si="0"/>
        <v>45.666666666666664</v>
      </c>
      <c r="J16" s="15">
        <v>63225</v>
      </c>
      <c r="K16" s="15">
        <f>G16-50157</f>
        <v>9843</v>
      </c>
      <c r="L16" s="15">
        <v>13068</v>
      </c>
      <c r="M16" s="30">
        <v>0</v>
      </c>
      <c r="N16" s="34">
        <v>0</v>
      </c>
      <c r="O16" s="39">
        <v>0.4</v>
      </c>
      <c r="P16" s="39">
        <v>0.4</v>
      </c>
      <c r="Q16" s="15" t="e">
        <f t="shared" si="1"/>
        <v>#DIV/0!</v>
      </c>
      <c r="R16" s="15">
        <f t="shared" si="2"/>
        <v>24607.5</v>
      </c>
      <c r="S16" s="44">
        <f t="shared" si="3"/>
        <v>0.56491046831955927</v>
      </c>
      <c r="T16" s="39">
        <v>0</v>
      </c>
      <c r="U16" s="5" t="s">
        <v>74</v>
      </c>
      <c r="V16" t="s">
        <v>84</v>
      </c>
      <c r="Y16">
        <v>0</v>
      </c>
      <c r="Z16">
        <v>1</v>
      </c>
      <c r="AA16" s="7">
        <v>41463</v>
      </c>
      <c r="AC16" s="6" t="s">
        <v>40</v>
      </c>
    </row>
    <row r="17" spans="1:32" x14ac:dyDescent="0.25">
      <c r="A17" t="s">
        <v>85</v>
      </c>
      <c r="B17" t="s">
        <v>86</v>
      </c>
      <c r="C17" s="25">
        <v>44379</v>
      </c>
      <c r="D17" s="15">
        <v>165600</v>
      </c>
      <c r="E17" t="s">
        <v>34</v>
      </c>
      <c r="F17" t="s">
        <v>35</v>
      </c>
      <c r="G17" s="15">
        <v>165600</v>
      </c>
      <c r="H17" s="15">
        <v>45900</v>
      </c>
      <c r="I17" s="20">
        <f t="shared" si="0"/>
        <v>27.717391304347828</v>
      </c>
      <c r="J17" s="15">
        <v>159901</v>
      </c>
      <c r="K17" s="15">
        <f>G17-146833</f>
        <v>18767</v>
      </c>
      <c r="L17" s="15">
        <v>13068</v>
      </c>
      <c r="M17" s="30">
        <v>0</v>
      </c>
      <c r="N17" s="34">
        <v>0</v>
      </c>
      <c r="O17" s="39">
        <v>0.4</v>
      </c>
      <c r="P17" s="39">
        <v>0.4</v>
      </c>
      <c r="Q17" s="15" t="e">
        <f t="shared" si="1"/>
        <v>#DIV/0!</v>
      </c>
      <c r="R17" s="15">
        <f t="shared" si="2"/>
        <v>46917.5</v>
      </c>
      <c r="S17" s="44">
        <f t="shared" si="3"/>
        <v>1.0770775941230486</v>
      </c>
      <c r="T17" s="39">
        <v>0</v>
      </c>
      <c r="U17" s="5" t="s">
        <v>74</v>
      </c>
      <c r="V17" t="s">
        <v>87</v>
      </c>
      <c r="Y17">
        <v>0</v>
      </c>
      <c r="Z17">
        <v>1</v>
      </c>
      <c r="AA17" s="7">
        <v>41464</v>
      </c>
      <c r="AC17" s="6" t="s">
        <v>40</v>
      </c>
    </row>
    <row r="18" spans="1:32" x14ac:dyDescent="0.25">
      <c r="A18" t="s">
        <v>94</v>
      </c>
      <c r="B18" t="s">
        <v>95</v>
      </c>
      <c r="C18" s="25">
        <v>44704</v>
      </c>
      <c r="D18" s="15">
        <v>122000</v>
      </c>
      <c r="E18" t="s">
        <v>34</v>
      </c>
      <c r="F18" t="s">
        <v>35</v>
      </c>
      <c r="G18" s="15">
        <v>122000</v>
      </c>
      <c r="H18" s="15">
        <v>31100</v>
      </c>
      <c r="I18" s="20">
        <f t="shared" si="0"/>
        <v>25.491803278688526</v>
      </c>
      <c r="J18" s="15">
        <v>71256</v>
      </c>
      <c r="K18" s="15">
        <f>G18-58188</f>
        <v>63812</v>
      </c>
      <c r="L18" s="15">
        <v>13068</v>
      </c>
      <c r="M18" s="30">
        <v>0</v>
      </c>
      <c r="N18" s="34">
        <v>0</v>
      </c>
      <c r="O18" s="39">
        <v>0.4</v>
      </c>
      <c r="P18" s="39">
        <v>0.4</v>
      </c>
      <c r="Q18" s="15" t="e">
        <f t="shared" si="1"/>
        <v>#DIV/0!</v>
      </c>
      <c r="R18" s="15">
        <f t="shared" si="2"/>
        <v>159530</v>
      </c>
      <c r="S18" s="44">
        <f t="shared" si="3"/>
        <v>3.6623048668503215</v>
      </c>
      <c r="T18" s="39">
        <v>0</v>
      </c>
      <c r="U18" s="5" t="s">
        <v>74</v>
      </c>
      <c r="V18" t="s">
        <v>96</v>
      </c>
      <c r="Y18">
        <v>0</v>
      </c>
      <c r="Z18">
        <v>1</v>
      </c>
      <c r="AA18" s="7">
        <v>41471</v>
      </c>
      <c r="AC18" s="6" t="s">
        <v>40</v>
      </c>
    </row>
    <row r="19" spans="1:32" x14ac:dyDescent="0.25">
      <c r="A19" t="s">
        <v>110</v>
      </c>
      <c r="B19" t="s">
        <v>111</v>
      </c>
      <c r="C19" s="25">
        <v>44866</v>
      </c>
      <c r="D19" s="15">
        <v>163000</v>
      </c>
      <c r="E19" t="s">
        <v>34</v>
      </c>
      <c r="F19" t="s">
        <v>35</v>
      </c>
      <c r="G19" s="15">
        <v>163000</v>
      </c>
      <c r="H19" s="15">
        <v>43900</v>
      </c>
      <c r="I19" s="20">
        <f t="shared" si="0"/>
        <v>26.932515337423311</v>
      </c>
      <c r="J19" s="15">
        <v>118624</v>
      </c>
      <c r="K19" s="15">
        <f>G19-105556</f>
        <v>57444</v>
      </c>
      <c r="L19" s="15">
        <v>13068</v>
      </c>
      <c r="M19" s="30">
        <v>0</v>
      </c>
      <c r="N19" s="34">
        <v>0</v>
      </c>
      <c r="O19" s="39">
        <v>0.4</v>
      </c>
      <c r="P19" s="39">
        <v>0.4</v>
      </c>
      <c r="Q19" s="15" t="e">
        <f t="shared" si="1"/>
        <v>#DIV/0!</v>
      </c>
      <c r="R19" s="15">
        <f t="shared" si="2"/>
        <v>143610</v>
      </c>
      <c r="S19" s="44">
        <f t="shared" si="3"/>
        <v>3.2968319559228649</v>
      </c>
      <c r="T19" s="39">
        <v>0</v>
      </c>
      <c r="U19" s="5" t="s">
        <v>74</v>
      </c>
      <c r="V19" t="s">
        <v>112</v>
      </c>
      <c r="Y19">
        <v>0</v>
      </c>
      <c r="Z19">
        <v>1</v>
      </c>
      <c r="AA19" s="7">
        <v>41484</v>
      </c>
      <c r="AC19" s="6" t="s">
        <v>40</v>
      </c>
    </row>
    <row r="20" spans="1:32" x14ac:dyDescent="0.25">
      <c r="A20" t="s">
        <v>55</v>
      </c>
      <c r="B20" t="s">
        <v>56</v>
      </c>
      <c r="C20" s="25">
        <v>44455</v>
      </c>
      <c r="D20" s="15">
        <v>84000</v>
      </c>
      <c r="E20" t="s">
        <v>34</v>
      </c>
      <c r="F20" t="s">
        <v>35</v>
      </c>
      <c r="G20" s="15">
        <v>84000</v>
      </c>
      <c r="H20" s="15">
        <v>36400</v>
      </c>
      <c r="I20" s="20">
        <f t="shared" si="0"/>
        <v>43.333333333333336</v>
      </c>
      <c r="J20" s="15">
        <v>84808</v>
      </c>
      <c r="K20" s="15">
        <f>G20-70997</f>
        <v>13003</v>
      </c>
      <c r="L20" s="15">
        <v>13811</v>
      </c>
      <c r="M20" s="30">
        <v>0</v>
      </c>
      <c r="N20" s="34">
        <v>0</v>
      </c>
      <c r="O20" s="39">
        <v>0.42299999999999999</v>
      </c>
      <c r="P20" s="39">
        <v>0.42299999999999999</v>
      </c>
      <c r="Q20" s="15" t="e">
        <f t="shared" si="1"/>
        <v>#DIV/0!</v>
      </c>
      <c r="R20" s="15">
        <f t="shared" si="2"/>
        <v>30739.952718676122</v>
      </c>
      <c r="S20" s="44">
        <f t="shared" si="3"/>
        <v>0.70569221117254644</v>
      </c>
      <c r="T20" s="39">
        <v>0</v>
      </c>
      <c r="U20" s="5" t="s">
        <v>36</v>
      </c>
      <c r="V20" t="s">
        <v>57</v>
      </c>
      <c r="X20" t="s">
        <v>38</v>
      </c>
      <c r="Y20">
        <v>0</v>
      </c>
      <c r="Z20">
        <v>1</v>
      </c>
      <c r="AA20" s="7">
        <v>41443</v>
      </c>
      <c r="AB20" t="s">
        <v>41</v>
      </c>
      <c r="AC20" s="6" t="s">
        <v>40</v>
      </c>
    </row>
    <row r="21" spans="1:32" x14ac:dyDescent="0.25">
      <c r="A21" t="s">
        <v>42</v>
      </c>
      <c r="B21" t="s">
        <v>43</v>
      </c>
      <c r="C21" s="25">
        <v>44488</v>
      </c>
      <c r="D21" s="15">
        <v>80000</v>
      </c>
      <c r="E21" t="s">
        <v>34</v>
      </c>
      <c r="F21" t="s">
        <v>35</v>
      </c>
      <c r="G21" s="15">
        <v>80000</v>
      </c>
      <c r="H21" s="15">
        <v>27100</v>
      </c>
      <c r="I21" s="20">
        <f t="shared" si="0"/>
        <v>33.875</v>
      </c>
      <c r="J21" s="15">
        <v>66299</v>
      </c>
      <c r="K21" s="15">
        <f>G21-52118</f>
        <v>27882</v>
      </c>
      <c r="L21" s="15">
        <v>14181</v>
      </c>
      <c r="M21" s="30">
        <v>0</v>
      </c>
      <c r="N21" s="34">
        <v>0</v>
      </c>
      <c r="O21" s="39">
        <v>0.434</v>
      </c>
      <c r="P21" s="39">
        <v>0.434</v>
      </c>
      <c r="Q21" s="15" t="e">
        <f t="shared" si="1"/>
        <v>#DIV/0!</v>
      </c>
      <c r="R21" s="15">
        <f t="shared" si="2"/>
        <v>64244.239631336408</v>
      </c>
      <c r="S21" s="44">
        <f t="shared" si="3"/>
        <v>1.4748448032905512</v>
      </c>
      <c r="T21" s="39">
        <v>0</v>
      </c>
      <c r="U21" s="5" t="s">
        <v>36</v>
      </c>
      <c r="V21" t="s">
        <v>44</v>
      </c>
      <c r="X21" t="s">
        <v>38</v>
      </c>
      <c r="Y21">
        <v>0</v>
      </c>
      <c r="Z21">
        <v>1</v>
      </c>
      <c r="AA21" t="s">
        <v>39</v>
      </c>
      <c r="AC21" s="6" t="s">
        <v>40</v>
      </c>
    </row>
    <row r="22" spans="1:32" x14ac:dyDescent="0.25">
      <c r="A22" t="s">
        <v>113</v>
      </c>
      <c r="B22" t="s">
        <v>114</v>
      </c>
      <c r="C22" s="25">
        <v>44411</v>
      </c>
      <c r="D22" s="15">
        <v>150000</v>
      </c>
      <c r="E22" t="s">
        <v>34</v>
      </c>
      <c r="F22" t="s">
        <v>35</v>
      </c>
      <c r="G22" s="15">
        <v>150000</v>
      </c>
      <c r="H22" s="15">
        <v>37000</v>
      </c>
      <c r="I22" s="20">
        <f t="shared" si="0"/>
        <v>24.666666666666668</v>
      </c>
      <c r="J22" s="15">
        <v>98993</v>
      </c>
      <c r="K22" s="15">
        <f>G22-83753</f>
        <v>66247</v>
      </c>
      <c r="L22" s="15">
        <v>15240</v>
      </c>
      <c r="M22" s="30">
        <v>0</v>
      </c>
      <c r="N22" s="34">
        <v>0</v>
      </c>
      <c r="O22" s="39">
        <v>0.46600000000000003</v>
      </c>
      <c r="P22" s="39">
        <v>0.46600000000000003</v>
      </c>
      <c r="Q22" s="15" t="e">
        <f t="shared" si="1"/>
        <v>#DIV/0!</v>
      </c>
      <c r="R22" s="15">
        <f t="shared" si="2"/>
        <v>142160.94420600857</v>
      </c>
      <c r="S22" s="44">
        <f t="shared" si="3"/>
        <v>3.2635662122591498</v>
      </c>
      <c r="T22" s="39">
        <v>0</v>
      </c>
      <c r="U22" s="5" t="s">
        <v>74</v>
      </c>
      <c r="V22" t="s">
        <v>115</v>
      </c>
      <c r="Y22">
        <v>0</v>
      </c>
      <c r="Z22">
        <v>1</v>
      </c>
      <c r="AA22" s="7">
        <v>41484</v>
      </c>
      <c r="AC22" s="6" t="s">
        <v>40</v>
      </c>
    </row>
    <row r="23" spans="1:32" x14ac:dyDescent="0.25">
      <c r="A23" t="s">
        <v>64</v>
      </c>
      <c r="B23" t="s">
        <v>65</v>
      </c>
      <c r="C23" s="25">
        <v>44414</v>
      </c>
      <c r="D23" s="15">
        <v>75000</v>
      </c>
      <c r="E23" t="s">
        <v>34</v>
      </c>
      <c r="F23" t="s">
        <v>35</v>
      </c>
      <c r="G23" s="15">
        <v>75000</v>
      </c>
      <c r="H23" s="15">
        <v>41300</v>
      </c>
      <c r="I23" s="20">
        <f t="shared" si="0"/>
        <v>55.066666666666663</v>
      </c>
      <c r="J23" s="15">
        <v>81486</v>
      </c>
      <c r="K23" s="15">
        <f>G23-70596</f>
        <v>4404</v>
      </c>
      <c r="L23" s="15">
        <v>10890</v>
      </c>
      <c r="M23" s="30">
        <v>0</v>
      </c>
      <c r="N23" s="34">
        <v>0</v>
      </c>
      <c r="O23" s="39">
        <v>0.498</v>
      </c>
      <c r="P23" s="39">
        <v>0.25</v>
      </c>
      <c r="Q23" s="15" t="e">
        <f t="shared" si="1"/>
        <v>#DIV/0!</v>
      </c>
      <c r="R23" s="15">
        <f t="shared" si="2"/>
        <v>8843.3734939759033</v>
      </c>
      <c r="S23" s="44">
        <f t="shared" si="3"/>
        <v>0.20301592043103542</v>
      </c>
      <c r="T23" s="39">
        <v>0</v>
      </c>
      <c r="U23" s="5" t="s">
        <v>51</v>
      </c>
      <c r="V23" t="s">
        <v>66</v>
      </c>
      <c r="W23" t="s">
        <v>67</v>
      </c>
      <c r="X23" t="s">
        <v>68</v>
      </c>
      <c r="Y23">
        <v>0</v>
      </c>
      <c r="Z23">
        <v>1</v>
      </c>
      <c r="AA23" s="7">
        <v>41491</v>
      </c>
      <c r="AB23" t="s">
        <v>41</v>
      </c>
      <c r="AC23" s="6" t="s">
        <v>40</v>
      </c>
    </row>
    <row r="24" spans="1:32" x14ac:dyDescent="0.25">
      <c r="A24" t="s">
        <v>107</v>
      </c>
      <c r="B24" t="s">
        <v>108</v>
      </c>
      <c r="C24" s="25">
        <v>44351</v>
      </c>
      <c r="D24" s="15">
        <v>143100</v>
      </c>
      <c r="E24" t="s">
        <v>34</v>
      </c>
      <c r="F24" t="s">
        <v>35</v>
      </c>
      <c r="G24" s="15">
        <v>143100</v>
      </c>
      <c r="H24" s="15">
        <v>35000</v>
      </c>
      <c r="I24" s="20">
        <f t="shared" si="0"/>
        <v>24.458420684835779</v>
      </c>
      <c r="J24" s="15">
        <v>110139</v>
      </c>
      <c r="K24" s="15">
        <f>G24-93804</f>
        <v>49296</v>
      </c>
      <c r="L24" s="15">
        <v>16335</v>
      </c>
      <c r="M24" s="30">
        <v>0</v>
      </c>
      <c r="N24" s="34">
        <v>0</v>
      </c>
      <c r="O24" s="39">
        <v>0.5</v>
      </c>
      <c r="P24" s="39">
        <v>0.5</v>
      </c>
      <c r="Q24" s="15" t="e">
        <f t="shared" si="1"/>
        <v>#DIV/0!</v>
      </c>
      <c r="R24" s="15">
        <f t="shared" si="2"/>
        <v>98592</v>
      </c>
      <c r="S24" s="44">
        <f t="shared" si="3"/>
        <v>2.2633608815426998</v>
      </c>
      <c r="T24" s="39">
        <v>0</v>
      </c>
      <c r="U24" s="5" t="s">
        <v>74</v>
      </c>
      <c r="V24" t="s">
        <v>109</v>
      </c>
      <c r="Y24">
        <v>0</v>
      </c>
      <c r="Z24">
        <v>1</v>
      </c>
      <c r="AA24" s="7">
        <v>41472</v>
      </c>
      <c r="AC24" s="6" t="s">
        <v>40</v>
      </c>
    </row>
    <row r="25" spans="1:32" x14ac:dyDescent="0.25">
      <c r="A25" t="s">
        <v>91</v>
      </c>
      <c r="B25" t="s">
        <v>92</v>
      </c>
      <c r="C25" s="25">
        <v>44887</v>
      </c>
      <c r="D25" s="15">
        <v>130000</v>
      </c>
      <c r="E25" t="s">
        <v>34</v>
      </c>
      <c r="F25" t="s">
        <v>35</v>
      </c>
      <c r="G25" s="15">
        <v>130000</v>
      </c>
      <c r="H25" s="15">
        <v>22700</v>
      </c>
      <c r="I25" s="20">
        <f t="shared" si="0"/>
        <v>17.46153846153846</v>
      </c>
      <c r="J25" s="15">
        <v>55503</v>
      </c>
      <c r="K25" s="15">
        <f>G25-35901</f>
        <v>94099</v>
      </c>
      <c r="L25" s="15">
        <v>19602</v>
      </c>
      <c r="M25" s="30">
        <v>0</v>
      </c>
      <c r="N25" s="34">
        <v>0</v>
      </c>
      <c r="O25" s="39">
        <v>0.6</v>
      </c>
      <c r="P25" s="39">
        <v>0.6</v>
      </c>
      <c r="Q25" s="15" t="e">
        <f t="shared" si="1"/>
        <v>#DIV/0!</v>
      </c>
      <c r="R25" s="15">
        <f t="shared" si="2"/>
        <v>156831.66666666669</v>
      </c>
      <c r="S25" s="44">
        <f t="shared" si="3"/>
        <v>3.6003596571778393</v>
      </c>
      <c r="T25" s="39">
        <v>0</v>
      </c>
      <c r="U25" s="5" t="s">
        <v>74</v>
      </c>
      <c r="V25" t="s">
        <v>93</v>
      </c>
      <c r="Y25">
        <v>0</v>
      </c>
      <c r="Z25">
        <v>1</v>
      </c>
      <c r="AA25" s="7">
        <v>41464</v>
      </c>
      <c r="AC25" s="6" t="s">
        <v>40</v>
      </c>
    </row>
    <row r="26" spans="1:32" x14ac:dyDescent="0.25">
      <c r="A26" t="s">
        <v>103</v>
      </c>
      <c r="B26" t="s">
        <v>104</v>
      </c>
      <c r="C26" s="25">
        <v>44452</v>
      </c>
      <c r="D26" s="15">
        <v>85000</v>
      </c>
      <c r="E26" t="s">
        <v>34</v>
      </c>
      <c r="F26" t="s">
        <v>35</v>
      </c>
      <c r="G26" s="15">
        <v>85000</v>
      </c>
      <c r="H26" s="15">
        <v>33800</v>
      </c>
      <c r="I26" s="20">
        <f t="shared" si="0"/>
        <v>39.764705882352942</v>
      </c>
      <c r="J26" s="15">
        <v>66521</v>
      </c>
      <c r="K26" s="15">
        <f>G26-53453</f>
        <v>31547</v>
      </c>
      <c r="L26" s="15">
        <v>13068</v>
      </c>
      <c r="M26" s="30">
        <v>0</v>
      </c>
      <c r="N26" s="34">
        <v>0</v>
      </c>
      <c r="O26" s="39">
        <v>0.6</v>
      </c>
      <c r="P26" s="39">
        <v>0.2</v>
      </c>
      <c r="Q26" s="15" t="e">
        <f t="shared" si="1"/>
        <v>#DIV/0!</v>
      </c>
      <c r="R26" s="15">
        <f t="shared" si="2"/>
        <v>52578.333333333336</v>
      </c>
      <c r="S26" s="44">
        <f t="shared" si="3"/>
        <v>1.2070324456688093</v>
      </c>
      <c r="T26" s="39">
        <v>0</v>
      </c>
      <c r="U26" s="5" t="s">
        <v>74</v>
      </c>
      <c r="V26" t="s">
        <v>105</v>
      </c>
      <c r="W26" t="s">
        <v>106</v>
      </c>
      <c r="Y26">
        <v>0</v>
      </c>
      <c r="Z26">
        <v>1</v>
      </c>
      <c r="AA26" s="7">
        <v>41471</v>
      </c>
      <c r="AC26" s="6" t="s">
        <v>40</v>
      </c>
    </row>
    <row r="27" spans="1:32" x14ac:dyDescent="0.25">
      <c r="A27" t="s">
        <v>122</v>
      </c>
      <c r="B27" t="s">
        <v>123</v>
      </c>
      <c r="C27" s="25">
        <v>44944</v>
      </c>
      <c r="D27" s="15">
        <v>229700</v>
      </c>
      <c r="E27" t="s">
        <v>34</v>
      </c>
      <c r="F27" t="s">
        <v>35</v>
      </c>
      <c r="G27" s="15">
        <v>229700</v>
      </c>
      <c r="H27" s="15">
        <v>79000</v>
      </c>
      <c r="I27" s="20">
        <f t="shared" si="0"/>
        <v>34.392686112320419</v>
      </c>
      <c r="J27" s="15">
        <v>181375</v>
      </c>
      <c r="K27" s="15">
        <f>G27-161773</f>
        <v>67927</v>
      </c>
      <c r="L27" s="15">
        <v>19602</v>
      </c>
      <c r="M27" s="30">
        <v>0</v>
      </c>
      <c r="N27" s="34">
        <v>0</v>
      </c>
      <c r="O27" s="39">
        <v>0.6</v>
      </c>
      <c r="P27" s="39">
        <v>0.6</v>
      </c>
      <c r="Q27" s="15" t="e">
        <f t="shared" si="1"/>
        <v>#DIV/0!</v>
      </c>
      <c r="R27" s="15">
        <f t="shared" si="2"/>
        <v>113211.66666666667</v>
      </c>
      <c r="S27" s="44">
        <f t="shared" si="3"/>
        <v>2.5989822467095194</v>
      </c>
      <c r="T27" s="39">
        <v>0</v>
      </c>
      <c r="U27" s="5" t="s">
        <v>74</v>
      </c>
      <c r="V27" t="s">
        <v>124</v>
      </c>
      <c r="Y27">
        <v>0</v>
      </c>
      <c r="Z27">
        <v>1</v>
      </c>
      <c r="AA27" s="7">
        <v>41472</v>
      </c>
      <c r="AC27" s="6" t="s">
        <v>40</v>
      </c>
    </row>
    <row r="28" spans="1:32" ht="15.75" thickBot="1" x14ac:dyDescent="0.3">
      <c r="A28" t="s">
        <v>32</v>
      </c>
      <c r="B28" t="s">
        <v>33</v>
      </c>
      <c r="C28" s="25">
        <v>44678</v>
      </c>
      <c r="D28" s="15">
        <v>115000</v>
      </c>
      <c r="E28" t="s">
        <v>34</v>
      </c>
      <c r="F28" t="s">
        <v>35</v>
      </c>
      <c r="G28" s="15">
        <v>115000</v>
      </c>
      <c r="H28" s="15">
        <v>48500</v>
      </c>
      <c r="I28" s="20">
        <f t="shared" si="0"/>
        <v>42.173913043478265</v>
      </c>
      <c r="J28" s="15">
        <v>110378</v>
      </c>
      <c r="K28" s="15">
        <f>G28-92510</f>
        <v>22490</v>
      </c>
      <c r="L28" s="15">
        <v>17868</v>
      </c>
      <c r="M28" s="30">
        <v>0</v>
      </c>
      <c r="N28" s="34">
        <v>0</v>
      </c>
      <c r="O28" s="39">
        <v>0.8</v>
      </c>
      <c r="P28" s="39">
        <v>0.8</v>
      </c>
      <c r="Q28" s="15" t="e">
        <f t="shared" si="1"/>
        <v>#DIV/0!</v>
      </c>
      <c r="R28" s="15">
        <f t="shared" si="2"/>
        <v>28112.5</v>
      </c>
      <c r="S28" s="44">
        <f t="shared" si="3"/>
        <v>0.64537419651056016</v>
      </c>
      <c r="T28" s="39">
        <v>0</v>
      </c>
      <c r="U28" s="5" t="s">
        <v>36</v>
      </c>
      <c r="V28" t="s">
        <v>37</v>
      </c>
      <c r="X28" t="s">
        <v>38</v>
      </c>
      <c r="Y28">
        <v>0</v>
      </c>
      <c r="Z28">
        <v>1</v>
      </c>
      <c r="AA28" t="s">
        <v>39</v>
      </c>
      <c r="AC28" s="6" t="s">
        <v>40</v>
      </c>
    </row>
    <row r="29" spans="1:32" ht="15.75" thickTop="1" x14ac:dyDescent="0.25">
      <c r="A29" s="8"/>
      <c r="B29" s="8"/>
      <c r="C29" s="26" t="s">
        <v>125</v>
      </c>
      <c r="D29" s="16">
        <f>+SUM(D2:D28)</f>
        <v>2966500</v>
      </c>
      <c r="E29" s="8"/>
      <c r="F29" s="8"/>
      <c r="G29" s="16">
        <f>+SUM(G2:G28)</f>
        <v>2966500</v>
      </c>
      <c r="H29" s="16">
        <f>+SUM(H2:H28)</f>
        <v>946500</v>
      </c>
      <c r="I29" s="21"/>
      <c r="J29" s="16">
        <f>+SUM(J2:J28)</f>
        <v>2424543</v>
      </c>
      <c r="K29" s="16">
        <f>+SUM(K2:K28)</f>
        <v>840883</v>
      </c>
      <c r="L29" s="16">
        <f>+SUM(L2:L28)</f>
        <v>298926</v>
      </c>
      <c r="M29" s="31">
        <f>+SUM(M2:M28)</f>
        <v>132</v>
      </c>
      <c r="N29" s="35"/>
      <c r="O29" s="40">
        <f>+SUM(O2:O28)</f>
        <v>9.7670000000000012</v>
      </c>
      <c r="P29" s="40">
        <f>+SUM(P2:P28)</f>
        <v>9.1190000000000015</v>
      </c>
      <c r="Q29" s="16"/>
      <c r="R29" s="16"/>
      <c r="S29" s="45"/>
      <c r="T29" s="40"/>
      <c r="U29" s="9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</row>
    <row r="30" spans="1:32" x14ac:dyDescent="0.25">
      <c r="A30" s="10"/>
      <c r="B30" s="10"/>
      <c r="C30" s="27"/>
      <c r="D30" s="17"/>
      <c r="E30" s="10"/>
      <c r="F30" s="10"/>
      <c r="G30" s="17"/>
      <c r="H30" s="17" t="s">
        <v>126</v>
      </c>
      <c r="I30" s="22">
        <f>H29/G29*100</f>
        <v>31.906286870048877</v>
      </c>
      <c r="J30" s="17"/>
      <c r="K30" s="17"/>
      <c r="L30" s="17" t="s">
        <v>127</v>
      </c>
      <c r="M30" s="32"/>
      <c r="N30" s="36"/>
      <c r="O30" s="41" t="s">
        <v>127</v>
      </c>
      <c r="P30" s="41"/>
      <c r="Q30" s="17"/>
      <c r="R30" s="17" t="s">
        <v>127</v>
      </c>
      <c r="S30" s="46"/>
      <c r="T30" s="41"/>
      <c r="U30" s="11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</row>
    <row r="31" spans="1:32" x14ac:dyDescent="0.25">
      <c r="A31" s="12"/>
      <c r="B31" s="12"/>
      <c r="C31" s="28"/>
      <c r="D31" s="18"/>
      <c r="E31" s="12"/>
      <c r="F31" s="12"/>
      <c r="G31" s="18"/>
      <c r="H31" s="18" t="s">
        <v>128</v>
      </c>
      <c r="I31" s="23">
        <f>STDEV(I2:I28)</f>
        <v>9.7898562846527426</v>
      </c>
      <c r="J31" s="18"/>
      <c r="K31" s="18"/>
      <c r="L31" s="18" t="s">
        <v>129</v>
      </c>
      <c r="M31" s="48">
        <f>K29/M29</f>
        <v>6370.325757575758</v>
      </c>
      <c r="N31" s="37"/>
      <c r="O31" s="42" t="s">
        <v>130</v>
      </c>
      <c r="P31" s="42">
        <f>K29/O29</f>
        <v>86094.297122965072</v>
      </c>
      <c r="Q31" s="18"/>
      <c r="R31" s="18" t="s">
        <v>131</v>
      </c>
      <c r="S31" s="47">
        <f>K29/O29/43560</f>
        <v>1.9764531019964433</v>
      </c>
      <c r="T31" s="42"/>
      <c r="U31" s="13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</row>
    <row r="33" spans="1:21" s="51" customFormat="1" x14ac:dyDescent="0.25">
      <c r="A33" s="51" t="s">
        <v>132</v>
      </c>
      <c r="C33" s="49"/>
      <c r="D33" s="50"/>
      <c r="G33" s="50"/>
      <c r="H33" s="50"/>
      <c r="I33" s="52"/>
      <c r="J33" s="50"/>
      <c r="K33" s="50"/>
      <c r="L33" s="50"/>
      <c r="M33" s="53"/>
      <c r="N33" s="54"/>
      <c r="O33" s="55"/>
      <c r="P33" s="55"/>
      <c r="Q33" s="50"/>
      <c r="R33" s="50"/>
      <c r="S33" s="56"/>
      <c r="T33" s="55"/>
      <c r="U33" s="57"/>
    </row>
  </sheetData>
  <sortState xmlns:xlrd2="http://schemas.microsoft.com/office/spreadsheetml/2017/richdata2" ref="A2:AF31">
    <sortCondition ref="O2:O31"/>
  </sortState>
  <conditionalFormatting sqref="A2:AF28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ED0BC-DCF2-4B76-87BD-0D18321BC07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apps1</dc:creator>
  <cp:lastModifiedBy>apps1</cp:lastModifiedBy>
  <dcterms:created xsi:type="dcterms:W3CDTF">2023-10-03T22:00:46Z</dcterms:created>
  <dcterms:modified xsi:type="dcterms:W3CDTF">2024-01-13T23:07:05Z</dcterms:modified>
</cp:coreProperties>
</file>