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032" tabRatio="771"/>
  </bookViews>
  <sheets>
    <sheet name="WT 13 Under" sheetId="8" r:id="rId1"/>
    <sheet name="WT 19 Over" sheetId="1" r:id="rId2"/>
    <sheet name="Green Horse" sheetId="9" r:id="rId3"/>
    <sheet name="AMA Select" sheetId="4" r:id="rId4"/>
    <sheet name="Novice Youth" sheetId="2" r:id="rId5"/>
    <sheet name="Youth" sheetId="3" r:id="rId6"/>
    <sheet name="Nov AMA" sheetId="5" r:id="rId7"/>
    <sheet name="AMA" sheetId="6" r:id="rId8"/>
    <sheet name="All Age" sheetId="7" r:id="rId9"/>
    <sheet name="VolRHA Open" sheetId="11" r:id="rId10"/>
  </sheets>
  <definedNames>
    <definedName name="_xlnm._FilterDatabase" localSheetId="8" hidden="1">'All Age'!$A$1:$X$52</definedName>
    <definedName name="_xlnm._FilterDatabase" localSheetId="7" hidden="1">AMA!$A$1:$W$1</definedName>
    <definedName name="_xlnm._FilterDatabase" localSheetId="9" hidden="1">'VolRHA Open'!$L$1:$L$18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/>
  <c r="T27" i="3"/>
  <c r="T19"/>
  <c r="U13" i="6" l="1"/>
  <c r="K4" i="1"/>
  <c r="K3"/>
  <c r="K5"/>
  <c r="K7"/>
  <c r="K6"/>
  <c r="K9"/>
  <c r="K10"/>
  <c r="K11"/>
  <c r="K8"/>
  <c r="K13"/>
  <c r="K15"/>
  <c r="K12"/>
  <c r="P3" i="4"/>
  <c r="P5"/>
  <c r="P6"/>
  <c r="P8"/>
  <c r="P9"/>
  <c r="P4"/>
  <c r="P10"/>
  <c r="P11"/>
  <c r="P7"/>
  <c r="P12"/>
  <c r="P13"/>
  <c r="P14"/>
  <c r="P16"/>
  <c r="P15"/>
  <c r="P17"/>
  <c r="P18"/>
  <c r="P19"/>
  <c r="P20"/>
  <c r="O4" i="2"/>
  <c r="O3"/>
  <c r="O5"/>
  <c r="O7"/>
  <c r="O6"/>
  <c r="O10"/>
  <c r="O9"/>
  <c r="O12"/>
  <c r="O11"/>
  <c r="O13"/>
  <c r="O8"/>
  <c r="O15"/>
  <c r="O14"/>
  <c r="T3" i="3"/>
  <c r="T5"/>
  <c r="T6"/>
  <c r="T11"/>
  <c r="T20"/>
  <c r="T23"/>
  <c r="T17"/>
  <c r="T26"/>
  <c r="T25"/>
  <c r="N4" i="5"/>
  <c r="N16"/>
  <c r="N5"/>
  <c r="N18"/>
  <c r="N21"/>
  <c r="N23"/>
  <c r="N20"/>
  <c r="N24"/>
  <c r="U15" i="6"/>
  <c r="U19"/>
  <c r="U21"/>
  <c r="U23"/>
  <c r="U28"/>
  <c r="U30"/>
  <c r="U36"/>
  <c r="U42"/>
  <c r="U40"/>
  <c r="U43"/>
  <c r="L28" i="11"/>
  <c r="L24"/>
  <c r="L12"/>
  <c r="L23"/>
  <c r="L20"/>
  <c r="L25"/>
  <c r="L15"/>
  <c r="L14"/>
  <c r="L19"/>
  <c r="L13"/>
  <c r="L11"/>
  <c r="L17"/>
  <c r="L26"/>
  <c r="L16"/>
  <c r="L27"/>
  <c r="L22"/>
  <c r="L18"/>
  <c r="L21"/>
  <c r="L8"/>
  <c r="L10"/>
  <c r="L7"/>
  <c r="L9"/>
  <c r="L6"/>
  <c r="L5"/>
  <c r="L3"/>
  <c r="L4"/>
  <c r="L2"/>
  <c r="W25" i="7"/>
  <c r="W41"/>
  <c r="W57"/>
  <c r="W48"/>
  <c r="W55"/>
  <c r="W26"/>
  <c r="J8" i="9"/>
  <c r="R7" i="3" l="1"/>
  <c r="S10" i="7"/>
  <c r="S6"/>
  <c r="S3"/>
  <c r="S17"/>
  <c r="E17"/>
  <c r="N10" i="4"/>
  <c r="R6" i="6"/>
  <c r="R16"/>
  <c r="L6" i="2"/>
  <c r="K13" i="4"/>
  <c r="K8"/>
  <c r="I5" i="1"/>
  <c r="I3"/>
  <c r="E35" i="6"/>
  <c r="N35"/>
  <c r="U35" s="1"/>
  <c r="N25"/>
  <c r="N10" i="3"/>
  <c r="N9"/>
  <c r="K4" i="2"/>
  <c r="M10" i="7"/>
  <c r="M6"/>
  <c r="M4"/>
  <c r="W2"/>
  <c r="M10" i="6"/>
  <c r="M3"/>
  <c r="U3" s="1"/>
  <c r="U4"/>
  <c r="J3" i="5"/>
  <c r="J5" i="4"/>
  <c r="J9"/>
  <c r="O23" i="7"/>
  <c r="U27" i="6"/>
  <c r="Q54" i="7"/>
  <c r="W54" s="1"/>
  <c r="W31"/>
  <c r="P37"/>
  <c r="W37" s="1"/>
  <c r="W15"/>
  <c r="U14" i="6"/>
  <c r="P39"/>
  <c r="U39" s="1"/>
  <c r="M9" i="3"/>
  <c r="T12"/>
  <c r="J9" i="2"/>
  <c r="J12"/>
  <c r="J4"/>
  <c r="O24" i="3"/>
  <c r="T24" s="1"/>
  <c r="T14"/>
  <c r="O18"/>
  <c r="T18" s="1"/>
  <c r="E18"/>
  <c r="O9"/>
  <c r="O13"/>
  <c r="T13" s="1"/>
  <c r="Q4"/>
  <c r="Q21"/>
  <c r="P4"/>
  <c r="P21"/>
  <c r="L12" i="6"/>
  <c r="L31"/>
  <c r="U31" s="1"/>
  <c r="L9"/>
  <c r="L11"/>
  <c r="E11"/>
  <c r="L6"/>
  <c r="E6"/>
  <c r="L5"/>
  <c r="I22" i="5"/>
  <c r="N22" s="1"/>
  <c r="I14"/>
  <c r="N14" s="1"/>
  <c r="I8"/>
  <c r="N8" s="1"/>
  <c r="I12"/>
  <c r="N12" s="1"/>
  <c r="E12"/>
  <c r="I11"/>
  <c r="N11" s="1"/>
  <c r="E11"/>
  <c r="I4" i="2"/>
  <c r="I7" i="4"/>
  <c r="I6"/>
  <c r="K7" i="3"/>
  <c r="K12" i="6"/>
  <c r="K9"/>
  <c r="K10"/>
  <c r="K5"/>
  <c r="K46" i="7"/>
  <c r="W46" s="1"/>
  <c r="K10"/>
  <c r="W10" s="1"/>
  <c r="K24"/>
  <c r="K6"/>
  <c r="K3"/>
  <c r="W3" s="1"/>
  <c r="K21" i="11"/>
  <c r="K8"/>
  <c r="K10"/>
  <c r="K7"/>
  <c r="K9"/>
  <c r="K5"/>
  <c r="K6"/>
  <c r="K3"/>
  <c r="K2"/>
  <c r="K4"/>
  <c r="J5" i="6"/>
  <c r="J16"/>
  <c r="J9"/>
  <c r="J3" i="9"/>
  <c r="J4"/>
  <c r="J6"/>
  <c r="J5"/>
  <c r="J9"/>
  <c r="H9"/>
  <c r="H6"/>
  <c r="H2"/>
  <c r="H3"/>
  <c r="H6" i="4"/>
  <c r="H8"/>
  <c r="H11"/>
  <c r="H3"/>
  <c r="H5" i="1"/>
  <c r="E6"/>
  <c r="H11"/>
  <c r="H4"/>
  <c r="H7"/>
  <c r="E7"/>
  <c r="K2" i="8"/>
  <c r="I24" i="7"/>
  <c r="W24" s="1"/>
  <c r="W34"/>
  <c r="W8"/>
  <c r="I27"/>
  <c r="I4"/>
  <c r="I25" i="6"/>
  <c r="U25" s="1"/>
  <c r="I10"/>
  <c r="I24"/>
  <c r="U24" s="1"/>
  <c r="H10" i="5"/>
  <c r="W58" i="7"/>
  <c r="U53"/>
  <c r="W53" s="1"/>
  <c r="W35"/>
  <c r="W33"/>
  <c r="W36"/>
  <c r="W47"/>
  <c r="W44"/>
  <c r="W49"/>
  <c r="W56"/>
  <c r="W52"/>
  <c r="U23"/>
  <c r="U16"/>
  <c r="H4" i="2"/>
  <c r="E4"/>
  <c r="G4"/>
  <c r="I16" i="3"/>
  <c r="T16" s="1"/>
  <c r="I9"/>
  <c r="T9" s="1"/>
  <c r="I15"/>
  <c r="T2"/>
  <c r="H13" i="2"/>
  <c r="H12"/>
  <c r="H7"/>
  <c r="H10"/>
  <c r="H16" i="6"/>
  <c r="E16"/>
  <c r="H20"/>
  <c r="E20"/>
  <c r="H5"/>
  <c r="E5"/>
  <c r="G5"/>
  <c r="H6"/>
  <c r="U6" s="1"/>
  <c r="G23" i="7"/>
  <c r="H27"/>
  <c r="G6"/>
  <c r="W6" s="1"/>
  <c r="E27"/>
  <c r="J2" i="9"/>
  <c r="J10"/>
  <c r="J7"/>
  <c r="G10"/>
  <c r="G2"/>
  <c r="G7"/>
  <c r="G11" i="1"/>
  <c r="G5"/>
  <c r="G4"/>
  <c r="G16" i="7"/>
  <c r="G4"/>
  <c r="E4"/>
  <c r="E5"/>
  <c r="G12" i="6"/>
  <c r="G9"/>
  <c r="E9"/>
  <c r="N2" i="5"/>
  <c r="G10"/>
  <c r="N10" s="1"/>
  <c r="G6" i="4"/>
  <c r="G15" i="3"/>
  <c r="T15" s="1"/>
  <c r="G7"/>
  <c r="E7"/>
  <c r="G7" i="2"/>
  <c r="E3"/>
  <c r="W7" i="7"/>
  <c r="T37"/>
  <c r="J8" i="3"/>
  <c r="T8" s="1"/>
  <c r="O2" i="2"/>
  <c r="G9" i="5"/>
  <c r="N9" s="1"/>
  <c r="E9"/>
  <c r="E9" i="1"/>
  <c r="G9"/>
  <c r="H9"/>
  <c r="I9"/>
  <c r="H14" i="7"/>
  <c r="I14"/>
  <c r="W14" s="1"/>
  <c r="K5"/>
  <c r="H39"/>
  <c r="W39" s="1"/>
  <c r="H11"/>
  <c r="J11"/>
  <c r="W11" s="1"/>
  <c r="K19"/>
  <c r="W19" s="1"/>
  <c r="S19"/>
  <c r="J38"/>
  <c r="W38" s="1"/>
  <c r="H13"/>
  <c r="J13"/>
  <c r="R43"/>
  <c r="W43" s="1"/>
  <c r="H29"/>
  <c r="W29" s="1"/>
  <c r="H28"/>
  <c r="W28" s="1"/>
  <c r="J28"/>
  <c r="I20"/>
  <c r="M20"/>
  <c r="O20"/>
  <c r="I12"/>
  <c r="M12"/>
  <c r="K18"/>
  <c r="S18"/>
  <c r="W18" s="1"/>
  <c r="O50"/>
  <c r="W50" s="1"/>
  <c r="I32"/>
  <c r="L32"/>
  <c r="R32"/>
  <c r="I16"/>
  <c r="M16"/>
  <c r="H9"/>
  <c r="J9"/>
  <c r="R9"/>
  <c r="I22"/>
  <c r="K22"/>
  <c r="I17"/>
  <c r="W17" s="1"/>
  <c r="I42"/>
  <c r="W42" s="1"/>
  <c r="I30"/>
  <c r="W30" s="1"/>
  <c r="I51"/>
  <c r="W51" s="1"/>
  <c r="W21"/>
  <c r="H45"/>
  <c r="W45" s="1"/>
  <c r="G7" i="6"/>
  <c r="H7"/>
  <c r="J7"/>
  <c r="L7"/>
  <c r="N7"/>
  <c r="O7"/>
  <c r="R7"/>
  <c r="S7"/>
  <c r="L22"/>
  <c r="N22"/>
  <c r="G8"/>
  <c r="H8"/>
  <c r="I8"/>
  <c r="J8"/>
  <c r="L8"/>
  <c r="Q8"/>
  <c r="R8"/>
  <c r="S8"/>
  <c r="I32"/>
  <c r="U32" s="1"/>
  <c r="H34"/>
  <c r="U34" s="1"/>
  <c r="I18"/>
  <c r="K18"/>
  <c r="N18"/>
  <c r="I17"/>
  <c r="K17"/>
  <c r="Q17"/>
  <c r="I38"/>
  <c r="U38" s="1"/>
  <c r="K26"/>
  <c r="U26" s="1"/>
  <c r="L29"/>
  <c r="U29" s="1"/>
  <c r="N33"/>
  <c r="U33" s="1"/>
  <c r="O37"/>
  <c r="U37" s="1"/>
  <c r="R41"/>
  <c r="U41" s="1"/>
  <c r="G20"/>
  <c r="I20"/>
  <c r="L20"/>
  <c r="G6" i="5"/>
  <c r="H6"/>
  <c r="I6"/>
  <c r="L6"/>
  <c r="H15"/>
  <c r="N15" s="1"/>
  <c r="H7"/>
  <c r="I7"/>
  <c r="H13"/>
  <c r="N13" s="1"/>
  <c r="K13"/>
  <c r="I19"/>
  <c r="N19" s="1"/>
  <c r="L17"/>
  <c r="N17" s="1"/>
  <c r="H7" i="3"/>
  <c r="J7"/>
  <c r="L7"/>
  <c r="N7"/>
  <c r="L8"/>
  <c r="O21"/>
  <c r="R22"/>
  <c r="T22" s="1"/>
  <c r="T4"/>
  <c r="K4"/>
  <c r="H14" i="4"/>
  <c r="G5"/>
  <c r="H5"/>
  <c r="I5"/>
  <c r="L5"/>
  <c r="P2"/>
  <c r="H16"/>
  <c r="H18"/>
  <c r="I9"/>
  <c r="K9"/>
  <c r="L9"/>
  <c r="H13" i="1"/>
  <c r="K2"/>
  <c r="G10"/>
  <c r="H10"/>
  <c r="K3" i="8"/>
  <c r="H4"/>
  <c r="K4"/>
  <c r="U9" i="6" l="1"/>
  <c r="T21" i="3"/>
  <c r="T7"/>
  <c r="T10"/>
  <c r="U2" i="6"/>
  <c r="U12"/>
  <c r="U10"/>
  <c r="W40" i="7"/>
  <c r="W22"/>
  <c r="W16"/>
  <c r="W13"/>
  <c r="W9"/>
  <c r="W20"/>
  <c r="W32"/>
  <c r="W5"/>
  <c r="W27"/>
  <c r="W4"/>
  <c r="W12"/>
  <c r="W23"/>
  <c r="U8" i="6"/>
  <c r="U5"/>
  <c r="U16"/>
  <c r="U17"/>
  <c r="U7"/>
  <c r="U11"/>
  <c r="U20"/>
  <c r="U18"/>
  <c r="U22"/>
  <c r="N7" i="5"/>
  <c r="N3"/>
  <c r="N6"/>
</calcChain>
</file>

<file path=xl/sharedStrings.xml><?xml version="1.0" encoding="utf-8"?>
<sst xmlns="http://schemas.openxmlformats.org/spreadsheetml/2006/main" count="593" uniqueCount="305">
  <si>
    <t>#</t>
  </si>
  <si>
    <t>Exhibitor</t>
  </si>
  <si>
    <t>Horse</t>
  </si>
  <si>
    <t># of Shows</t>
  </si>
  <si>
    <t>Trail</t>
  </si>
  <si>
    <t>R. Riding</t>
  </si>
  <si>
    <t>Ranchmanship</t>
  </si>
  <si>
    <t>Total</t>
  </si>
  <si>
    <t>Ever Reda-Glasgow</t>
  </si>
  <si>
    <t>Kickit In The Bud</t>
  </si>
  <si>
    <t>Margot Kelley</t>
  </si>
  <si>
    <t>Gotta Zip Chip</t>
  </si>
  <si>
    <t>Jack Mansfield</t>
  </si>
  <si>
    <t>Rodeo</t>
  </si>
  <si>
    <t>R Riding</t>
  </si>
  <si>
    <t xml:space="preserve">Ray Smith </t>
  </si>
  <si>
    <t>Quickazacat</t>
  </si>
  <si>
    <t>Kim Russell</t>
  </si>
  <si>
    <t>Its All About The Gusto</t>
  </si>
  <si>
    <t>Marianne Cox</t>
  </si>
  <si>
    <t>Admire The Bartender</t>
  </si>
  <si>
    <t>Emiley Roebuck</t>
  </si>
  <si>
    <t>TD Saralena</t>
  </si>
  <si>
    <t>Craig Hiscock</t>
  </si>
  <si>
    <t>JKS Big Sexy</t>
  </si>
  <si>
    <t>Juli-Kay Baumann</t>
  </si>
  <si>
    <t>Stash The Goods</t>
  </si>
  <si>
    <t>Chris Figge</t>
  </si>
  <si>
    <t>Sassy Kate</t>
  </si>
  <si>
    <t>Kate Atkinson</t>
  </si>
  <si>
    <t>Noble</t>
  </si>
  <si>
    <t>No Money No Magic</t>
  </si>
  <si>
    <t>Melinda Stover</t>
  </si>
  <si>
    <t>Zipporah</t>
  </si>
  <si>
    <t>Kathleen McDaniel</t>
  </si>
  <si>
    <t>DM Strikin Cougar</t>
  </si>
  <si>
    <t>Jennifer Dowd</t>
  </si>
  <si>
    <t>LC Jack Hancock 101</t>
  </si>
  <si>
    <t>Brandy Johnson</t>
  </si>
  <si>
    <t>Sugs Holidoc</t>
  </si>
  <si>
    <t>Shane Campbell</t>
  </si>
  <si>
    <t>AC Spinks Spark</t>
  </si>
  <si>
    <t>Melissa Burwell Sleem</t>
  </si>
  <si>
    <t>Extra Smooth Chic</t>
  </si>
  <si>
    <t>Leslie Jones</t>
  </si>
  <si>
    <t>April Ford</t>
  </si>
  <si>
    <t>Solanos Smart Ace</t>
  </si>
  <si>
    <t>LeAnn Pinner</t>
  </si>
  <si>
    <t>Rebecca Jones</t>
  </si>
  <si>
    <t>Boxing</t>
  </si>
  <si>
    <t>Showmanship</t>
  </si>
  <si>
    <t>R Cutting</t>
  </si>
  <si>
    <t>R Reining</t>
  </si>
  <si>
    <t>JoAnn Smith</t>
  </si>
  <si>
    <t>Tom Cain</t>
  </si>
  <si>
    <t>Shesa Too Timin Chic</t>
  </si>
  <si>
    <t>Karen Phillips</t>
  </si>
  <si>
    <t>Boom Or Shine</t>
  </si>
  <si>
    <t>Traci Richcreek</t>
  </si>
  <si>
    <t>Super Connie</t>
  </si>
  <si>
    <t>Kim Blanton</t>
  </si>
  <si>
    <t>Rumba Down</t>
  </si>
  <si>
    <t>Leavin With Me</t>
  </si>
  <si>
    <t>Lucky Reno Gold</t>
  </si>
  <si>
    <t>Tom Blanton</t>
  </si>
  <si>
    <t>Roosters Quick To Go</t>
  </si>
  <si>
    <t>Dolores Cain</t>
  </si>
  <si>
    <t>Ima Stylish Babe</t>
  </si>
  <si>
    <t>Moneys Smokin Leo</t>
  </si>
  <si>
    <t>Debra Cope</t>
  </si>
  <si>
    <t>Doc Just Zippin</t>
  </si>
  <si>
    <t>Neal Agee</t>
  </si>
  <si>
    <t>Slide On Blue</t>
  </si>
  <si>
    <t>Carol Maples</t>
  </si>
  <si>
    <t>Shan Kropf</t>
  </si>
  <si>
    <t>Riprageous</t>
  </si>
  <si>
    <t>Danny West</t>
  </si>
  <si>
    <t>Big N Cool</t>
  </si>
  <si>
    <t>Nancy Helms</t>
  </si>
  <si>
    <t>Shes His Wild Thing</t>
  </si>
  <si>
    <t>Amber Wark</t>
  </si>
  <si>
    <t>Shiny Gun</t>
  </si>
  <si>
    <t>Amber Hiscock</t>
  </si>
  <si>
    <t>Stephanie Mobley</t>
  </si>
  <si>
    <t>Pepsi Freck</t>
  </si>
  <si>
    <t>Josie Mansfield</t>
  </si>
  <si>
    <t>Winning Attribute</t>
  </si>
  <si>
    <t>Baylee Parton</t>
  </si>
  <si>
    <t>Elect This Lady</t>
  </si>
  <si>
    <t>Hannah Gunter</t>
  </si>
  <si>
    <t>Hotchic In Hollywood</t>
  </si>
  <si>
    <t>Caroline Carter</t>
  </si>
  <si>
    <t>Radically Dun</t>
  </si>
  <si>
    <t>Katherine Thierfelder</t>
  </si>
  <si>
    <t>Zip A Gold Card</t>
  </si>
  <si>
    <t>Cooper Cruzen</t>
  </si>
  <si>
    <t>CC Smokes Playboy</t>
  </si>
  <si>
    <t>Josie Davis</t>
  </si>
  <si>
    <t>Handling The Power</t>
  </si>
  <si>
    <t>Riley Woods</t>
  </si>
  <si>
    <t>R U Gonnakissmeornot</t>
  </si>
  <si>
    <t>Kory Smith</t>
  </si>
  <si>
    <t>Platinum Boon</t>
  </si>
  <si>
    <t>Dani Cox</t>
  </si>
  <si>
    <t>Lost A Diamond</t>
  </si>
  <si>
    <t>Herdwork</t>
  </si>
  <si>
    <t>WCH</t>
  </si>
  <si>
    <t>Reining</t>
  </si>
  <si>
    <t>3&amp;O G</t>
  </si>
  <si>
    <t>2&amp;U M</t>
  </si>
  <si>
    <t>3&amp; O M</t>
  </si>
  <si>
    <t>Ashley Butcher</t>
  </si>
  <si>
    <t>Dun It By Starlight</t>
  </si>
  <si>
    <t>Taylor Butcher</t>
  </si>
  <si>
    <t>Ten Chex To Cash</t>
  </si>
  <si>
    <t>Sara Reid</t>
  </si>
  <si>
    <t>Zippos Wheelin King</t>
  </si>
  <si>
    <t>Jakes Lil Flapjack</t>
  </si>
  <si>
    <t>Aubrey Malone</t>
  </si>
  <si>
    <t>SA Your Smart</t>
  </si>
  <si>
    <t>Erin Bledsoe</t>
  </si>
  <si>
    <t>Feather Oak</t>
  </si>
  <si>
    <t>Jayda Morse</t>
  </si>
  <si>
    <t>Paisano Spark</t>
  </si>
  <si>
    <t>Hanna Gunter</t>
  </si>
  <si>
    <t>Natalie Harrison</t>
  </si>
  <si>
    <t>Siouxs Lady Blue</t>
  </si>
  <si>
    <t>Katherine Ann Theirfelder</t>
  </si>
  <si>
    <t>Samrt Haida Anne</t>
  </si>
  <si>
    <t>Reylena Del Rey</t>
  </si>
  <si>
    <t>Guns N Girls</t>
  </si>
  <si>
    <t>ShowmanShip</t>
  </si>
  <si>
    <t>Kristen Regula</t>
  </si>
  <si>
    <t>Golden Bueno Dun It</t>
  </si>
  <si>
    <t>Kenzie Perry</t>
  </si>
  <si>
    <t>Bucks King Pistol</t>
  </si>
  <si>
    <t>Gary McClain</t>
  </si>
  <si>
    <t>Buggy Lights</t>
  </si>
  <si>
    <t>Frank DeAngelo</t>
  </si>
  <si>
    <t>Illhaveanothermug</t>
  </si>
  <si>
    <t>Seth Carter</t>
  </si>
  <si>
    <t>Cowboys Kentata</t>
  </si>
  <si>
    <t>Harvaleigh Lambert</t>
  </si>
  <si>
    <t>HS Docs Lil Barbie</t>
  </si>
  <si>
    <t>Phantom Starlight</t>
  </si>
  <si>
    <t>Traci Rickcreek</t>
  </si>
  <si>
    <t>Lea Ann Pinner</t>
  </si>
  <si>
    <t>TN Rowdy Rebel</t>
  </si>
  <si>
    <t>Barry Faulk</t>
  </si>
  <si>
    <t>RAB Kay Baby Jazz</t>
  </si>
  <si>
    <t>Michael Murphy</t>
  </si>
  <si>
    <t>Candy Frost Hancock</t>
  </si>
  <si>
    <t>Cory Delashmit</t>
  </si>
  <si>
    <t>Kings In Chaps</t>
  </si>
  <si>
    <t>Hay Now Sunshine</t>
  </si>
  <si>
    <t>Alicia Parker</t>
  </si>
  <si>
    <t>DJS Vested Trouble</t>
  </si>
  <si>
    <t>Summer Kelley</t>
  </si>
  <si>
    <t>RR Stars Mi Hija</t>
  </si>
  <si>
    <t>Lori Tolar</t>
  </si>
  <si>
    <t>San Shining Peppy</t>
  </si>
  <si>
    <t>Snowmanship</t>
  </si>
  <si>
    <t>3&amp;O M</t>
  </si>
  <si>
    <t>Nikie Mims</t>
  </si>
  <si>
    <t>FS Montana Jac A Nic</t>
  </si>
  <si>
    <t>Tom Mims</t>
  </si>
  <si>
    <t>MS Major Whiz</t>
  </si>
  <si>
    <t>Jasper Sanders</t>
  </si>
  <si>
    <t>Wares The Future</t>
  </si>
  <si>
    <t>Jennifer Swiney</t>
  </si>
  <si>
    <t>Especial Peppy Mena</t>
  </si>
  <si>
    <t>Kathy Van Horne</t>
  </si>
  <si>
    <t>Whatasweetaddiction</t>
  </si>
  <si>
    <t>Robert Petree</t>
  </si>
  <si>
    <t>Bank N On This Chex</t>
  </si>
  <si>
    <t>Hay Now Shine</t>
  </si>
  <si>
    <t>Sydney Friedman</t>
  </si>
  <si>
    <t>Diamonds Whiz Chex</t>
  </si>
  <si>
    <t>Logan Friedman</t>
  </si>
  <si>
    <t>Nancy Whitley</t>
  </si>
  <si>
    <t>Busy By Tucker</t>
  </si>
  <si>
    <t>Lisa McCarthy-Harrison</t>
  </si>
  <si>
    <t>Shinersboynamedsioux</t>
  </si>
  <si>
    <t>Linda Witherspoon</t>
  </si>
  <si>
    <t>Pure Golds Reba</t>
  </si>
  <si>
    <t>Lenee Allison</t>
  </si>
  <si>
    <t>Peek A Boo Chrome</t>
  </si>
  <si>
    <t>Holly Darnall</t>
  </si>
  <si>
    <t>Crazy Lights</t>
  </si>
  <si>
    <t>Sarah Lawrence</t>
  </si>
  <si>
    <t>Cuttinoneforcowboy</t>
  </si>
  <si>
    <t>Bucks King Piston</t>
  </si>
  <si>
    <t>Sheza Cool Fever</t>
  </si>
  <si>
    <t>Stephen Everett</t>
  </si>
  <si>
    <t>NT Neros Playboy</t>
  </si>
  <si>
    <t>SugarMewtwo</t>
  </si>
  <si>
    <t>Morning Reda</t>
  </si>
  <si>
    <t>Whizs Dinero Roller</t>
  </si>
  <si>
    <t>Dale Rushing</t>
  </si>
  <si>
    <t>Diane Kendrick</t>
  </si>
  <si>
    <t>Star of Texata</t>
  </si>
  <si>
    <t>HH Stars Mi Hija</t>
  </si>
  <si>
    <t>Sr R. Riding</t>
  </si>
  <si>
    <t>YIH Trail</t>
  </si>
  <si>
    <t>JR R. Riding</t>
  </si>
  <si>
    <t>Lauren King/Sheila King/JoAnn Smith</t>
  </si>
  <si>
    <t>Topsail Oak</t>
  </si>
  <si>
    <t>Brittany Malinoski</t>
  </si>
  <si>
    <t>Mister Smokin Diesel</t>
  </si>
  <si>
    <t>Lauren King/JoAnn Smith</t>
  </si>
  <si>
    <t>Ron Pearson</t>
  </si>
  <si>
    <t>Lady Millionaire</t>
  </si>
  <si>
    <t>Not a member</t>
  </si>
  <si>
    <t>Adam Thomas</t>
  </si>
  <si>
    <t>Smartngracetylguns</t>
  </si>
  <si>
    <t>Lucas Ayers</t>
  </si>
  <si>
    <t>Purrfect Light</t>
  </si>
  <si>
    <t>Josh Thomas</t>
  </si>
  <si>
    <t>Monumentum</t>
  </si>
  <si>
    <t>Jessica Watson</t>
  </si>
  <si>
    <t>Nitty Gritty Hancock</t>
  </si>
  <si>
    <t>Dave Phillips</t>
  </si>
  <si>
    <t>Citas Black Diamond</t>
  </si>
  <si>
    <t>Jed Lawrence</t>
  </si>
  <si>
    <t>Plumb Starlight</t>
  </si>
  <si>
    <t>Rowdys Bar Legacy</t>
  </si>
  <si>
    <t>Nu Chex N Old Gold</t>
  </si>
  <si>
    <t>Hilda Keller</t>
  </si>
  <si>
    <t>Citas Apache Poco</t>
  </si>
  <si>
    <t>Tuff Little Lola</t>
  </si>
  <si>
    <t>Josh Veal</t>
  </si>
  <si>
    <t>Gunnin With Chix</t>
  </si>
  <si>
    <t>Playboys O Grady</t>
  </si>
  <si>
    <t>Smart Mister Brooks</t>
  </si>
  <si>
    <t>Chexwood Won Or Lose</t>
  </si>
  <si>
    <t>Quintana Garcia</t>
  </si>
  <si>
    <t>Colonel Smartpeppy</t>
  </si>
  <si>
    <t>Joe Harper</t>
  </si>
  <si>
    <t>Amanda Carter</t>
  </si>
  <si>
    <t>Kelley Shattuck</t>
  </si>
  <si>
    <t>David Phillips</t>
  </si>
  <si>
    <t>Boom or Shine</t>
  </si>
  <si>
    <t>Tim Emerton</t>
  </si>
  <si>
    <t>Jeff Taylor</t>
  </si>
  <si>
    <t>Merada Dawn Talkin</t>
  </si>
  <si>
    <t>Josh Foster</t>
  </si>
  <si>
    <t>Chief Blizzard Roks</t>
  </si>
  <si>
    <t>Sugar Mew Two</t>
  </si>
  <si>
    <t>Spirit</t>
  </si>
  <si>
    <t>Stephen Everette</t>
  </si>
  <si>
    <t>Cowhorse</t>
  </si>
  <si>
    <t>Duals Big Cat</t>
  </si>
  <si>
    <t>Catt McCandles</t>
  </si>
  <si>
    <t>Brandi Johnson</t>
  </si>
  <si>
    <t>Jennifer Richards</t>
  </si>
  <si>
    <t>Lean It Big</t>
  </si>
  <si>
    <t>Rachael Snow</t>
  </si>
  <si>
    <t>Snappin Pancho</t>
  </si>
  <si>
    <t>Stella</t>
  </si>
  <si>
    <t>Especial Peppy Lena</t>
  </si>
  <si>
    <t>Antonia Van Os</t>
  </si>
  <si>
    <t>Flip Ya For The Chex</t>
  </si>
  <si>
    <t>Mr Midnight Whiz</t>
  </si>
  <si>
    <t>JKFH</t>
  </si>
  <si>
    <t>57/218</t>
  </si>
  <si>
    <t>Kelly Shattuck</t>
  </si>
  <si>
    <t>Tammie Wade</t>
  </si>
  <si>
    <t>DPH Gracys Star</t>
  </si>
  <si>
    <t>Ima Tinseltown Champ</t>
  </si>
  <si>
    <t>Jada Hancock</t>
  </si>
  <si>
    <t>Tom Mens</t>
  </si>
  <si>
    <t>Frank Galovic</t>
  </si>
  <si>
    <t>Emerald Flame SHF</t>
  </si>
  <si>
    <t>MaKenna Everett</t>
  </si>
  <si>
    <t>Liberty Little Lark</t>
  </si>
  <si>
    <t>MS Red Devil</t>
  </si>
  <si>
    <t>Ty On Jack</t>
  </si>
  <si>
    <t>Brad Parton</t>
  </si>
  <si>
    <t>Pastels Peppy Gal</t>
  </si>
  <si>
    <t>LeeAnn Pinner</t>
  </si>
  <si>
    <t>Danny Helms</t>
  </si>
  <si>
    <t>Jazz Under the Oak</t>
  </si>
  <si>
    <t>McKenzie Perry</t>
  </si>
  <si>
    <t>Narrow Trail Ranch</t>
  </si>
  <si>
    <t>Horse *</t>
  </si>
  <si>
    <t>Jennifer Adams</t>
  </si>
  <si>
    <t>Wanted Zan Hickory</t>
  </si>
  <si>
    <t>Jaz Under the Oak</t>
  </si>
  <si>
    <t>Tender ID Titan</t>
  </si>
  <si>
    <t>Ranch Riding</t>
  </si>
  <si>
    <t>AC Spinks Sport</t>
  </si>
  <si>
    <t>Play Boys Ogrady</t>
  </si>
  <si>
    <t>Zach Mc Carver</t>
  </si>
  <si>
    <t>Ms Red Devil</t>
  </si>
  <si>
    <t>Jason West</t>
  </si>
  <si>
    <t>Ima Bonafide</t>
  </si>
  <si>
    <t>2&amp;U G</t>
  </si>
  <si>
    <t>Zach McCarver</t>
  </si>
  <si>
    <t>Jennifer Adams / Dale Rushing</t>
  </si>
  <si>
    <t>Xtra Diamond Step</t>
  </si>
  <si>
    <t>Dynamites Angel</t>
  </si>
  <si>
    <t>Elizabeth Havert</t>
  </si>
  <si>
    <t>Anda Beat Goz On</t>
  </si>
  <si>
    <t>Maddie Sue</t>
  </si>
  <si>
    <t>Token On Fame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</si>
</sst>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1" fillId="0" borderId="0" xfId="0" applyFont="1"/>
    <xf numFmtId="0" fontId="1" fillId="0" borderId="1" xfId="0" applyFont="1" applyBorder="1"/>
    <xf numFmtId="0" fontId="1" fillId="3" borderId="1" xfId="0" applyFont="1" applyFill="1" applyBorder="1"/>
    <xf numFmtId="0" fontId="0" fillId="4" borderId="1" xfId="0" applyFill="1" applyBorder="1"/>
    <xf numFmtId="0" fontId="0" fillId="0" borderId="1" xfId="0" applyFill="1" applyBorder="1"/>
    <xf numFmtId="0" fontId="0" fillId="2" borderId="0" xfId="0" applyFill="1"/>
    <xf numFmtId="14" fontId="0" fillId="0" borderId="0" xfId="0" applyNumberFormat="1"/>
    <xf numFmtId="0" fontId="0" fillId="0" borderId="0" xfId="0" applyFill="1" applyBorder="1"/>
    <xf numFmtId="0" fontId="0" fillId="0" borderId="0" xfId="0" applyFill="1"/>
    <xf numFmtId="0" fontId="0" fillId="0" borderId="2" xfId="0" applyFill="1" applyBorder="1"/>
    <xf numFmtId="0" fontId="0" fillId="0" borderId="2" xfId="0" applyBorder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tabSelected="1" workbookViewId="0">
      <selection activeCell="H4" sqref="H4"/>
    </sheetView>
  </sheetViews>
  <sheetFormatPr defaultRowHeight="14.4"/>
  <cols>
    <col min="1" max="1" width="4.109375" bestFit="1" customWidth="1"/>
    <col min="2" max="2" width="18.109375" bestFit="1" customWidth="1"/>
    <col min="3" max="3" width="15.6640625" bestFit="1" customWidth="1"/>
    <col min="4" max="4" width="2.5546875" customWidth="1"/>
    <col min="5" max="5" width="10.5546875" bestFit="1" customWidth="1"/>
    <col min="6" max="6" width="3" customWidth="1"/>
    <col min="7" max="7" width="8.6640625" customWidth="1"/>
    <col min="8" max="8" width="8.6640625" bestFit="1" customWidth="1"/>
    <col min="9" max="9" width="14" bestFit="1" customWidth="1"/>
    <col min="10" max="10" width="3.6640625" customWidth="1"/>
    <col min="11" max="11" width="5.44140625" bestFit="1" customWidth="1"/>
  </cols>
  <sheetData>
    <row r="1" spans="1:11" s="1" customFormat="1">
      <c r="A1" s="2" t="s">
        <v>0</v>
      </c>
      <c r="B1" s="2" t="s">
        <v>1</v>
      </c>
      <c r="C1" s="2" t="s">
        <v>2</v>
      </c>
      <c r="D1" s="4"/>
      <c r="E1" s="2" t="s">
        <v>3</v>
      </c>
      <c r="F1" s="4"/>
      <c r="G1" s="2" t="s">
        <v>4</v>
      </c>
      <c r="H1" s="2" t="s">
        <v>5</v>
      </c>
      <c r="I1" s="2" t="s">
        <v>6</v>
      </c>
      <c r="J1" s="4"/>
      <c r="K1" s="2" t="s">
        <v>7</v>
      </c>
    </row>
    <row r="2" spans="1:11">
      <c r="A2" s="3">
        <v>339</v>
      </c>
      <c r="B2" s="3" t="s">
        <v>12</v>
      </c>
      <c r="C2" s="3" t="s">
        <v>13</v>
      </c>
      <c r="D2" s="5"/>
      <c r="E2" s="3">
        <v>2</v>
      </c>
      <c r="F2" s="5"/>
      <c r="G2" s="3"/>
      <c r="H2" s="3">
        <v>8</v>
      </c>
      <c r="I2" s="3">
        <v>2</v>
      </c>
      <c r="J2" s="5"/>
      <c r="K2" s="3">
        <f>SUM(H2:J2)</f>
        <v>10</v>
      </c>
    </row>
    <row r="3" spans="1:11">
      <c r="A3" s="3">
        <v>219</v>
      </c>
      <c r="B3" s="3" t="s">
        <v>10</v>
      </c>
      <c r="C3" s="3" t="s">
        <v>11</v>
      </c>
      <c r="D3" s="5"/>
      <c r="E3" s="3">
        <v>3</v>
      </c>
      <c r="F3" s="5"/>
      <c r="G3" s="3"/>
      <c r="H3" s="3">
        <v>7</v>
      </c>
      <c r="I3" s="3"/>
      <c r="J3" s="5"/>
      <c r="K3" s="3">
        <f>SUM(H3:J3)</f>
        <v>7</v>
      </c>
    </row>
    <row r="4" spans="1:11">
      <c r="A4" s="3">
        <v>144</v>
      </c>
      <c r="B4" s="3" t="s">
        <v>8</v>
      </c>
      <c r="C4" s="3" t="s">
        <v>9</v>
      </c>
      <c r="D4" s="5"/>
      <c r="E4" s="3">
        <v>1</v>
      </c>
      <c r="F4" s="5"/>
      <c r="G4" s="3"/>
      <c r="H4" s="3">
        <f>2+1</f>
        <v>3</v>
      </c>
      <c r="I4" s="3"/>
      <c r="J4" s="5"/>
      <c r="K4" s="3">
        <f>SUM(H4:J4)</f>
        <v>3</v>
      </c>
    </row>
    <row r="5" spans="1:11">
      <c r="B5" s="12">
        <v>43361</v>
      </c>
    </row>
    <row r="6" spans="1:11">
      <c r="B6" s="13" t="s">
        <v>263</v>
      </c>
    </row>
  </sheetData>
  <sortState ref="A2:K4">
    <sortCondition descending="1" ref="K2:K4"/>
  </sortState>
  <pageMargins left="0.7" right="0.7" top="0.75" bottom="0.75" header="0.3" footer="0.3"/>
  <pageSetup fitToHeight="0" orientation="landscape" r:id="rId1"/>
  <headerFooter>
    <oddHeader>&amp;C&amp;"-,Bold"&amp;UWalk/Trot 13 &amp; Under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>
      <selection activeCell="P21" sqref="P21"/>
    </sheetView>
  </sheetViews>
  <sheetFormatPr defaultRowHeight="14.4"/>
  <cols>
    <col min="1" max="1" width="4.109375" bestFit="1" customWidth="1"/>
    <col min="2" max="2" width="18.109375" bestFit="1" customWidth="1"/>
    <col min="3" max="3" width="19" bestFit="1" customWidth="1"/>
    <col min="4" max="4" width="2.5546875" customWidth="1"/>
    <col min="5" max="5" width="10.5546875" bestFit="1" customWidth="1"/>
    <col min="6" max="6" width="7" bestFit="1" customWidth="1"/>
    <col min="7" max="7" width="12.33203125" bestFit="1" customWidth="1"/>
    <col min="8" max="8" width="14" bestFit="1" customWidth="1"/>
    <col min="9" max="9" width="4.88671875" bestFit="1" customWidth="1"/>
    <col min="10" max="10" width="9.6640625" bestFit="1" customWidth="1"/>
    <col min="11" max="11" width="9.88671875" bestFit="1" customWidth="1"/>
    <col min="12" max="12" width="5.44140625" bestFit="1" customWidth="1"/>
  </cols>
  <sheetData>
    <row r="1" spans="1:12" s="1" customFormat="1">
      <c r="A1" s="2" t="s">
        <v>0</v>
      </c>
      <c r="B1" s="2" t="s">
        <v>1</v>
      </c>
      <c r="C1" s="2" t="s">
        <v>2</v>
      </c>
      <c r="D1" s="4"/>
      <c r="E1" s="2" t="s">
        <v>3</v>
      </c>
      <c r="F1" s="2" t="s">
        <v>49</v>
      </c>
      <c r="G1" s="4" t="s">
        <v>289</v>
      </c>
      <c r="H1" s="4" t="s">
        <v>6</v>
      </c>
      <c r="I1" s="4" t="s">
        <v>4</v>
      </c>
      <c r="J1" s="2" t="s">
        <v>105</v>
      </c>
      <c r="K1" s="2" t="s">
        <v>250</v>
      </c>
      <c r="L1" s="2" t="s">
        <v>7</v>
      </c>
    </row>
    <row r="2" spans="1:12">
      <c r="A2" s="3">
        <v>134</v>
      </c>
      <c r="B2" s="3" t="s">
        <v>237</v>
      </c>
      <c r="C2" s="3" t="s">
        <v>251</v>
      </c>
      <c r="D2" s="5"/>
      <c r="E2" s="3">
        <v>1</v>
      </c>
      <c r="F2" s="3"/>
      <c r="G2" s="5"/>
      <c r="H2" s="5"/>
      <c r="I2" s="5"/>
      <c r="J2" s="3">
        <v>18</v>
      </c>
      <c r="K2" s="3">
        <f>10+10+9</f>
        <v>29</v>
      </c>
      <c r="L2" s="3">
        <f t="shared" ref="L2:L27" si="0">SUM(F2:K2)</f>
        <v>47</v>
      </c>
    </row>
    <row r="3" spans="1:12">
      <c r="A3" s="3">
        <v>57</v>
      </c>
      <c r="B3" s="3" t="s">
        <v>253</v>
      </c>
      <c r="C3" s="3" t="s">
        <v>137</v>
      </c>
      <c r="D3" s="5"/>
      <c r="E3" s="3">
        <v>1</v>
      </c>
      <c r="F3" s="3"/>
      <c r="G3" s="5"/>
      <c r="H3" s="5"/>
      <c r="I3" s="5"/>
      <c r="J3" s="3">
        <v>20</v>
      </c>
      <c r="K3" s="3">
        <f>8+8+8</f>
        <v>24</v>
      </c>
      <c r="L3" s="3">
        <f t="shared" si="0"/>
        <v>44</v>
      </c>
    </row>
    <row r="4" spans="1:12">
      <c r="A4" s="3">
        <v>131</v>
      </c>
      <c r="B4" s="3" t="s">
        <v>237</v>
      </c>
      <c r="C4" s="3" t="s">
        <v>252</v>
      </c>
      <c r="D4" s="5"/>
      <c r="E4" s="3">
        <v>1</v>
      </c>
      <c r="F4" s="3"/>
      <c r="G4" s="5"/>
      <c r="H4" s="5"/>
      <c r="I4" s="5"/>
      <c r="J4" s="3">
        <v>6</v>
      </c>
      <c r="K4" s="3">
        <f>9+9+10</f>
        <v>28</v>
      </c>
      <c r="L4" s="3">
        <f t="shared" si="0"/>
        <v>34</v>
      </c>
    </row>
    <row r="5" spans="1:12">
      <c r="A5" s="3">
        <v>274</v>
      </c>
      <c r="B5" s="3" t="s">
        <v>254</v>
      </c>
      <c r="C5" s="3" t="s">
        <v>255</v>
      </c>
      <c r="D5" s="5"/>
      <c r="E5" s="3">
        <v>1</v>
      </c>
      <c r="F5" s="3"/>
      <c r="G5" s="5"/>
      <c r="H5" s="5"/>
      <c r="I5" s="5"/>
      <c r="J5" s="3">
        <v>7</v>
      </c>
      <c r="K5" s="3">
        <f>7+6+7</f>
        <v>20</v>
      </c>
      <c r="L5" s="3">
        <f t="shared" si="0"/>
        <v>27</v>
      </c>
    </row>
    <row r="6" spans="1:12">
      <c r="A6" s="3">
        <v>328</v>
      </c>
      <c r="B6" s="3" t="s">
        <v>237</v>
      </c>
      <c r="C6" s="3" t="s">
        <v>39</v>
      </c>
      <c r="D6" s="5"/>
      <c r="E6" s="3">
        <v>1</v>
      </c>
      <c r="F6" s="3"/>
      <c r="G6" s="5"/>
      <c r="H6" s="5"/>
      <c r="I6" s="5"/>
      <c r="J6" s="3">
        <v>8</v>
      </c>
      <c r="K6" s="3">
        <f>6+7+6</f>
        <v>19</v>
      </c>
      <c r="L6" s="3">
        <f t="shared" si="0"/>
        <v>27</v>
      </c>
    </row>
    <row r="7" spans="1:12">
      <c r="A7" s="3">
        <v>130</v>
      </c>
      <c r="B7" s="3" t="s">
        <v>237</v>
      </c>
      <c r="C7" s="3" t="s">
        <v>258</v>
      </c>
      <c r="D7" s="5"/>
      <c r="E7" s="3">
        <v>1</v>
      </c>
      <c r="F7" s="3"/>
      <c r="G7" s="5"/>
      <c r="H7" s="5"/>
      <c r="I7" s="5"/>
      <c r="J7" s="3">
        <v>5</v>
      </c>
      <c r="K7" s="3">
        <f>4+4+4</f>
        <v>12</v>
      </c>
      <c r="L7" s="3">
        <f t="shared" si="0"/>
        <v>17</v>
      </c>
    </row>
    <row r="8" spans="1:12">
      <c r="A8" s="3">
        <v>132</v>
      </c>
      <c r="B8" s="3" t="s">
        <v>260</v>
      </c>
      <c r="C8" s="3" t="s">
        <v>261</v>
      </c>
      <c r="D8" s="5"/>
      <c r="E8" s="3">
        <v>1</v>
      </c>
      <c r="F8" s="3"/>
      <c r="G8" s="5"/>
      <c r="H8" s="5"/>
      <c r="I8" s="5"/>
      <c r="J8" s="3">
        <v>10</v>
      </c>
      <c r="K8" s="3">
        <f>2+2+3</f>
        <v>7</v>
      </c>
      <c r="L8" s="3">
        <f t="shared" si="0"/>
        <v>17</v>
      </c>
    </row>
    <row r="9" spans="1:12">
      <c r="A9" s="3">
        <v>159</v>
      </c>
      <c r="B9" s="3" t="s">
        <v>256</v>
      </c>
      <c r="C9" s="3" t="s">
        <v>257</v>
      </c>
      <c r="D9" s="5"/>
      <c r="E9" s="3">
        <v>1</v>
      </c>
      <c r="F9" s="3"/>
      <c r="G9" s="5"/>
      <c r="H9" s="5"/>
      <c r="I9" s="5"/>
      <c r="J9" s="3"/>
      <c r="K9" s="3">
        <f>5+5+5</f>
        <v>15</v>
      </c>
      <c r="L9" s="3">
        <f t="shared" si="0"/>
        <v>15</v>
      </c>
    </row>
    <row r="10" spans="1:12">
      <c r="A10" s="3">
        <v>133</v>
      </c>
      <c r="B10" s="3" t="s">
        <v>169</v>
      </c>
      <c r="C10" s="3" t="s">
        <v>259</v>
      </c>
      <c r="D10" s="5"/>
      <c r="E10" s="3">
        <v>1</v>
      </c>
      <c r="F10" s="3"/>
      <c r="G10" s="5"/>
      <c r="H10" s="5"/>
      <c r="I10" s="5"/>
      <c r="J10" s="3">
        <v>6</v>
      </c>
      <c r="K10" s="3">
        <f>3+3+2</f>
        <v>8</v>
      </c>
      <c r="L10" s="3">
        <f t="shared" si="0"/>
        <v>14</v>
      </c>
    </row>
    <row r="11" spans="1:12">
      <c r="A11" s="3">
        <v>161</v>
      </c>
      <c r="B11" s="3" t="s">
        <v>193</v>
      </c>
      <c r="C11" s="3" t="s">
        <v>194</v>
      </c>
      <c r="D11" s="5"/>
      <c r="E11" s="3">
        <v>1</v>
      </c>
      <c r="F11" s="3"/>
      <c r="G11" s="5"/>
      <c r="H11" s="5"/>
      <c r="I11" s="5"/>
      <c r="J11" s="3">
        <v>11</v>
      </c>
      <c r="K11" s="3"/>
      <c r="L11" s="3">
        <f t="shared" si="0"/>
        <v>11</v>
      </c>
    </row>
    <row r="12" spans="1:12">
      <c r="A12" s="3">
        <v>487</v>
      </c>
      <c r="B12" s="3" t="s">
        <v>294</v>
      </c>
      <c r="C12" s="3" t="s">
        <v>295</v>
      </c>
      <c r="D12" s="5"/>
      <c r="E12" s="3">
        <v>1</v>
      </c>
      <c r="F12" s="3"/>
      <c r="G12" s="5">
        <v>6</v>
      </c>
      <c r="H12" s="5">
        <v>2</v>
      </c>
      <c r="I12" s="5">
        <v>2</v>
      </c>
      <c r="J12" s="3"/>
      <c r="K12" s="3"/>
      <c r="L12" s="3">
        <f t="shared" si="0"/>
        <v>10</v>
      </c>
    </row>
    <row r="13" spans="1:12">
      <c r="A13" s="3">
        <v>256</v>
      </c>
      <c r="B13" s="3" t="s">
        <v>40</v>
      </c>
      <c r="C13" s="3" t="s">
        <v>290</v>
      </c>
      <c r="D13" s="5"/>
      <c r="E13" s="3">
        <v>1</v>
      </c>
      <c r="F13" s="3">
        <v>8</v>
      </c>
      <c r="G13" s="5">
        <v>5</v>
      </c>
      <c r="H13" s="5"/>
      <c r="I13" s="5"/>
      <c r="J13" s="3">
        <v>2</v>
      </c>
      <c r="K13" s="3"/>
      <c r="L13" s="3">
        <f t="shared" si="0"/>
        <v>15</v>
      </c>
    </row>
    <row r="14" spans="1:12">
      <c r="A14" s="3">
        <v>472</v>
      </c>
      <c r="B14" s="3"/>
      <c r="C14" s="3" t="s">
        <v>291</v>
      </c>
      <c r="D14" s="5"/>
      <c r="E14" s="3">
        <v>1</v>
      </c>
      <c r="F14" s="3">
        <v>4</v>
      </c>
      <c r="G14" s="5"/>
      <c r="H14" s="5"/>
      <c r="I14" s="5">
        <v>4</v>
      </c>
      <c r="J14" s="3"/>
      <c r="K14" s="3"/>
      <c r="L14" s="3">
        <f t="shared" si="0"/>
        <v>8</v>
      </c>
    </row>
    <row r="15" spans="1:12">
      <c r="A15" s="3">
        <v>476</v>
      </c>
      <c r="B15" s="3" t="s">
        <v>292</v>
      </c>
      <c r="C15" s="3" t="s">
        <v>293</v>
      </c>
      <c r="D15" s="5"/>
      <c r="E15" s="3">
        <v>1</v>
      </c>
      <c r="F15" s="3">
        <v>8</v>
      </c>
      <c r="G15" s="5"/>
      <c r="H15" s="5"/>
      <c r="I15" s="5"/>
      <c r="J15" s="3"/>
      <c r="K15" s="3"/>
      <c r="L15" s="3">
        <f t="shared" si="0"/>
        <v>8</v>
      </c>
    </row>
    <row r="16" spans="1:12">
      <c r="A16" s="3">
        <v>274</v>
      </c>
      <c r="B16" s="3" t="s">
        <v>253</v>
      </c>
      <c r="C16" s="3" t="s">
        <v>255</v>
      </c>
      <c r="D16" s="5"/>
      <c r="E16" s="3">
        <v>1</v>
      </c>
      <c r="F16" s="3"/>
      <c r="G16" s="5"/>
      <c r="H16" s="5"/>
      <c r="I16" s="5"/>
      <c r="J16" s="3">
        <v>6</v>
      </c>
      <c r="K16" s="3"/>
      <c r="L16" s="3">
        <f t="shared" si="0"/>
        <v>6</v>
      </c>
    </row>
    <row r="17" spans="1:12">
      <c r="A17" s="3">
        <v>201</v>
      </c>
      <c r="B17" s="3" t="s">
        <v>132</v>
      </c>
      <c r="C17" s="3" t="s">
        <v>133</v>
      </c>
      <c r="D17" s="5"/>
      <c r="E17" s="3">
        <v>1</v>
      </c>
      <c r="F17" s="3"/>
      <c r="G17" s="5"/>
      <c r="H17" s="5"/>
      <c r="I17" s="5"/>
      <c r="J17" s="3">
        <v>5</v>
      </c>
      <c r="K17" s="3"/>
      <c r="L17" s="3">
        <f t="shared" si="0"/>
        <v>5</v>
      </c>
    </row>
    <row r="18" spans="1:12">
      <c r="A18" s="3">
        <v>420</v>
      </c>
      <c r="B18" s="3" t="s">
        <v>165</v>
      </c>
      <c r="C18" s="3" t="s">
        <v>166</v>
      </c>
      <c r="D18" s="5"/>
      <c r="E18" s="3">
        <v>1</v>
      </c>
      <c r="F18" s="3"/>
      <c r="G18" s="5"/>
      <c r="H18" s="5"/>
      <c r="I18" s="5"/>
      <c r="J18" s="3">
        <v>4</v>
      </c>
      <c r="K18" s="3"/>
      <c r="L18" s="3">
        <f t="shared" si="0"/>
        <v>4</v>
      </c>
    </row>
    <row r="19" spans="1:12">
      <c r="A19" s="3"/>
      <c r="B19" s="3" t="s">
        <v>152</v>
      </c>
      <c r="C19" s="3" t="s">
        <v>153</v>
      </c>
      <c r="D19" s="5"/>
      <c r="E19" s="3">
        <v>1</v>
      </c>
      <c r="F19" s="3"/>
      <c r="G19" s="5"/>
      <c r="H19" s="5"/>
      <c r="I19" s="5"/>
      <c r="J19" s="3">
        <v>4</v>
      </c>
      <c r="K19" s="3"/>
      <c r="L19" s="3">
        <f t="shared" si="0"/>
        <v>4</v>
      </c>
    </row>
    <row r="20" spans="1:12">
      <c r="A20" s="3">
        <v>457</v>
      </c>
      <c r="B20" s="3" t="s">
        <v>120</v>
      </c>
      <c r="C20" s="3" t="s">
        <v>276</v>
      </c>
      <c r="D20" s="5"/>
      <c r="E20" s="3">
        <v>1</v>
      </c>
      <c r="F20" s="3"/>
      <c r="G20" s="5"/>
      <c r="H20" s="5">
        <v>4</v>
      </c>
      <c r="I20" s="5"/>
      <c r="J20" s="3"/>
      <c r="K20" s="3"/>
      <c r="L20" s="3">
        <f t="shared" si="0"/>
        <v>4</v>
      </c>
    </row>
    <row r="21" spans="1:12">
      <c r="A21" s="3">
        <v>141</v>
      </c>
      <c r="B21" s="3" t="s">
        <v>45</v>
      </c>
      <c r="C21" s="3" t="s">
        <v>46</v>
      </c>
      <c r="D21" s="5"/>
      <c r="E21" s="3">
        <v>1</v>
      </c>
      <c r="F21" s="3"/>
      <c r="G21" s="5"/>
      <c r="H21" s="5"/>
      <c r="I21" s="5"/>
      <c r="J21" s="3"/>
      <c r="K21" s="3">
        <f>1+1+1</f>
        <v>3</v>
      </c>
      <c r="L21" s="3">
        <f t="shared" si="0"/>
        <v>3</v>
      </c>
    </row>
    <row r="22" spans="1:12">
      <c r="A22" s="3">
        <v>404</v>
      </c>
      <c r="B22" s="3" t="s">
        <v>58</v>
      </c>
      <c r="C22" s="3" t="s">
        <v>59</v>
      </c>
      <c r="D22" s="5"/>
      <c r="E22" s="3">
        <v>1</v>
      </c>
      <c r="F22" s="3"/>
      <c r="G22" s="5"/>
      <c r="H22" s="5"/>
      <c r="I22" s="5"/>
      <c r="J22" s="3">
        <v>3</v>
      </c>
      <c r="K22" s="3"/>
      <c r="L22" s="3">
        <f t="shared" si="0"/>
        <v>3</v>
      </c>
    </row>
    <row r="23" spans="1:12">
      <c r="A23" s="3">
        <v>468</v>
      </c>
      <c r="B23" s="3"/>
      <c r="C23" s="3"/>
      <c r="D23" s="5"/>
      <c r="E23" s="3">
        <v>1</v>
      </c>
      <c r="F23" s="3"/>
      <c r="G23" s="5">
        <v>3</v>
      </c>
      <c r="H23" s="5"/>
      <c r="I23" s="5"/>
      <c r="J23" s="3"/>
      <c r="K23" s="3"/>
      <c r="L23" s="3">
        <f t="shared" si="0"/>
        <v>3</v>
      </c>
    </row>
    <row r="24" spans="1:12">
      <c r="A24" s="3">
        <v>485</v>
      </c>
      <c r="B24" s="3" t="s">
        <v>40</v>
      </c>
      <c r="C24" s="3" t="s">
        <v>267</v>
      </c>
      <c r="D24" s="5"/>
      <c r="E24" s="3">
        <v>1</v>
      </c>
      <c r="F24" s="3"/>
      <c r="G24" s="5">
        <v>3</v>
      </c>
      <c r="H24" s="5"/>
      <c r="I24" s="5"/>
      <c r="J24" s="3"/>
      <c r="K24" s="3"/>
      <c r="L24" s="3">
        <f t="shared" si="0"/>
        <v>3</v>
      </c>
    </row>
    <row r="25" spans="1:12">
      <c r="A25" s="3">
        <v>480</v>
      </c>
      <c r="B25" s="3" t="s">
        <v>118</v>
      </c>
      <c r="C25" s="3" t="s">
        <v>278</v>
      </c>
      <c r="D25" s="5"/>
      <c r="E25" s="3">
        <v>1</v>
      </c>
      <c r="F25" s="3">
        <v>2</v>
      </c>
      <c r="G25" s="5"/>
      <c r="H25" s="5"/>
      <c r="I25" s="5"/>
      <c r="J25" s="3"/>
      <c r="K25" s="3"/>
      <c r="L25" s="3">
        <f t="shared" si="0"/>
        <v>2</v>
      </c>
    </row>
    <row r="26" spans="1:12">
      <c r="A26" s="3">
        <v>254</v>
      </c>
      <c r="B26" s="3" t="s">
        <v>178</v>
      </c>
      <c r="C26" s="3" t="s">
        <v>262</v>
      </c>
      <c r="D26" s="5"/>
      <c r="E26" s="3">
        <v>1</v>
      </c>
      <c r="F26" s="3"/>
      <c r="G26" s="5"/>
      <c r="H26" s="5"/>
      <c r="I26" s="5"/>
      <c r="J26" s="3">
        <v>1</v>
      </c>
      <c r="K26" s="3"/>
      <c r="L26" s="3">
        <f t="shared" si="0"/>
        <v>1</v>
      </c>
    </row>
    <row r="27" spans="1:12">
      <c r="A27" s="3">
        <v>324</v>
      </c>
      <c r="B27" s="3" t="s">
        <v>40</v>
      </c>
      <c r="C27" s="3" t="s">
        <v>153</v>
      </c>
      <c r="D27" s="5"/>
      <c r="E27" s="3">
        <v>1</v>
      </c>
      <c r="F27" s="3"/>
      <c r="G27" s="5"/>
      <c r="H27" s="5"/>
      <c r="I27" s="5"/>
      <c r="J27" s="3"/>
      <c r="K27" s="3"/>
      <c r="L27" s="3">
        <f t="shared" si="0"/>
        <v>0</v>
      </c>
    </row>
    <row r="28" spans="1:12">
      <c r="A28" s="3"/>
      <c r="B28" s="3" t="s">
        <v>146</v>
      </c>
      <c r="C28" s="3" t="s">
        <v>268</v>
      </c>
      <c r="D28" s="5"/>
      <c r="E28" s="3"/>
      <c r="F28" s="3"/>
      <c r="G28" s="5">
        <v>2</v>
      </c>
      <c r="H28" s="5"/>
      <c r="I28" s="5"/>
      <c r="J28" s="3"/>
      <c r="K28" s="3"/>
      <c r="L28" s="3">
        <f t="shared" ref="L28" si="1">SUM(F28:K28)</f>
        <v>2</v>
      </c>
    </row>
    <row r="29" spans="1:12">
      <c r="B29" s="15" t="s">
        <v>253</v>
      </c>
      <c r="C29" s="15" t="s">
        <v>302</v>
      </c>
      <c r="G29">
        <v>5</v>
      </c>
    </row>
    <row r="30" spans="1:12">
      <c r="B30" s="15" t="s">
        <v>40</v>
      </c>
      <c r="C30" s="15" t="s">
        <v>303</v>
      </c>
      <c r="F30">
        <v>6</v>
      </c>
    </row>
    <row r="31" spans="1:12">
      <c r="B31" s="15" t="s">
        <v>40</v>
      </c>
      <c r="C31" s="15" t="s">
        <v>304</v>
      </c>
      <c r="F31">
        <v>4</v>
      </c>
    </row>
    <row r="32" spans="1:12">
      <c r="B32" s="15"/>
      <c r="C32" s="15"/>
      <c r="G32">
        <v>0</v>
      </c>
    </row>
  </sheetData>
  <autoFilter ref="L1:L18">
    <sortState ref="L2:L18">
      <sortCondition descending="1" ref="L1:L18"/>
    </sortState>
  </autoFilter>
  <sortState ref="A2:L27">
    <sortCondition descending="1" ref="L2:L27"/>
  </sortState>
  <pageMargins left="0.7" right="0.7" top="0.75" bottom="0.75" header="0.3" footer="0.3"/>
  <pageSetup fitToHeight="0" orientation="landscape" horizontalDpi="4294967293" verticalDpi="4294967293" r:id="rId1"/>
  <headerFooter>
    <oddHeader>&amp;C&amp;"-,Bold"&amp;UVolRHA Open</oddHeader>
  </headerFooter>
  <ignoredErrors>
    <ignoredError sqref="L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workbookViewId="0">
      <selection activeCell="N17" sqref="N17"/>
    </sheetView>
  </sheetViews>
  <sheetFormatPr defaultColWidth="10.88671875" defaultRowHeight="14.4"/>
  <cols>
    <col min="1" max="1" width="4.109375" bestFit="1" customWidth="1"/>
    <col min="2" max="2" width="18" bestFit="1" customWidth="1"/>
    <col min="3" max="3" width="20.88671875" bestFit="1" customWidth="1"/>
    <col min="4" max="4" width="3.44140625" customWidth="1"/>
    <col min="5" max="5" width="10.44140625" bestFit="1" customWidth="1"/>
    <col min="6" max="6" width="3.109375" customWidth="1"/>
    <col min="7" max="7" width="4.88671875" bestFit="1" customWidth="1"/>
    <col min="8" max="8" width="8.109375" bestFit="1" customWidth="1"/>
    <col min="9" max="9" width="14" bestFit="1" customWidth="1"/>
    <col min="10" max="10" width="3.5546875" customWidth="1"/>
    <col min="11" max="11" width="5.44140625" bestFit="1" customWidth="1"/>
  </cols>
  <sheetData>
    <row r="1" spans="1:11" s="1" customFormat="1">
      <c r="A1" s="2" t="s">
        <v>0</v>
      </c>
      <c r="B1" s="2" t="s">
        <v>1</v>
      </c>
      <c r="C1" s="2" t="s">
        <v>2</v>
      </c>
      <c r="D1" s="4"/>
      <c r="E1" s="2" t="s">
        <v>3</v>
      </c>
      <c r="F1" s="4"/>
      <c r="G1" s="2" t="s">
        <v>4</v>
      </c>
      <c r="H1" s="2" t="s">
        <v>14</v>
      </c>
      <c r="I1" s="2" t="s">
        <v>6</v>
      </c>
      <c r="J1" s="4"/>
      <c r="K1" s="2" t="s">
        <v>7</v>
      </c>
    </row>
    <row r="2" spans="1:11">
      <c r="A2" s="3">
        <v>797</v>
      </c>
      <c r="B2" s="3" t="s">
        <v>15</v>
      </c>
      <c r="C2" s="3" t="s">
        <v>16</v>
      </c>
      <c r="D2" s="5"/>
      <c r="E2" s="3">
        <v>5</v>
      </c>
      <c r="F2" s="5"/>
      <c r="G2" s="3">
        <v>24</v>
      </c>
      <c r="H2" s="3">
        <v>36</v>
      </c>
      <c r="I2" s="3"/>
      <c r="J2" s="5"/>
      <c r="K2" s="3">
        <f>SUM(G2:J2)</f>
        <v>60</v>
      </c>
    </row>
    <row r="3" spans="1:11">
      <c r="A3" s="3">
        <v>216</v>
      </c>
      <c r="B3" s="3" t="s">
        <v>19</v>
      </c>
      <c r="C3" s="3" t="s">
        <v>20</v>
      </c>
      <c r="D3" s="5"/>
      <c r="E3" s="3">
        <v>3</v>
      </c>
      <c r="F3" s="5"/>
      <c r="G3" s="3">
        <v>25</v>
      </c>
      <c r="H3" s="3">
        <v>14</v>
      </c>
      <c r="I3" s="3">
        <f>1+1+1</f>
        <v>3</v>
      </c>
      <c r="J3" s="5"/>
      <c r="K3" s="3">
        <f>SUM(G3:J3)</f>
        <v>42</v>
      </c>
    </row>
    <row r="4" spans="1:11">
      <c r="A4" s="3">
        <v>138</v>
      </c>
      <c r="B4" s="3" t="s">
        <v>17</v>
      </c>
      <c r="C4" s="3" t="s">
        <v>18</v>
      </c>
      <c r="D4" s="5"/>
      <c r="E4" s="3">
        <v>1</v>
      </c>
      <c r="F4" s="5"/>
      <c r="G4" s="3">
        <f>6+6+6</f>
        <v>18</v>
      </c>
      <c r="H4" s="3">
        <f>6+7+7</f>
        <v>20</v>
      </c>
      <c r="I4" s="3"/>
      <c r="J4" s="5"/>
      <c r="K4" s="3">
        <f>SUM(G4:J4)</f>
        <v>38</v>
      </c>
    </row>
    <row r="5" spans="1:11">
      <c r="A5" s="3">
        <v>327</v>
      </c>
      <c r="B5" s="3" t="s">
        <v>21</v>
      </c>
      <c r="C5" s="3" t="s">
        <v>22</v>
      </c>
      <c r="D5" s="5"/>
      <c r="E5" s="3">
        <v>1</v>
      </c>
      <c r="F5" s="5"/>
      <c r="G5" s="3">
        <f>3+2+2</f>
        <v>7</v>
      </c>
      <c r="H5" s="3">
        <f>3+3+1</f>
        <v>7</v>
      </c>
      <c r="I5" s="3">
        <f>2+2+2</f>
        <v>6</v>
      </c>
      <c r="J5" s="5"/>
      <c r="K5" s="3">
        <f>SUM(G5:J5)</f>
        <v>20</v>
      </c>
    </row>
    <row r="6" spans="1:11">
      <c r="A6" s="3">
        <v>316</v>
      </c>
      <c r="B6" s="3" t="s">
        <v>25</v>
      </c>
      <c r="C6" s="3" t="s">
        <v>26</v>
      </c>
      <c r="D6" s="5"/>
      <c r="E6" s="3">
        <f>1+1</f>
        <v>2</v>
      </c>
      <c r="F6" s="5"/>
      <c r="G6" s="3">
        <v>0</v>
      </c>
      <c r="H6" s="3">
        <v>19</v>
      </c>
      <c r="I6" s="3"/>
      <c r="J6" s="5"/>
      <c r="K6" s="3">
        <f>SUM(G6:J6)</f>
        <v>19</v>
      </c>
    </row>
    <row r="7" spans="1:11">
      <c r="A7" s="3">
        <v>203</v>
      </c>
      <c r="B7" s="3" t="s">
        <v>23</v>
      </c>
      <c r="C7" s="3" t="s">
        <v>24</v>
      </c>
      <c r="D7" s="5"/>
      <c r="E7" s="3">
        <f>1+1</f>
        <v>2</v>
      </c>
      <c r="F7" s="5"/>
      <c r="G7" s="3"/>
      <c r="H7" s="3">
        <f>1+1+7+5+4</f>
        <v>18</v>
      </c>
      <c r="I7" s="3"/>
      <c r="J7" s="5"/>
      <c r="K7" s="3">
        <f>SUM(G7:J7)</f>
        <v>18</v>
      </c>
    </row>
    <row r="8" spans="1:11">
      <c r="A8" s="3">
        <v>393</v>
      </c>
      <c r="B8" s="3" t="s">
        <v>23</v>
      </c>
      <c r="C8" s="3" t="s">
        <v>31</v>
      </c>
      <c r="D8" s="5"/>
      <c r="E8" s="3">
        <v>3</v>
      </c>
      <c r="F8" s="5"/>
      <c r="G8" s="3"/>
      <c r="H8" s="3">
        <v>15</v>
      </c>
      <c r="I8" s="3"/>
      <c r="J8" s="5"/>
      <c r="K8" s="3">
        <f>SUM(G8:J8)</f>
        <v>15</v>
      </c>
    </row>
    <row r="9" spans="1:11">
      <c r="A9" s="3">
        <v>154</v>
      </c>
      <c r="B9" s="3" t="s">
        <v>27</v>
      </c>
      <c r="C9" s="3" t="s">
        <v>28</v>
      </c>
      <c r="D9" s="5"/>
      <c r="E9" s="3">
        <f>1+1</f>
        <v>2</v>
      </c>
      <c r="F9" s="5"/>
      <c r="G9" s="3">
        <f>2+3</f>
        <v>5</v>
      </c>
      <c r="H9" s="3">
        <f>3+3</f>
        <v>6</v>
      </c>
      <c r="I9" s="3">
        <f>2+0</f>
        <v>2</v>
      </c>
      <c r="J9" s="5"/>
      <c r="K9" s="3">
        <f>SUM(G9:J9)</f>
        <v>13</v>
      </c>
    </row>
    <row r="10" spans="1:11">
      <c r="A10" s="3">
        <v>204</v>
      </c>
      <c r="B10" s="3" t="s">
        <v>21</v>
      </c>
      <c r="C10" s="3" t="s">
        <v>22</v>
      </c>
      <c r="D10" s="5"/>
      <c r="E10" s="3">
        <v>1</v>
      </c>
      <c r="F10" s="5"/>
      <c r="G10" s="3">
        <f>3+3</f>
        <v>6</v>
      </c>
      <c r="H10" s="3">
        <f>4+2</f>
        <v>6</v>
      </c>
      <c r="I10" s="3"/>
      <c r="J10" s="5"/>
      <c r="K10" s="3">
        <f>SUM(G10:J10)</f>
        <v>12</v>
      </c>
    </row>
    <row r="11" spans="1:11">
      <c r="A11" s="3">
        <v>137</v>
      </c>
      <c r="B11" s="3" t="s">
        <v>29</v>
      </c>
      <c r="C11" s="3" t="s">
        <v>30</v>
      </c>
      <c r="D11" s="5"/>
      <c r="E11" s="3">
        <v>1</v>
      </c>
      <c r="F11" s="5"/>
      <c r="G11" s="3">
        <f>2+3+3</f>
        <v>8</v>
      </c>
      <c r="H11" s="3">
        <f>1+1+2</f>
        <v>4</v>
      </c>
      <c r="I11" s="3"/>
      <c r="J11" s="5"/>
      <c r="K11" s="3">
        <f>SUM(G11:J11)</f>
        <v>12</v>
      </c>
    </row>
    <row r="12" spans="1:11">
      <c r="A12" s="10">
        <v>485</v>
      </c>
      <c r="B12" s="10" t="s">
        <v>266</v>
      </c>
      <c r="C12" s="10" t="s">
        <v>267</v>
      </c>
      <c r="D12" s="5"/>
      <c r="E12" s="10">
        <v>1</v>
      </c>
      <c r="F12" s="5"/>
      <c r="G12" s="3"/>
      <c r="H12" s="3">
        <v>7</v>
      </c>
      <c r="I12" s="3"/>
      <c r="J12" s="5"/>
      <c r="K12" s="3">
        <f>SUM(G12:J12)</f>
        <v>7</v>
      </c>
    </row>
    <row r="13" spans="1:11">
      <c r="A13" s="3">
        <v>231</v>
      </c>
      <c r="B13" s="3" t="s">
        <v>32</v>
      </c>
      <c r="C13" s="3" t="s">
        <v>33</v>
      </c>
      <c r="D13" s="5"/>
      <c r="E13" s="3">
        <v>1</v>
      </c>
      <c r="F13" s="5"/>
      <c r="G13" s="3">
        <v>0</v>
      </c>
      <c r="H13" s="3">
        <f>2+3</f>
        <v>5</v>
      </c>
      <c r="I13" s="3"/>
      <c r="J13" s="5"/>
      <c r="K13" s="3">
        <f>SUM(G13:J13)</f>
        <v>5</v>
      </c>
    </row>
    <row r="14" spans="1:11">
      <c r="A14" s="3"/>
      <c r="B14" s="10" t="s">
        <v>301</v>
      </c>
      <c r="C14" s="3"/>
      <c r="D14" s="3"/>
      <c r="E14" s="3"/>
      <c r="F14" s="3"/>
      <c r="G14" s="3"/>
      <c r="H14" s="3">
        <v>4</v>
      </c>
      <c r="I14" s="3"/>
      <c r="J14" s="3"/>
      <c r="K14" s="3">
        <f>SUM(G14:J14)</f>
        <v>4</v>
      </c>
    </row>
    <row r="15" spans="1:11">
      <c r="A15">
        <v>153</v>
      </c>
      <c r="B15" s="16" t="s">
        <v>34</v>
      </c>
      <c r="C15" t="s">
        <v>35</v>
      </c>
      <c r="D15" s="17"/>
      <c r="E15">
        <v>1</v>
      </c>
      <c r="F15" s="17"/>
      <c r="G15">
        <v>1</v>
      </c>
      <c r="H15">
        <v>1</v>
      </c>
      <c r="I15">
        <v>1</v>
      </c>
      <c r="J15" s="17"/>
      <c r="K15" s="3">
        <f>SUM(G15:J15)</f>
        <v>3</v>
      </c>
    </row>
  </sheetData>
  <sortState ref="A2:K15">
    <sortCondition descending="1" ref="K2:K15"/>
  </sortState>
  <pageMargins left="0.7" right="0.7" top="0.75" bottom="0.75" header="0.3" footer="0.3"/>
  <pageSetup fitToHeight="0" orientation="landscape" r:id="rId1"/>
  <headerFooter>
    <oddHeader>&amp;C&amp;"-,Bold"&amp;UWalk/Trot 19 &amp; Over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workbookViewId="0">
      <selection activeCell="K20" sqref="K20"/>
    </sheetView>
  </sheetViews>
  <sheetFormatPr defaultRowHeight="14.4"/>
  <cols>
    <col min="1" max="1" width="4.109375" bestFit="1" customWidth="1"/>
    <col min="2" max="2" width="21.44140625" bestFit="1" customWidth="1"/>
    <col min="3" max="3" width="21.5546875" bestFit="1" customWidth="1"/>
    <col min="4" max="4" width="2.5546875" customWidth="1"/>
    <col min="5" max="5" width="10.5546875" bestFit="1" customWidth="1"/>
    <col min="6" max="6" width="3" customWidth="1"/>
    <col min="7" max="7" width="8.6640625" customWidth="1"/>
    <col min="8" max="8" width="8.6640625" bestFit="1" customWidth="1"/>
    <col min="9" max="9" width="3.6640625" customWidth="1"/>
    <col min="10" max="10" width="5.44140625" bestFit="1" customWidth="1"/>
  </cols>
  <sheetData>
    <row r="1" spans="1:10" s="1" customFormat="1">
      <c r="A1" s="2" t="s">
        <v>0</v>
      </c>
      <c r="B1" s="2" t="s">
        <v>1</v>
      </c>
      <c r="C1" s="2" t="s">
        <v>2</v>
      </c>
      <c r="D1" s="4"/>
      <c r="E1" s="2" t="s">
        <v>3</v>
      </c>
      <c r="F1" s="4"/>
      <c r="G1" s="2" t="s">
        <v>4</v>
      </c>
      <c r="H1" s="2" t="s">
        <v>5</v>
      </c>
      <c r="I1" s="4"/>
      <c r="J1" s="2" t="s">
        <v>7</v>
      </c>
    </row>
    <row r="2" spans="1:10">
      <c r="A2" s="3">
        <v>260</v>
      </c>
      <c r="B2" s="3" t="s">
        <v>36</v>
      </c>
      <c r="C2" s="3" t="s">
        <v>37</v>
      </c>
      <c r="D2" s="5"/>
      <c r="E2" s="3">
        <v>1</v>
      </c>
      <c r="F2" s="5"/>
      <c r="G2" s="3">
        <f>2+3+3</f>
        <v>8</v>
      </c>
      <c r="H2" s="3">
        <f>4+5+5</f>
        <v>14</v>
      </c>
      <c r="I2" s="5"/>
      <c r="J2" s="3">
        <f t="shared" ref="J2:J10" si="0">SUM(G2:H2)</f>
        <v>22</v>
      </c>
    </row>
    <row r="3" spans="1:10">
      <c r="A3" s="3">
        <v>328</v>
      </c>
      <c r="B3" s="3" t="s">
        <v>38</v>
      </c>
      <c r="C3" s="3" t="s">
        <v>39</v>
      </c>
      <c r="D3" s="5"/>
      <c r="E3" s="3">
        <v>1</v>
      </c>
      <c r="F3" s="5"/>
      <c r="G3" s="3"/>
      <c r="H3" s="3">
        <f>6+6+6</f>
        <v>18</v>
      </c>
      <c r="I3" s="5"/>
      <c r="J3" s="3">
        <f t="shared" si="0"/>
        <v>18</v>
      </c>
    </row>
    <row r="4" spans="1:10">
      <c r="A4" s="3">
        <v>256</v>
      </c>
      <c r="B4" s="3" t="s">
        <v>40</v>
      </c>
      <c r="C4" s="3" t="s">
        <v>41</v>
      </c>
      <c r="D4" s="5"/>
      <c r="E4" s="3">
        <v>2</v>
      </c>
      <c r="F4" s="5"/>
      <c r="G4" s="3">
        <v>2</v>
      </c>
      <c r="H4" s="3">
        <v>16</v>
      </c>
      <c r="I4" s="5"/>
      <c r="J4" s="3">
        <f t="shared" si="0"/>
        <v>18</v>
      </c>
    </row>
    <row r="5" spans="1:10">
      <c r="A5" s="3">
        <v>206</v>
      </c>
      <c r="B5" s="3" t="s">
        <v>47</v>
      </c>
      <c r="C5" s="3" t="s">
        <v>268</v>
      </c>
      <c r="D5" s="5"/>
      <c r="E5" s="3">
        <v>2</v>
      </c>
      <c r="F5" s="5"/>
      <c r="G5" s="3">
        <v>6</v>
      </c>
      <c r="H5" s="3">
        <v>10</v>
      </c>
      <c r="I5" s="5"/>
      <c r="J5" s="3">
        <f t="shared" si="0"/>
        <v>16</v>
      </c>
    </row>
    <row r="6" spans="1:10">
      <c r="A6" s="3">
        <v>331</v>
      </c>
      <c r="B6" s="3" t="s">
        <v>42</v>
      </c>
      <c r="C6" s="3" t="s">
        <v>43</v>
      </c>
      <c r="D6" s="5"/>
      <c r="E6" s="3">
        <v>1</v>
      </c>
      <c r="F6" s="5"/>
      <c r="G6" s="3"/>
      <c r="H6" s="3">
        <f>3+3+3</f>
        <v>9</v>
      </c>
      <c r="I6" s="5"/>
      <c r="J6" s="3">
        <f t="shared" si="0"/>
        <v>9</v>
      </c>
    </row>
    <row r="7" spans="1:10">
      <c r="A7" s="3">
        <v>252</v>
      </c>
      <c r="B7" s="3" t="s">
        <v>44</v>
      </c>
      <c r="C7" s="3"/>
      <c r="D7" s="5"/>
      <c r="E7" s="3">
        <v>1</v>
      </c>
      <c r="F7" s="5"/>
      <c r="G7" s="3">
        <f>3+2+2</f>
        <v>7</v>
      </c>
      <c r="H7" s="3"/>
      <c r="I7" s="5"/>
      <c r="J7" s="3">
        <f t="shared" si="0"/>
        <v>7</v>
      </c>
    </row>
    <row r="8" spans="1:10">
      <c r="A8" s="3">
        <v>342</v>
      </c>
      <c r="B8" s="3" t="s">
        <v>207</v>
      </c>
      <c r="C8" s="3" t="s">
        <v>269</v>
      </c>
      <c r="D8" s="5"/>
      <c r="E8" s="3">
        <v>1</v>
      </c>
      <c r="F8" s="5"/>
      <c r="G8" s="3">
        <v>4</v>
      </c>
      <c r="H8" s="3">
        <v>3</v>
      </c>
      <c r="I8" s="5"/>
      <c r="J8" s="3">
        <f t="shared" si="0"/>
        <v>7</v>
      </c>
    </row>
    <row r="9" spans="1:10">
      <c r="A9" s="3">
        <v>141</v>
      </c>
      <c r="B9" s="3" t="s">
        <v>45</v>
      </c>
      <c r="C9" s="3" t="s">
        <v>46</v>
      </c>
      <c r="D9" s="5"/>
      <c r="E9" s="3">
        <v>1</v>
      </c>
      <c r="F9" s="5"/>
      <c r="G9" s="3"/>
      <c r="H9" s="3">
        <f>1+2+2</f>
        <v>5</v>
      </c>
      <c r="I9" s="5"/>
      <c r="J9" s="3">
        <f t="shared" si="0"/>
        <v>5</v>
      </c>
    </row>
    <row r="10" spans="1:10">
      <c r="A10" s="3">
        <v>251</v>
      </c>
      <c r="B10" s="3" t="s">
        <v>48</v>
      </c>
      <c r="C10" s="3"/>
      <c r="D10" s="5"/>
      <c r="E10" s="3">
        <v>1</v>
      </c>
      <c r="F10" s="5"/>
      <c r="G10" s="3">
        <f>1+1+1</f>
        <v>3</v>
      </c>
      <c r="H10" s="3"/>
      <c r="I10" s="5"/>
      <c r="J10" s="3">
        <f t="shared" si="0"/>
        <v>3</v>
      </c>
    </row>
  </sheetData>
  <sortState ref="A2:J10">
    <sortCondition descending="1" ref="J2:J10"/>
  </sortState>
  <pageMargins left="0.7" right="0.7" top="0.75" bottom="0.75" header="0.3" footer="0.3"/>
  <pageSetup fitToHeight="0" orientation="landscape" horizontalDpi="4294967293" verticalDpi="4294967293" r:id="rId1"/>
  <headerFooter>
    <oddHeader>&amp;C&amp;"-,Bold"&amp;UGreen Horse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workbookViewId="0">
      <pane ySplit="1" topLeftCell="A2" activePane="bottomLeft" state="frozen"/>
      <selection pane="bottomLeft" activeCell="Q22" sqref="Q22"/>
    </sheetView>
  </sheetViews>
  <sheetFormatPr defaultRowHeight="14.4"/>
  <cols>
    <col min="1" max="1" width="4.109375" hidden="1" customWidth="1"/>
    <col min="2" max="2" width="14.33203125" bestFit="1" customWidth="1"/>
    <col min="3" max="3" width="19.88671875" bestFit="1" customWidth="1"/>
    <col min="4" max="4" width="2.44140625" customWidth="1"/>
    <col min="5" max="5" width="10.44140625" bestFit="1" customWidth="1"/>
    <col min="6" max="6" width="3.109375" customWidth="1"/>
    <col min="7" max="7" width="4.88671875" bestFit="1" customWidth="1"/>
    <col min="8" max="8" width="8.109375" bestFit="1" customWidth="1"/>
    <col min="9" max="9" width="6.88671875" bestFit="1" customWidth="1"/>
    <col min="10" max="10" width="13.5546875" bestFit="1" customWidth="1"/>
    <col min="11" max="11" width="14" bestFit="1" customWidth="1"/>
    <col min="12" max="12" width="8.88671875" bestFit="1" customWidth="1"/>
    <col min="13" max="13" width="8.88671875" customWidth="1"/>
    <col min="14" max="14" width="9.33203125" bestFit="1" customWidth="1"/>
    <col min="15" max="15" width="3.109375" customWidth="1"/>
    <col min="16" max="16" width="5.44140625" bestFit="1" customWidth="1"/>
  </cols>
  <sheetData>
    <row r="1" spans="1:16" s="1" customFormat="1">
      <c r="A1" s="2" t="s">
        <v>0</v>
      </c>
      <c r="B1" s="2" t="s">
        <v>1</v>
      </c>
      <c r="C1" s="2" t="s">
        <v>2</v>
      </c>
      <c r="D1" s="4"/>
      <c r="E1" s="2" t="s">
        <v>3</v>
      </c>
      <c r="F1" s="4"/>
      <c r="G1" s="2" t="s">
        <v>4</v>
      </c>
      <c r="H1" s="2" t="s">
        <v>14</v>
      </c>
      <c r="I1" s="2" t="s">
        <v>49</v>
      </c>
      <c r="J1" s="2" t="s">
        <v>50</v>
      </c>
      <c r="K1" s="2" t="s">
        <v>6</v>
      </c>
      <c r="L1" s="2" t="s">
        <v>51</v>
      </c>
      <c r="M1" s="2" t="s">
        <v>105</v>
      </c>
      <c r="N1" s="2" t="s">
        <v>52</v>
      </c>
      <c r="O1" s="4"/>
      <c r="P1" s="2" t="s">
        <v>7</v>
      </c>
    </row>
    <row r="2" spans="1:16">
      <c r="A2" s="3">
        <v>797</v>
      </c>
      <c r="B2" s="3" t="s">
        <v>53</v>
      </c>
      <c r="C2" s="3" t="s">
        <v>16</v>
      </c>
      <c r="D2" s="5"/>
      <c r="E2" s="3">
        <v>5</v>
      </c>
      <c r="F2" s="5"/>
      <c r="G2" s="3">
        <v>13</v>
      </c>
      <c r="H2" s="3">
        <v>39</v>
      </c>
      <c r="I2" s="3">
        <v>13</v>
      </c>
      <c r="J2" s="3">
        <v>8</v>
      </c>
      <c r="K2" s="3">
        <v>20</v>
      </c>
      <c r="L2" s="3"/>
      <c r="M2" s="3">
        <v>6</v>
      </c>
      <c r="N2" s="3"/>
      <c r="O2" s="5"/>
      <c r="P2" s="3">
        <f>SUM(G2:N2)</f>
        <v>99</v>
      </c>
    </row>
    <row r="3" spans="1:16">
      <c r="A3" s="3">
        <v>329</v>
      </c>
      <c r="B3" s="3" t="s">
        <v>54</v>
      </c>
      <c r="C3" s="3" t="s">
        <v>55</v>
      </c>
      <c r="D3" s="5"/>
      <c r="E3" s="3">
        <v>1</v>
      </c>
      <c r="F3" s="5"/>
      <c r="G3" s="3"/>
      <c r="H3" s="3">
        <f>4+5+5</f>
        <v>14</v>
      </c>
      <c r="I3" s="3">
        <v>18</v>
      </c>
      <c r="J3" s="3"/>
      <c r="K3" s="3"/>
      <c r="L3" s="3"/>
      <c r="M3" s="3"/>
      <c r="N3" s="3"/>
      <c r="O3" s="5"/>
      <c r="P3" s="3">
        <f>SUM(G3:N3)</f>
        <v>32</v>
      </c>
    </row>
    <row r="4" spans="1:16">
      <c r="A4" s="3">
        <v>378</v>
      </c>
      <c r="B4" s="3" t="s">
        <v>80</v>
      </c>
      <c r="C4" s="3" t="s">
        <v>81</v>
      </c>
      <c r="D4" s="5"/>
      <c r="E4" s="3">
        <v>2</v>
      </c>
      <c r="F4" s="5"/>
      <c r="G4" s="3">
        <v>2</v>
      </c>
      <c r="H4" s="3">
        <v>10</v>
      </c>
      <c r="I4" s="3">
        <v>2</v>
      </c>
      <c r="J4" s="3"/>
      <c r="K4" s="3"/>
      <c r="L4" s="3"/>
      <c r="M4" s="3">
        <v>4</v>
      </c>
      <c r="N4" s="3">
        <v>10</v>
      </c>
      <c r="O4" s="5"/>
      <c r="P4" s="3">
        <f>SUM(G4:N4)</f>
        <v>28</v>
      </c>
    </row>
    <row r="5" spans="1:16">
      <c r="A5" s="3">
        <v>221</v>
      </c>
      <c r="B5" s="3" t="s">
        <v>56</v>
      </c>
      <c r="C5" s="3" t="s">
        <v>57</v>
      </c>
      <c r="D5" s="5"/>
      <c r="E5" s="3">
        <v>1</v>
      </c>
      <c r="F5" s="5"/>
      <c r="G5" s="3">
        <f>3+3</f>
        <v>6</v>
      </c>
      <c r="H5" s="3">
        <f>4+4</f>
        <v>8</v>
      </c>
      <c r="I5" s="3">
        <f>1+2</f>
        <v>3</v>
      </c>
      <c r="J5" s="3">
        <f>2+2</f>
        <v>4</v>
      </c>
      <c r="K5" s="3"/>
      <c r="L5" s="3">
        <f>2+2</f>
        <v>4</v>
      </c>
      <c r="M5" s="3"/>
      <c r="N5" s="3"/>
      <c r="O5" s="5"/>
      <c r="P5" s="3">
        <f>SUM(G5:N5)</f>
        <v>25</v>
      </c>
    </row>
    <row r="6" spans="1:16">
      <c r="A6" s="3">
        <v>404</v>
      </c>
      <c r="B6" s="3" t="s">
        <v>58</v>
      </c>
      <c r="C6" s="3" t="s">
        <v>59</v>
      </c>
      <c r="D6" s="5"/>
      <c r="E6" s="3">
        <v>1</v>
      </c>
      <c r="F6" s="5"/>
      <c r="G6" s="3">
        <f>1+1+1</f>
        <v>3</v>
      </c>
      <c r="H6" s="3">
        <f>1+3+2</f>
        <v>6</v>
      </c>
      <c r="I6" s="3">
        <f>2+2+4</f>
        <v>8</v>
      </c>
      <c r="J6" s="3"/>
      <c r="K6" s="3"/>
      <c r="L6" s="3"/>
      <c r="M6" s="3"/>
      <c r="N6" s="3"/>
      <c r="O6" s="5"/>
      <c r="P6" s="3">
        <f>SUM(G6:N6)</f>
        <v>17</v>
      </c>
    </row>
    <row r="7" spans="1:16">
      <c r="A7" s="3">
        <v>136</v>
      </c>
      <c r="B7" s="3" t="s">
        <v>66</v>
      </c>
      <c r="C7" s="3" t="s">
        <v>67</v>
      </c>
      <c r="D7" s="5"/>
      <c r="E7" s="3">
        <v>1</v>
      </c>
      <c r="F7" s="5"/>
      <c r="G7" s="3"/>
      <c r="H7" s="3"/>
      <c r="I7" s="3">
        <f>3+3+2</f>
        <v>8</v>
      </c>
      <c r="J7" s="3"/>
      <c r="K7" s="3"/>
      <c r="L7" s="3"/>
      <c r="M7" s="3">
        <v>8</v>
      </c>
      <c r="N7" s="3"/>
      <c r="O7" s="5"/>
      <c r="P7" s="3">
        <f>SUM(G7:N7)</f>
        <v>16</v>
      </c>
    </row>
    <row r="8" spans="1:16">
      <c r="A8" s="3">
        <v>332</v>
      </c>
      <c r="B8" s="3" t="s">
        <v>60</v>
      </c>
      <c r="C8" s="3" t="s">
        <v>61</v>
      </c>
      <c r="D8" s="5"/>
      <c r="E8" s="3">
        <v>1</v>
      </c>
      <c r="F8" s="5"/>
      <c r="G8" s="3"/>
      <c r="H8" s="3">
        <f>2+1+1</f>
        <v>4</v>
      </c>
      <c r="I8" s="3"/>
      <c r="J8" s="3"/>
      <c r="K8" s="3">
        <f>3+3+3</f>
        <v>9</v>
      </c>
      <c r="L8" s="3"/>
      <c r="M8" s="3"/>
      <c r="N8" s="3"/>
      <c r="O8" s="5"/>
      <c r="P8" s="3">
        <f>SUM(G8:N8)</f>
        <v>13</v>
      </c>
    </row>
    <row r="9" spans="1:16">
      <c r="A9" s="3">
        <v>222</v>
      </c>
      <c r="B9" s="3" t="s">
        <v>56</v>
      </c>
      <c r="C9" s="3" t="s">
        <v>62</v>
      </c>
      <c r="D9" s="5"/>
      <c r="E9" s="3">
        <v>1</v>
      </c>
      <c r="F9" s="5"/>
      <c r="G9" s="3">
        <v>0</v>
      </c>
      <c r="H9" s="3"/>
      <c r="I9" s="3">
        <f>2+1</f>
        <v>3</v>
      </c>
      <c r="J9" s="3">
        <f>1+1</f>
        <v>2</v>
      </c>
      <c r="K9" s="3">
        <f>2+2</f>
        <v>4</v>
      </c>
      <c r="L9" s="3">
        <f>1+1</f>
        <v>2</v>
      </c>
      <c r="M9" s="3"/>
      <c r="N9" s="3"/>
      <c r="O9" s="5"/>
      <c r="P9" s="3">
        <f>SUM(G9:N9)</f>
        <v>11</v>
      </c>
    </row>
    <row r="10" spans="1:16">
      <c r="A10" s="3">
        <v>252</v>
      </c>
      <c r="B10" s="3" t="s">
        <v>44</v>
      </c>
      <c r="C10" s="3" t="s">
        <v>63</v>
      </c>
      <c r="D10" s="5"/>
      <c r="E10" s="3">
        <v>1</v>
      </c>
      <c r="F10" s="5"/>
      <c r="G10" s="3"/>
      <c r="H10" s="3"/>
      <c r="I10" s="3"/>
      <c r="J10" s="3"/>
      <c r="K10" s="3"/>
      <c r="L10" s="3"/>
      <c r="M10" s="3"/>
      <c r="N10" s="3">
        <f>3+3+3</f>
        <v>9</v>
      </c>
      <c r="O10" s="5"/>
      <c r="P10" s="3">
        <f>SUM(G10:N10)</f>
        <v>9</v>
      </c>
    </row>
    <row r="11" spans="1:16">
      <c r="A11" s="3">
        <v>330</v>
      </c>
      <c r="B11" s="3" t="s">
        <v>64</v>
      </c>
      <c r="C11" s="3" t="s">
        <v>65</v>
      </c>
      <c r="D11" s="5"/>
      <c r="E11" s="3">
        <v>1</v>
      </c>
      <c r="F11" s="5"/>
      <c r="G11" s="3"/>
      <c r="H11" s="3">
        <f>3+2+3</f>
        <v>8</v>
      </c>
      <c r="I11" s="3"/>
      <c r="J11" s="3"/>
      <c r="K11" s="3"/>
      <c r="L11" s="3"/>
      <c r="M11" s="3"/>
      <c r="N11" s="3"/>
      <c r="O11" s="5"/>
      <c r="P11" s="3">
        <f>SUM(G11:N11)</f>
        <v>8</v>
      </c>
    </row>
    <row r="12" spans="1:16">
      <c r="A12" s="3">
        <v>778</v>
      </c>
      <c r="B12" s="3" t="s">
        <v>270</v>
      </c>
      <c r="C12" s="3"/>
      <c r="D12" s="5"/>
      <c r="E12" s="3">
        <v>1</v>
      </c>
      <c r="F12" s="5"/>
      <c r="G12" s="3"/>
      <c r="H12" s="3">
        <v>7</v>
      </c>
      <c r="I12" s="3"/>
      <c r="J12" s="3"/>
      <c r="K12" s="3"/>
      <c r="L12" s="3"/>
      <c r="M12" s="3"/>
      <c r="N12" s="3"/>
      <c r="O12" s="5"/>
      <c r="P12" s="3">
        <f>SUM(G12:N12)</f>
        <v>7</v>
      </c>
    </row>
    <row r="13" spans="1:16">
      <c r="A13" s="3">
        <v>251</v>
      </c>
      <c r="B13" s="3" t="s">
        <v>48</v>
      </c>
      <c r="C13" s="3" t="s">
        <v>68</v>
      </c>
      <c r="D13" s="5"/>
      <c r="E13" s="3">
        <v>1</v>
      </c>
      <c r="F13" s="5"/>
      <c r="G13" s="3"/>
      <c r="H13" s="3"/>
      <c r="I13" s="3"/>
      <c r="J13" s="3"/>
      <c r="K13" s="3">
        <f>2+2+2</f>
        <v>6</v>
      </c>
      <c r="L13" s="3"/>
      <c r="M13" s="3"/>
      <c r="N13" s="3"/>
      <c r="O13" s="5"/>
      <c r="P13" s="3">
        <f>SUM(G13:N13)</f>
        <v>6</v>
      </c>
    </row>
    <row r="14" spans="1:16">
      <c r="A14" s="3">
        <v>214</v>
      </c>
      <c r="B14" s="3" t="s">
        <v>69</v>
      </c>
      <c r="C14" s="3" t="s">
        <v>70</v>
      </c>
      <c r="D14" s="5"/>
      <c r="E14" s="3">
        <v>1</v>
      </c>
      <c r="F14" s="5"/>
      <c r="G14" s="3">
        <v>0</v>
      </c>
      <c r="H14" s="3">
        <f>3+3</f>
        <v>6</v>
      </c>
      <c r="I14" s="3"/>
      <c r="J14" s="3"/>
      <c r="K14" s="3"/>
      <c r="L14" s="3"/>
      <c r="M14" s="3"/>
      <c r="N14" s="3"/>
      <c r="O14" s="5"/>
      <c r="P14" s="3">
        <f>SUM(G14:N14)</f>
        <v>6</v>
      </c>
    </row>
    <row r="15" spans="1:16">
      <c r="A15" s="3">
        <v>328</v>
      </c>
      <c r="B15" s="3" t="s">
        <v>73</v>
      </c>
      <c r="C15" s="3" t="s">
        <v>39</v>
      </c>
      <c r="D15" s="5"/>
      <c r="E15" s="3">
        <v>1</v>
      </c>
      <c r="F15" s="5"/>
      <c r="G15" s="3"/>
      <c r="H15" s="3"/>
      <c r="I15" s="3">
        <v>6</v>
      </c>
      <c r="J15" s="3"/>
      <c r="K15" s="3"/>
      <c r="L15" s="3"/>
      <c r="M15" s="3"/>
      <c r="N15" s="3"/>
      <c r="O15" s="5"/>
      <c r="P15" s="3">
        <f>SUM(G15:N15)</f>
        <v>6</v>
      </c>
    </row>
    <row r="16" spans="1:16">
      <c r="A16" s="3">
        <v>241</v>
      </c>
      <c r="B16" s="3" t="s">
        <v>71</v>
      </c>
      <c r="C16" s="3" t="s">
        <v>72</v>
      </c>
      <c r="D16" s="5"/>
      <c r="E16" s="3">
        <v>1</v>
      </c>
      <c r="F16" s="5"/>
      <c r="G16" s="3"/>
      <c r="H16" s="3">
        <f>2+2</f>
        <v>4</v>
      </c>
      <c r="I16" s="3"/>
      <c r="J16" s="3"/>
      <c r="K16" s="3"/>
      <c r="L16" s="3"/>
      <c r="M16" s="3"/>
      <c r="N16" s="3"/>
      <c r="O16" s="5"/>
      <c r="P16" s="3">
        <f>SUM(G16:N16)</f>
        <v>4</v>
      </c>
    </row>
    <row r="17" spans="1:16">
      <c r="A17" s="3">
        <v>351</v>
      </c>
      <c r="B17" s="3" t="s">
        <v>74</v>
      </c>
      <c r="C17" s="3" t="s">
        <v>75</v>
      </c>
      <c r="D17" s="5"/>
      <c r="E17" s="3">
        <v>1</v>
      </c>
      <c r="F17" s="5"/>
      <c r="G17" s="3">
        <v>2</v>
      </c>
      <c r="H17" s="3"/>
      <c r="I17" s="3"/>
      <c r="J17" s="3"/>
      <c r="K17" s="3"/>
      <c r="L17" s="3"/>
      <c r="M17" s="3"/>
      <c r="N17" s="3"/>
      <c r="O17" s="5"/>
      <c r="P17" s="3">
        <f>SUM(G17:N17)</f>
        <v>2</v>
      </c>
    </row>
    <row r="18" spans="1:16">
      <c r="A18" s="3">
        <v>237</v>
      </c>
      <c r="B18" s="3" t="s">
        <v>76</v>
      </c>
      <c r="C18" s="3" t="s">
        <v>77</v>
      </c>
      <c r="D18" s="5"/>
      <c r="E18" s="3">
        <v>1</v>
      </c>
      <c r="F18" s="5"/>
      <c r="G18" s="3"/>
      <c r="H18" s="3">
        <f>1+1</f>
        <v>2</v>
      </c>
      <c r="I18" s="3"/>
      <c r="J18" s="3"/>
      <c r="K18" s="3"/>
      <c r="L18" s="3"/>
      <c r="M18" s="3"/>
      <c r="N18" s="3"/>
      <c r="O18" s="5"/>
      <c r="P18" s="3">
        <f>SUM(G18:N18)</f>
        <v>2</v>
      </c>
    </row>
    <row r="19" spans="1:16">
      <c r="A19" s="3">
        <v>109</v>
      </c>
      <c r="B19" s="3" t="s">
        <v>78</v>
      </c>
      <c r="C19" s="3" t="s">
        <v>79</v>
      </c>
      <c r="D19" s="5"/>
      <c r="E19" s="3">
        <v>1</v>
      </c>
      <c r="F19" s="5"/>
      <c r="G19" s="3">
        <v>1</v>
      </c>
      <c r="H19" s="3"/>
      <c r="I19" s="3"/>
      <c r="J19" s="3"/>
      <c r="K19" s="3">
        <v>1</v>
      </c>
      <c r="L19" s="3"/>
      <c r="M19" s="3"/>
      <c r="N19" s="3"/>
      <c r="O19" s="5"/>
      <c r="P19" s="3">
        <f>SUM(G19:N19)</f>
        <v>2</v>
      </c>
    </row>
    <row r="20" spans="1:16">
      <c r="A20" s="3">
        <v>467</v>
      </c>
      <c r="B20" s="3" t="s">
        <v>271</v>
      </c>
      <c r="C20" s="3" t="s">
        <v>272</v>
      </c>
      <c r="D20" s="5"/>
      <c r="E20" s="3">
        <v>1</v>
      </c>
      <c r="F20" s="5"/>
      <c r="G20" s="3"/>
      <c r="H20" s="3">
        <v>2</v>
      </c>
      <c r="I20" s="3"/>
      <c r="J20" s="3"/>
      <c r="K20" s="3"/>
      <c r="L20" s="3"/>
      <c r="M20" s="3"/>
      <c r="N20" s="3"/>
      <c r="O20" s="5"/>
      <c r="P20" s="3">
        <f>SUM(G20:N20)</f>
        <v>2</v>
      </c>
    </row>
  </sheetData>
  <sortState ref="A2:P20">
    <sortCondition descending="1" ref="P2:P20"/>
  </sortState>
  <pageMargins left="0.7" right="0.7" top="0.75" bottom="0.75" header="0.3" footer="0.3"/>
  <pageSetup scale="95" fitToHeight="0" orientation="landscape" r:id="rId1"/>
  <headerFooter>
    <oddHeader>&amp;C&amp;"-,Bold"&amp;UAmateur Select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opLeftCell="B1" workbookViewId="0">
      <selection activeCell="I21" sqref="I21"/>
    </sheetView>
  </sheetViews>
  <sheetFormatPr defaultRowHeight="14.4"/>
  <cols>
    <col min="1" max="1" width="4" hidden="1" customWidth="1"/>
    <col min="2" max="2" width="20.44140625" bestFit="1" customWidth="1"/>
    <col min="3" max="3" width="21.44140625" bestFit="1" customWidth="1"/>
    <col min="4" max="4" width="2.6640625" customWidth="1"/>
    <col min="5" max="5" width="10.44140625" bestFit="1" customWidth="1"/>
    <col min="6" max="6" width="2.88671875" customWidth="1"/>
    <col min="7" max="7" width="4.88671875" bestFit="1" customWidth="1"/>
    <col min="8" max="8" width="8.109375" bestFit="1" customWidth="1"/>
    <col min="9" max="9" width="6.88671875" bestFit="1" customWidth="1"/>
    <col min="10" max="10" width="13.5546875" bestFit="1" customWidth="1"/>
    <col min="11" max="11" width="14" bestFit="1" customWidth="1"/>
    <col min="12" max="12" width="14" customWidth="1"/>
    <col min="13" max="13" width="9.33203125" bestFit="1" customWidth="1"/>
    <col min="14" max="14" width="3.6640625" customWidth="1"/>
    <col min="15" max="15" width="5.44140625" bestFit="1" customWidth="1"/>
  </cols>
  <sheetData>
    <row r="1" spans="1:15" s="6" customFormat="1">
      <c r="A1" s="7" t="s">
        <v>0</v>
      </c>
      <c r="B1" s="7" t="s">
        <v>1</v>
      </c>
      <c r="C1" s="7" t="s">
        <v>2</v>
      </c>
      <c r="D1" s="8"/>
      <c r="E1" s="7" t="s">
        <v>3</v>
      </c>
      <c r="F1" s="8"/>
      <c r="G1" s="7" t="s">
        <v>4</v>
      </c>
      <c r="H1" s="7" t="s">
        <v>14</v>
      </c>
      <c r="I1" s="7" t="s">
        <v>49</v>
      </c>
      <c r="J1" s="7" t="s">
        <v>50</v>
      </c>
      <c r="K1" s="7" t="s">
        <v>6</v>
      </c>
      <c r="L1" s="7" t="s">
        <v>51</v>
      </c>
      <c r="M1" s="7" t="s">
        <v>52</v>
      </c>
      <c r="N1" s="8"/>
      <c r="O1" s="7" t="s">
        <v>7</v>
      </c>
    </row>
    <row r="2" spans="1:15">
      <c r="A2" s="3">
        <v>234</v>
      </c>
      <c r="B2" s="3" t="s">
        <v>85</v>
      </c>
      <c r="C2" s="3" t="s">
        <v>86</v>
      </c>
      <c r="D2" s="5"/>
      <c r="E2" s="3">
        <v>5</v>
      </c>
      <c r="F2" s="5"/>
      <c r="G2" s="3">
        <v>39</v>
      </c>
      <c r="H2" s="3">
        <v>39</v>
      </c>
      <c r="I2" s="3">
        <v>25</v>
      </c>
      <c r="J2" s="3">
        <v>15</v>
      </c>
      <c r="K2" s="3">
        <v>24</v>
      </c>
      <c r="L2" s="3"/>
      <c r="M2" s="3">
        <v>4</v>
      </c>
      <c r="N2" s="5"/>
      <c r="O2" s="3">
        <f t="shared" ref="O2:O15" si="0">SUM(G2:M2)</f>
        <v>146</v>
      </c>
    </row>
    <row r="3" spans="1:15">
      <c r="A3" s="3">
        <v>217</v>
      </c>
      <c r="B3" s="3" t="s">
        <v>83</v>
      </c>
      <c r="C3" s="3" t="s">
        <v>84</v>
      </c>
      <c r="D3" s="5"/>
      <c r="E3" s="3">
        <f>1+1</f>
        <v>2</v>
      </c>
      <c r="F3" s="5"/>
      <c r="G3" s="3">
        <v>37</v>
      </c>
      <c r="H3" s="3">
        <v>32</v>
      </c>
      <c r="I3" s="3">
        <v>17</v>
      </c>
      <c r="J3" s="3"/>
      <c r="K3" s="3">
        <v>29</v>
      </c>
      <c r="L3" s="3">
        <v>11</v>
      </c>
      <c r="M3" s="3">
        <v>18</v>
      </c>
      <c r="N3" s="5"/>
      <c r="O3" s="3">
        <f t="shared" si="0"/>
        <v>144</v>
      </c>
    </row>
    <row r="4" spans="1:15">
      <c r="A4" s="3">
        <v>203</v>
      </c>
      <c r="B4" s="3" t="s">
        <v>82</v>
      </c>
      <c r="C4" s="3" t="s">
        <v>24</v>
      </c>
      <c r="D4" s="5"/>
      <c r="E4" s="3">
        <f>1+1</f>
        <v>2</v>
      </c>
      <c r="F4" s="5"/>
      <c r="G4" s="3">
        <f>3+2+7+7+7</f>
        <v>26</v>
      </c>
      <c r="H4" s="3">
        <f>2+2+9+9+9</f>
        <v>31</v>
      </c>
      <c r="I4" s="3">
        <f>3+3+2</f>
        <v>8</v>
      </c>
      <c r="J4" s="3">
        <f>5+5+5</f>
        <v>15</v>
      </c>
      <c r="K4" s="3">
        <f>1+2+5+5+5</f>
        <v>18</v>
      </c>
      <c r="L4" s="3"/>
      <c r="M4" s="3"/>
      <c r="N4" s="5"/>
      <c r="O4" s="3">
        <f t="shared" si="0"/>
        <v>98</v>
      </c>
    </row>
    <row r="5" spans="1:15">
      <c r="A5" s="3">
        <v>393</v>
      </c>
      <c r="B5" s="3" t="s">
        <v>82</v>
      </c>
      <c r="C5" s="3" t="s">
        <v>31</v>
      </c>
      <c r="D5" s="5"/>
      <c r="E5" s="3">
        <v>3</v>
      </c>
      <c r="F5" s="5"/>
      <c r="G5" s="3">
        <v>19</v>
      </c>
      <c r="H5" s="3">
        <v>23</v>
      </c>
      <c r="I5" s="3">
        <v>4</v>
      </c>
      <c r="J5" s="3">
        <v>19</v>
      </c>
      <c r="K5" s="3">
        <v>14</v>
      </c>
      <c r="L5" s="3"/>
      <c r="M5" s="3"/>
      <c r="N5" s="5"/>
      <c r="O5" s="3">
        <f t="shared" si="0"/>
        <v>79</v>
      </c>
    </row>
    <row r="6" spans="1:15">
      <c r="A6" s="3">
        <v>124</v>
      </c>
      <c r="B6" s="3" t="s">
        <v>89</v>
      </c>
      <c r="C6" s="3" t="s">
        <v>90</v>
      </c>
      <c r="D6" s="5"/>
      <c r="E6" s="3">
        <v>1</v>
      </c>
      <c r="F6" s="5"/>
      <c r="G6" s="3">
        <v>6</v>
      </c>
      <c r="H6" s="3">
        <v>14</v>
      </c>
      <c r="I6" s="3">
        <v>2</v>
      </c>
      <c r="J6" s="3">
        <v>4</v>
      </c>
      <c r="K6" s="3">
        <v>15</v>
      </c>
      <c r="L6" s="3">
        <f>2+2+2</f>
        <v>6</v>
      </c>
      <c r="M6" s="3">
        <v>2</v>
      </c>
      <c r="N6" s="5"/>
      <c r="O6" s="3">
        <f t="shared" si="0"/>
        <v>49</v>
      </c>
    </row>
    <row r="7" spans="1:15">
      <c r="A7" s="3">
        <v>122</v>
      </c>
      <c r="B7" s="3" t="s">
        <v>87</v>
      </c>
      <c r="C7" s="3" t="s">
        <v>88</v>
      </c>
      <c r="D7" s="5"/>
      <c r="E7" s="3">
        <v>1</v>
      </c>
      <c r="F7" s="5"/>
      <c r="G7" s="3">
        <f>6+6+6</f>
        <v>18</v>
      </c>
      <c r="H7" s="3">
        <f>6+6+1</f>
        <v>13</v>
      </c>
      <c r="I7" s="3"/>
      <c r="J7" s="3"/>
      <c r="K7" s="3"/>
      <c r="L7" s="3"/>
      <c r="M7" s="3"/>
      <c r="N7" s="5"/>
      <c r="O7" s="3">
        <f t="shared" si="0"/>
        <v>31</v>
      </c>
    </row>
    <row r="8" spans="1:15">
      <c r="A8" s="3">
        <v>13</v>
      </c>
      <c r="B8" s="3" t="s">
        <v>101</v>
      </c>
      <c r="C8" s="3" t="s">
        <v>102</v>
      </c>
      <c r="D8" s="5"/>
      <c r="E8" s="3">
        <v>1</v>
      </c>
      <c r="F8" s="5"/>
      <c r="G8" s="3"/>
      <c r="H8" s="3"/>
      <c r="I8" s="3">
        <v>18</v>
      </c>
      <c r="J8" s="3"/>
      <c r="K8" s="3"/>
      <c r="L8" s="3">
        <v>11</v>
      </c>
      <c r="M8" s="3"/>
      <c r="N8" s="5"/>
      <c r="O8" s="3">
        <f t="shared" si="0"/>
        <v>29</v>
      </c>
    </row>
    <row r="9" spans="1:15">
      <c r="A9" s="3">
        <v>103</v>
      </c>
      <c r="B9" s="3" t="s">
        <v>95</v>
      </c>
      <c r="C9" s="3" t="s">
        <v>96</v>
      </c>
      <c r="D9" s="5"/>
      <c r="E9" s="3">
        <v>2</v>
      </c>
      <c r="F9" s="5"/>
      <c r="G9" s="3"/>
      <c r="H9" s="3">
        <v>18</v>
      </c>
      <c r="I9" s="3">
        <v>6</v>
      </c>
      <c r="J9" s="3">
        <f>1+1+1</f>
        <v>3</v>
      </c>
      <c r="K9" s="3"/>
      <c r="L9" s="3"/>
      <c r="M9" s="3"/>
      <c r="N9" s="5"/>
      <c r="O9" s="3">
        <f t="shared" si="0"/>
        <v>27</v>
      </c>
    </row>
    <row r="10" spans="1:15">
      <c r="A10" s="3">
        <v>150</v>
      </c>
      <c r="B10" s="3" t="s">
        <v>91</v>
      </c>
      <c r="C10" s="3" t="s">
        <v>92</v>
      </c>
      <c r="D10" s="5"/>
      <c r="E10" s="3">
        <v>1</v>
      </c>
      <c r="F10" s="5"/>
      <c r="G10" s="3"/>
      <c r="H10" s="3">
        <f>8+5+8</f>
        <v>21</v>
      </c>
      <c r="I10" s="3"/>
      <c r="J10" s="3"/>
      <c r="K10" s="3"/>
      <c r="L10" s="3"/>
      <c r="M10" s="3"/>
      <c r="N10" s="5"/>
      <c r="O10" s="3">
        <f t="shared" si="0"/>
        <v>21</v>
      </c>
    </row>
    <row r="11" spans="1:15">
      <c r="A11" s="3">
        <v>128</v>
      </c>
      <c r="B11" s="3" t="s">
        <v>97</v>
      </c>
      <c r="C11" s="3" t="s">
        <v>98</v>
      </c>
      <c r="D11" s="5"/>
      <c r="E11" s="3">
        <v>1</v>
      </c>
      <c r="F11" s="5"/>
      <c r="G11" s="3"/>
      <c r="H11" s="3"/>
      <c r="I11" s="3"/>
      <c r="J11" s="3">
        <v>19</v>
      </c>
      <c r="K11" s="3"/>
      <c r="L11" s="3"/>
      <c r="M11" s="3"/>
      <c r="N11" s="5"/>
      <c r="O11" s="3">
        <f t="shared" si="0"/>
        <v>19</v>
      </c>
    </row>
    <row r="12" spans="1:15">
      <c r="A12" s="3">
        <v>259</v>
      </c>
      <c r="B12" s="3" t="s">
        <v>93</v>
      </c>
      <c r="C12" s="3" t="s">
        <v>94</v>
      </c>
      <c r="D12" s="5"/>
      <c r="E12" s="3">
        <v>1</v>
      </c>
      <c r="F12" s="5"/>
      <c r="G12" s="3"/>
      <c r="H12" s="3">
        <f>4+2+2</f>
        <v>8</v>
      </c>
      <c r="I12" s="3"/>
      <c r="J12" s="3">
        <f>3+3+3</f>
        <v>9</v>
      </c>
      <c r="K12" s="3"/>
      <c r="L12" s="3"/>
      <c r="M12" s="3"/>
      <c r="N12" s="5"/>
      <c r="O12" s="3">
        <f t="shared" si="0"/>
        <v>17</v>
      </c>
    </row>
    <row r="13" spans="1:15">
      <c r="A13" s="3">
        <v>135</v>
      </c>
      <c r="B13" s="3" t="s">
        <v>99</v>
      </c>
      <c r="C13" s="3" t="s">
        <v>100</v>
      </c>
      <c r="D13" s="5"/>
      <c r="E13" s="3">
        <v>1</v>
      </c>
      <c r="F13" s="5"/>
      <c r="G13" s="3"/>
      <c r="H13" s="3">
        <f>1+4+4</f>
        <v>9</v>
      </c>
      <c r="I13" s="3"/>
      <c r="J13" s="3"/>
      <c r="K13" s="3"/>
      <c r="L13" s="3"/>
      <c r="M13" s="3"/>
      <c r="N13" s="5"/>
      <c r="O13" s="3">
        <f t="shared" si="0"/>
        <v>9</v>
      </c>
    </row>
    <row r="14" spans="1:15">
      <c r="A14" s="3"/>
      <c r="B14" s="3" t="s">
        <v>273</v>
      </c>
      <c r="C14" s="3" t="s">
        <v>274</v>
      </c>
      <c r="D14" s="5"/>
      <c r="E14" s="3">
        <v>1</v>
      </c>
      <c r="F14" s="5"/>
      <c r="G14" s="3"/>
      <c r="H14" s="3">
        <v>2</v>
      </c>
      <c r="I14" s="3"/>
      <c r="J14" s="3"/>
      <c r="K14" s="3"/>
      <c r="L14" s="3"/>
      <c r="M14" s="3"/>
      <c r="N14" s="5"/>
      <c r="O14" s="3">
        <f t="shared" si="0"/>
        <v>2</v>
      </c>
    </row>
    <row r="15" spans="1:15">
      <c r="A15" s="3">
        <v>180</v>
      </c>
      <c r="B15" s="3" t="s">
        <v>103</v>
      </c>
      <c r="C15" s="3" t="s">
        <v>104</v>
      </c>
      <c r="D15" s="5"/>
      <c r="E15" s="3">
        <v>1</v>
      </c>
      <c r="F15" s="5"/>
      <c r="G15" s="3"/>
      <c r="H15" s="3"/>
      <c r="I15" s="3">
        <v>2</v>
      </c>
      <c r="J15" s="3"/>
      <c r="K15" s="3"/>
      <c r="L15" s="3"/>
      <c r="M15" s="3"/>
      <c r="N15" s="5"/>
      <c r="O15" s="3">
        <f t="shared" si="0"/>
        <v>2</v>
      </c>
    </row>
  </sheetData>
  <sortState ref="A2:O15">
    <sortCondition descending="1" ref="O2:O15"/>
  </sortState>
  <pageMargins left="0.7" right="0.7" top="0.75" bottom="0.75" header="0.3" footer="0.3"/>
  <pageSetup scale="86" fitToHeight="0" orientation="landscape" r:id="rId1"/>
  <headerFooter>
    <oddHeader>&amp;C&amp;"-,Bold"&amp;UNovice Youth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topLeftCell="B1" workbookViewId="0">
      <pane ySplit="1" topLeftCell="A2" activePane="bottomLeft" state="frozen"/>
      <selection pane="bottomLeft" activeCell="W27" sqref="W27"/>
    </sheetView>
  </sheetViews>
  <sheetFormatPr defaultRowHeight="14.4"/>
  <cols>
    <col min="1" max="1" width="4.109375" hidden="1" customWidth="1"/>
    <col min="2" max="2" width="24.5546875" bestFit="1" customWidth="1"/>
    <col min="3" max="3" width="19.44140625" bestFit="1" customWidth="1"/>
    <col min="4" max="4" width="2.6640625" customWidth="1"/>
    <col min="5" max="5" width="9.6640625" customWidth="1"/>
    <col min="6" max="6" width="3" customWidth="1"/>
    <col min="7" max="7" width="4.88671875" bestFit="1" customWidth="1"/>
    <col min="9" max="9" width="8.109375" bestFit="1" customWidth="1"/>
    <col min="10" max="10" width="5.44140625" bestFit="1" customWidth="1"/>
    <col min="11" max="11" width="7.6640625" bestFit="1" customWidth="1"/>
    <col min="12" max="12" width="6.88671875" bestFit="1" customWidth="1"/>
    <col min="13" max="13" width="13.5546875" bestFit="1" customWidth="1"/>
    <col min="14" max="14" width="12.6640625" customWidth="1"/>
    <col min="15" max="16" width="6.88671875" bestFit="1" customWidth="1"/>
    <col min="17" max="17" width="7.6640625" bestFit="1" customWidth="1"/>
    <col min="18" max="18" width="9.33203125" bestFit="1" customWidth="1"/>
    <col min="19" max="19" width="3.109375" customWidth="1"/>
    <col min="20" max="20" width="5.109375" customWidth="1"/>
  </cols>
  <sheetData>
    <row r="1" spans="1:20" s="6" customFormat="1">
      <c r="A1" s="7" t="s">
        <v>0</v>
      </c>
      <c r="B1" s="7" t="s">
        <v>1</v>
      </c>
      <c r="C1" s="7" t="s">
        <v>2</v>
      </c>
      <c r="D1" s="8"/>
      <c r="E1" s="7" t="s">
        <v>3</v>
      </c>
      <c r="F1" s="8"/>
      <c r="G1" s="7" t="s">
        <v>4</v>
      </c>
      <c r="H1" s="7" t="s">
        <v>105</v>
      </c>
      <c r="I1" s="7" t="s">
        <v>14</v>
      </c>
      <c r="J1" s="7" t="s">
        <v>106</v>
      </c>
      <c r="K1" s="7" t="s">
        <v>107</v>
      </c>
      <c r="L1" s="7" t="s">
        <v>49</v>
      </c>
      <c r="M1" s="7" t="s">
        <v>50</v>
      </c>
      <c r="N1" s="7" t="s">
        <v>6</v>
      </c>
      <c r="O1" s="7" t="s">
        <v>108</v>
      </c>
      <c r="P1" s="7" t="s">
        <v>109</v>
      </c>
      <c r="Q1" s="7" t="s">
        <v>110</v>
      </c>
      <c r="R1" s="7" t="s">
        <v>52</v>
      </c>
      <c r="S1" s="8"/>
      <c r="T1" s="7" t="s">
        <v>7</v>
      </c>
    </row>
    <row r="2" spans="1:20">
      <c r="A2" s="3">
        <v>387</v>
      </c>
      <c r="B2" s="3" t="s">
        <v>111</v>
      </c>
      <c r="C2" s="3" t="s">
        <v>112</v>
      </c>
      <c r="D2" s="5"/>
      <c r="E2" s="3">
        <v>3</v>
      </c>
      <c r="F2" s="5"/>
      <c r="G2" s="3">
        <v>31</v>
      </c>
      <c r="H2" s="3"/>
      <c r="I2" s="3">
        <v>27</v>
      </c>
      <c r="J2" s="3"/>
      <c r="K2" s="3">
        <v>17</v>
      </c>
      <c r="L2" s="3"/>
      <c r="M2" s="3">
        <v>8</v>
      </c>
      <c r="N2" s="3">
        <v>25</v>
      </c>
      <c r="O2" s="3">
        <v>17</v>
      </c>
      <c r="P2" s="3"/>
      <c r="Q2" s="3"/>
      <c r="R2" s="3">
        <v>37</v>
      </c>
      <c r="S2" s="5"/>
      <c r="T2" s="3">
        <f t="shared" ref="T2:T27" si="0">SUM(G2:R2)</f>
        <v>162</v>
      </c>
    </row>
    <row r="3" spans="1:20">
      <c r="A3" s="3">
        <v>388</v>
      </c>
      <c r="B3" s="3" t="s">
        <v>113</v>
      </c>
      <c r="C3" s="3" t="s">
        <v>114</v>
      </c>
      <c r="D3" s="5"/>
      <c r="E3" s="3">
        <v>3</v>
      </c>
      <c r="F3" s="5"/>
      <c r="G3" s="3">
        <v>24</v>
      </c>
      <c r="H3" s="3"/>
      <c r="I3" s="3">
        <v>34</v>
      </c>
      <c r="J3" s="3"/>
      <c r="K3" s="3">
        <v>11</v>
      </c>
      <c r="L3" s="3"/>
      <c r="M3" s="3">
        <v>9</v>
      </c>
      <c r="N3" s="3">
        <v>27</v>
      </c>
      <c r="O3" s="3">
        <v>25</v>
      </c>
      <c r="P3" s="3"/>
      <c r="Q3" s="3"/>
      <c r="R3" s="3">
        <v>30</v>
      </c>
      <c r="S3" s="5"/>
      <c r="T3" s="3">
        <f t="shared" si="0"/>
        <v>160</v>
      </c>
    </row>
    <row r="4" spans="1:20">
      <c r="A4" s="3">
        <v>13</v>
      </c>
      <c r="B4" s="3" t="s">
        <v>101</v>
      </c>
      <c r="C4" s="3" t="s">
        <v>102</v>
      </c>
      <c r="D4" s="5"/>
      <c r="E4" s="3">
        <v>2</v>
      </c>
      <c r="F4" s="5"/>
      <c r="G4" s="3">
        <v>14</v>
      </c>
      <c r="H4" s="3">
        <v>8</v>
      </c>
      <c r="I4" s="3">
        <v>11</v>
      </c>
      <c r="J4" s="3">
        <v>10</v>
      </c>
      <c r="K4" s="3">
        <f>2+1</f>
        <v>3</v>
      </c>
      <c r="L4" s="3">
        <v>10</v>
      </c>
      <c r="M4" s="3">
        <v>8</v>
      </c>
      <c r="N4" s="3">
        <v>9</v>
      </c>
      <c r="O4" s="3">
        <v>11</v>
      </c>
      <c r="P4" s="3">
        <f>2+1</f>
        <v>3</v>
      </c>
      <c r="Q4" s="3">
        <f>2+1</f>
        <v>3</v>
      </c>
      <c r="R4" s="3">
        <v>14</v>
      </c>
      <c r="S4" s="5"/>
      <c r="T4" s="3">
        <f t="shared" si="0"/>
        <v>104</v>
      </c>
    </row>
    <row r="5" spans="1:20">
      <c r="A5" s="3">
        <v>379</v>
      </c>
      <c r="B5" s="3" t="s">
        <v>118</v>
      </c>
      <c r="C5" s="3" t="s">
        <v>119</v>
      </c>
      <c r="D5" s="5"/>
      <c r="E5" s="3">
        <v>3</v>
      </c>
      <c r="F5" s="5"/>
      <c r="G5" s="3">
        <v>34</v>
      </c>
      <c r="H5" s="3"/>
      <c r="I5" s="3">
        <v>34</v>
      </c>
      <c r="J5" s="3"/>
      <c r="K5" s="3">
        <v>2</v>
      </c>
      <c r="L5" s="3"/>
      <c r="M5" s="3">
        <v>12</v>
      </c>
      <c r="N5" s="3">
        <v>4</v>
      </c>
      <c r="O5" s="3">
        <v>5</v>
      </c>
      <c r="P5" s="3"/>
      <c r="Q5" s="3"/>
      <c r="R5" s="3">
        <v>10</v>
      </c>
      <c r="S5" s="5"/>
      <c r="T5" s="3">
        <f t="shared" si="0"/>
        <v>101</v>
      </c>
    </row>
    <row r="6" spans="1:20">
      <c r="A6" s="3"/>
      <c r="B6" s="3" t="s">
        <v>297</v>
      </c>
      <c r="C6" s="3" t="s">
        <v>275</v>
      </c>
      <c r="D6" s="5"/>
      <c r="E6" s="3">
        <v>1</v>
      </c>
      <c r="F6" s="5"/>
      <c r="G6" s="3">
        <v>9</v>
      </c>
      <c r="H6" s="3">
        <v>4</v>
      </c>
      <c r="I6" s="3">
        <v>8</v>
      </c>
      <c r="J6" s="3"/>
      <c r="K6" s="3">
        <v>6</v>
      </c>
      <c r="L6" s="3"/>
      <c r="M6" s="3">
        <v>8</v>
      </c>
      <c r="N6" s="3">
        <v>8</v>
      </c>
      <c r="O6" s="3">
        <v>13</v>
      </c>
      <c r="P6" s="3"/>
      <c r="Q6" s="3"/>
      <c r="R6" s="3">
        <v>6</v>
      </c>
      <c r="S6" s="5"/>
      <c r="T6" s="3">
        <f t="shared" si="0"/>
        <v>62</v>
      </c>
    </row>
    <row r="7" spans="1:20">
      <c r="A7" s="3">
        <v>205</v>
      </c>
      <c r="B7" s="3" t="s">
        <v>115</v>
      </c>
      <c r="C7" s="3" t="s">
        <v>116</v>
      </c>
      <c r="D7" s="5"/>
      <c r="E7" s="3">
        <f>1+1</f>
        <v>2</v>
      </c>
      <c r="F7" s="5"/>
      <c r="G7" s="3">
        <f>1+1+5+7+7</f>
        <v>21</v>
      </c>
      <c r="H7" s="3">
        <f>3+3</f>
        <v>6</v>
      </c>
      <c r="I7" s="3"/>
      <c r="J7" s="3">
        <f>2+2</f>
        <v>4</v>
      </c>
      <c r="K7" s="3">
        <f>1+2+2+2+2</f>
        <v>9</v>
      </c>
      <c r="L7" s="3">
        <f>1+1</f>
        <v>2</v>
      </c>
      <c r="M7" s="3"/>
      <c r="N7" s="3">
        <f>1+2</f>
        <v>3</v>
      </c>
      <c r="O7" s="3"/>
      <c r="P7" s="3"/>
      <c r="Q7" s="3"/>
      <c r="R7" s="3">
        <f>3+2+1+1+2</f>
        <v>9</v>
      </c>
      <c r="S7" s="5"/>
      <c r="T7" s="3">
        <f t="shared" si="0"/>
        <v>54</v>
      </c>
    </row>
    <row r="8" spans="1:20">
      <c r="A8" s="3">
        <v>215</v>
      </c>
      <c r="B8" s="3" t="s">
        <v>120</v>
      </c>
      <c r="C8" s="3" t="s">
        <v>121</v>
      </c>
      <c r="D8" s="5"/>
      <c r="E8" s="3">
        <v>4</v>
      </c>
      <c r="F8" s="5"/>
      <c r="G8" s="3"/>
      <c r="H8" s="3">
        <v>16</v>
      </c>
      <c r="I8" s="3"/>
      <c r="J8" s="3">
        <f>1+1+2</f>
        <v>4</v>
      </c>
      <c r="K8" s="3"/>
      <c r="L8" s="3">
        <f>3+3</f>
        <v>6</v>
      </c>
      <c r="M8" s="3"/>
      <c r="N8" s="3"/>
      <c r="O8" s="3"/>
      <c r="P8" s="3"/>
      <c r="Q8" s="3"/>
      <c r="R8" s="3">
        <v>22</v>
      </c>
      <c r="S8" s="5"/>
      <c r="T8" s="3">
        <f t="shared" si="0"/>
        <v>48</v>
      </c>
    </row>
    <row r="9" spans="1:20">
      <c r="A9" s="3">
        <v>337</v>
      </c>
      <c r="B9" s="3" t="s">
        <v>115</v>
      </c>
      <c r="C9" s="3" t="s">
        <v>117</v>
      </c>
      <c r="D9" s="5"/>
      <c r="E9" s="3">
        <v>1</v>
      </c>
      <c r="F9" s="5"/>
      <c r="G9" s="3"/>
      <c r="H9" s="3"/>
      <c r="I9" s="3">
        <f>3+6+5</f>
        <v>14</v>
      </c>
      <c r="J9" s="3"/>
      <c r="K9" s="3"/>
      <c r="L9" s="3"/>
      <c r="M9" s="3">
        <f>2+4+3</f>
        <v>9</v>
      </c>
      <c r="N9" s="3">
        <f>2+3+2</f>
        <v>7</v>
      </c>
      <c r="O9" s="3">
        <f>4+3+3</f>
        <v>10</v>
      </c>
      <c r="P9" s="3"/>
      <c r="Q9" s="3"/>
      <c r="R9" s="3"/>
      <c r="S9" s="5"/>
      <c r="T9" s="3">
        <f t="shared" si="0"/>
        <v>40</v>
      </c>
    </row>
    <row r="10" spans="1:20">
      <c r="A10" s="3">
        <v>124</v>
      </c>
      <c r="B10" s="3" t="s">
        <v>124</v>
      </c>
      <c r="C10" s="3" t="s">
        <v>90</v>
      </c>
      <c r="D10" s="5"/>
      <c r="E10" s="3">
        <v>1</v>
      </c>
      <c r="F10" s="5"/>
      <c r="G10" s="3"/>
      <c r="H10" s="3"/>
      <c r="I10" s="3">
        <v>13</v>
      </c>
      <c r="J10" s="3"/>
      <c r="K10" s="3"/>
      <c r="L10" s="3"/>
      <c r="M10" s="3"/>
      <c r="N10" s="3">
        <f>1+1+1</f>
        <v>3</v>
      </c>
      <c r="O10" s="3"/>
      <c r="P10" s="3"/>
      <c r="Q10" s="3">
        <v>4</v>
      </c>
      <c r="R10" s="3">
        <v>6</v>
      </c>
      <c r="S10" s="5"/>
      <c r="T10" s="3">
        <f t="shared" si="0"/>
        <v>26</v>
      </c>
    </row>
    <row r="11" spans="1:20">
      <c r="A11" s="3">
        <v>234</v>
      </c>
      <c r="B11" s="3" t="s">
        <v>85</v>
      </c>
      <c r="C11" s="3" t="s">
        <v>86</v>
      </c>
      <c r="D11" s="5"/>
      <c r="E11" s="3">
        <v>2</v>
      </c>
      <c r="F11" s="5"/>
      <c r="G11" s="3"/>
      <c r="H11" s="3"/>
      <c r="I11" s="3"/>
      <c r="J11" s="3"/>
      <c r="K11" s="3"/>
      <c r="L11" s="3"/>
      <c r="M11" s="3"/>
      <c r="N11" s="3"/>
      <c r="O11" s="3"/>
      <c r="P11" s="3"/>
      <c r="Q11" s="3">
        <v>22</v>
      </c>
      <c r="R11" s="3"/>
      <c r="S11" s="5"/>
      <c r="T11" s="3">
        <f t="shared" si="0"/>
        <v>22</v>
      </c>
    </row>
    <row r="12" spans="1:20">
      <c r="A12" s="3">
        <v>128</v>
      </c>
      <c r="B12" s="3" t="s">
        <v>97</v>
      </c>
      <c r="C12" s="3" t="s">
        <v>98</v>
      </c>
      <c r="D12" s="5"/>
      <c r="E12" s="3">
        <v>2</v>
      </c>
      <c r="F12" s="5"/>
      <c r="G12" s="3"/>
      <c r="H12" s="3"/>
      <c r="I12" s="3"/>
      <c r="J12" s="3"/>
      <c r="K12" s="3"/>
      <c r="L12" s="3"/>
      <c r="M12" s="3">
        <v>14</v>
      </c>
      <c r="N12" s="3"/>
      <c r="O12" s="3"/>
      <c r="P12" s="3"/>
      <c r="Q12" s="3">
        <v>7</v>
      </c>
      <c r="R12" s="3"/>
      <c r="S12" s="5"/>
      <c r="T12" s="3">
        <f t="shared" si="0"/>
        <v>21</v>
      </c>
    </row>
    <row r="13" spans="1:20">
      <c r="A13" s="3">
        <v>300</v>
      </c>
      <c r="B13" s="3" t="s">
        <v>82</v>
      </c>
      <c r="C13" s="3" t="s">
        <v>24</v>
      </c>
      <c r="D13" s="5"/>
      <c r="E13" s="3">
        <v>1</v>
      </c>
      <c r="F13" s="5"/>
      <c r="G13" s="3"/>
      <c r="H13" s="3"/>
      <c r="I13" s="3"/>
      <c r="J13" s="3"/>
      <c r="K13" s="3"/>
      <c r="L13" s="3"/>
      <c r="M13" s="3"/>
      <c r="N13" s="3"/>
      <c r="O13" s="3">
        <f>7+6+6</f>
        <v>19</v>
      </c>
      <c r="P13" s="3"/>
      <c r="Q13" s="3"/>
      <c r="R13" s="3"/>
      <c r="S13" s="5"/>
      <c r="T13" s="3">
        <f t="shared" si="0"/>
        <v>19</v>
      </c>
    </row>
    <row r="14" spans="1:20">
      <c r="A14" s="3">
        <v>103</v>
      </c>
      <c r="B14" s="3" t="s">
        <v>95</v>
      </c>
      <c r="C14" s="3" t="s">
        <v>96</v>
      </c>
      <c r="D14" s="5"/>
      <c r="E14" s="3">
        <v>1</v>
      </c>
      <c r="F14" s="5"/>
      <c r="G14" s="3"/>
      <c r="H14" s="3">
        <v>4</v>
      </c>
      <c r="I14" s="3"/>
      <c r="J14" s="3"/>
      <c r="K14" s="3"/>
      <c r="L14" s="3"/>
      <c r="M14" s="3"/>
      <c r="N14" s="3"/>
      <c r="O14" s="3">
        <v>14</v>
      </c>
      <c r="P14" s="3"/>
      <c r="Q14" s="3"/>
      <c r="R14" s="3"/>
      <c r="S14" s="5"/>
      <c r="T14" s="3">
        <f t="shared" si="0"/>
        <v>18</v>
      </c>
    </row>
    <row r="15" spans="1:20">
      <c r="A15" s="3">
        <v>122</v>
      </c>
      <c r="B15" s="3" t="s">
        <v>87</v>
      </c>
      <c r="C15" s="3" t="s">
        <v>88</v>
      </c>
      <c r="D15" s="5"/>
      <c r="E15" s="3">
        <v>1</v>
      </c>
      <c r="F15" s="5"/>
      <c r="G15" s="3">
        <f>3+3+3</f>
        <v>9</v>
      </c>
      <c r="H15" s="3"/>
      <c r="I15" s="3">
        <f>4+4+1</f>
        <v>9</v>
      </c>
      <c r="J15" s="3"/>
      <c r="K15" s="3"/>
      <c r="L15" s="3"/>
      <c r="M15" s="3"/>
      <c r="N15" s="3"/>
      <c r="O15" s="3"/>
      <c r="P15" s="3"/>
      <c r="Q15" s="3"/>
      <c r="R15" s="3"/>
      <c r="S15" s="5"/>
      <c r="T15" s="3">
        <f t="shared" si="0"/>
        <v>18</v>
      </c>
    </row>
    <row r="16" spans="1:20">
      <c r="A16" s="3">
        <v>129</v>
      </c>
      <c r="B16" s="3" t="s">
        <v>122</v>
      </c>
      <c r="C16" s="3" t="s">
        <v>123</v>
      </c>
      <c r="D16" s="5"/>
      <c r="E16" s="3">
        <v>1</v>
      </c>
      <c r="F16" s="5"/>
      <c r="G16" s="3">
        <v>2</v>
      </c>
      <c r="H16" s="3"/>
      <c r="I16" s="3">
        <f>1+14</f>
        <v>15</v>
      </c>
      <c r="J16" s="3"/>
      <c r="K16" s="3"/>
      <c r="L16" s="3"/>
      <c r="M16" s="3"/>
      <c r="N16" s="3"/>
      <c r="O16" s="3"/>
      <c r="P16" s="3"/>
      <c r="Q16" s="3"/>
      <c r="R16" s="3"/>
      <c r="S16" s="5"/>
      <c r="T16" s="3">
        <f t="shared" si="0"/>
        <v>17</v>
      </c>
    </row>
    <row r="17" spans="1:20">
      <c r="A17" s="3">
        <v>123</v>
      </c>
      <c r="B17" s="3" t="s">
        <v>97</v>
      </c>
      <c r="C17" s="3" t="s">
        <v>130</v>
      </c>
      <c r="D17" s="5"/>
      <c r="E17" s="3">
        <v>1</v>
      </c>
      <c r="F17" s="5"/>
      <c r="G17" s="3"/>
      <c r="H17" s="3"/>
      <c r="I17" s="3"/>
      <c r="J17" s="3"/>
      <c r="K17" s="3"/>
      <c r="L17" s="3"/>
      <c r="M17" s="3"/>
      <c r="N17" s="3"/>
      <c r="O17" s="3"/>
      <c r="P17" s="3">
        <v>16</v>
      </c>
      <c r="Q17" s="3"/>
      <c r="R17" s="3"/>
      <c r="S17" s="5"/>
      <c r="T17" s="3">
        <f t="shared" si="0"/>
        <v>16</v>
      </c>
    </row>
    <row r="18" spans="1:20">
      <c r="A18" s="3">
        <v>217</v>
      </c>
      <c r="B18" s="3" t="s">
        <v>83</v>
      </c>
      <c r="C18" s="3" t="s">
        <v>84</v>
      </c>
      <c r="D18" s="5"/>
      <c r="E18" s="3">
        <f>1+1</f>
        <v>2</v>
      </c>
      <c r="F18" s="5"/>
      <c r="G18" s="3"/>
      <c r="H18" s="3">
        <v>0</v>
      </c>
      <c r="I18" s="3"/>
      <c r="J18" s="3"/>
      <c r="K18" s="3"/>
      <c r="L18" s="3"/>
      <c r="M18" s="3"/>
      <c r="N18" s="3"/>
      <c r="O18" s="3">
        <f>3+5+7</f>
        <v>15</v>
      </c>
      <c r="P18" s="3"/>
      <c r="Q18" s="3"/>
      <c r="R18" s="3"/>
      <c r="S18" s="5"/>
      <c r="T18" s="3">
        <f t="shared" si="0"/>
        <v>15</v>
      </c>
    </row>
    <row r="19" spans="1:20">
      <c r="A19" s="3"/>
      <c r="B19" s="3" t="s">
        <v>115</v>
      </c>
      <c r="C19" s="3" t="s">
        <v>300</v>
      </c>
      <c r="D19" s="5"/>
      <c r="E19" s="3">
        <v>1</v>
      </c>
      <c r="F19" s="5"/>
      <c r="G19" s="3"/>
      <c r="H19" s="3"/>
      <c r="I19" s="3">
        <v>8</v>
      </c>
      <c r="J19" s="3"/>
      <c r="K19" s="3"/>
      <c r="L19" s="3">
        <v>2</v>
      </c>
      <c r="M19" s="3"/>
      <c r="N19" s="3"/>
      <c r="O19" s="3"/>
      <c r="P19" s="3"/>
      <c r="Q19" s="3"/>
      <c r="R19" s="3">
        <v>4</v>
      </c>
      <c r="S19" s="5"/>
      <c r="T19" s="3">
        <f t="shared" si="0"/>
        <v>14</v>
      </c>
    </row>
    <row r="20" spans="1:20">
      <c r="A20" s="3"/>
      <c r="B20" s="3" t="s">
        <v>82</v>
      </c>
      <c r="C20" s="3" t="s">
        <v>31</v>
      </c>
      <c r="D20" s="5"/>
      <c r="E20" s="3">
        <v>3</v>
      </c>
      <c r="F20" s="5"/>
      <c r="G20" s="3"/>
      <c r="H20" s="3"/>
      <c r="I20" s="3"/>
      <c r="J20" s="3"/>
      <c r="K20" s="3"/>
      <c r="L20" s="3"/>
      <c r="M20" s="3"/>
      <c r="N20" s="3"/>
      <c r="O20" s="3"/>
      <c r="P20" s="3"/>
      <c r="Q20" s="3">
        <v>10</v>
      </c>
      <c r="R20" s="3"/>
      <c r="S20" s="5"/>
      <c r="T20" s="3">
        <f t="shared" si="0"/>
        <v>10</v>
      </c>
    </row>
    <row r="21" spans="1:20">
      <c r="A21" s="3">
        <v>219</v>
      </c>
      <c r="B21" s="3" t="s">
        <v>10</v>
      </c>
      <c r="C21" s="3" t="s">
        <v>11</v>
      </c>
      <c r="D21" s="5"/>
      <c r="E21" s="3">
        <v>1</v>
      </c>
      <c r="F21" s="5"/>
      <c r="G21" s="3"/>
      <c r="H21" s="3"/>
      <c r="I21" s="3"/>
      <c r="J21" s="3"/>
      <c r="K21" s="3"/>
      <c r="L21" s="3"/>
      <c r="M21" s="3"/>
      <c r="N21" s="3"/>
      <c r="O21" s="3">
        <f>2+1</f>
        <v>3</v>
      </c>
      <c r="P21" s="3">
        <f>2+1</f>
        <v>3</v>
      </c>
      <c r="Q21" s="3">
        <f>2+1</f>
        <v>3</v>
      </c>
      <c r="R21" s="3"/>
      <c r="S21" s="5"/>
      <c r="T21" s="3">
        <f t="shared" si="0"/>
        <v>9</v>
      </c>
    </row>
    <row r="22" spans="1:20">
      <c r="A22" s="3">
        <v>207</v>
      </c>
      <c r="B22" s="3" t="s">
        <v>125</v>
      </c>
      <c r="C22" s="3" t="s">
        <v>126</v>
      </c>
      <c r="D22" s="5"/>
      <c r="E22" s="3">
        <v>1</v>
      </c>
      <c r="F22" s="5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>
        <f>4+3</f>
        <v>7</v>
      </c>
      <c r="S22" s="5"/>
      <c r="T22" s="3">
        <f t="shared" si="0"/>
        <v>7</v>
      </c>
    </row>
    <row r="23" spans="1:20">
      <c r="A23" s="3"/>
      <c r="B23" s="3" t="s">
        <v>120</v>
      </c>
      <c r="C23" s="3" t="s">
        <v>276</v>
      </c>
      <c r="D23" s="5"/>
      <c r="E23" s="3">
        <v>1</v>
      </c>
      <c r="F23" s="5"/>
      <c r="G23" s="3">
        <v>2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>
        <v>5</v>
      </c>
      <c r="S23" s="5"/>
      <c r="T23" s="3">
        <f t="shared" si="0"/>
        <v>7</v>
      </c>
    </row>
    <row r="24" spans="1:20">
      <c r="A24" s="3">
        <v>259</v>
      </c>
      <c r="B24" s="3" t="s">
        <v>127</v>
      </c>
      <c r="C24" s="3" t="s">
        <v>94</v>
      </c>
      <c r="D24" s="5"/>
      <c r="E24" s="3">
        <v>1</v>
      </c>
      <c r="F24" s="5"/>
      <c r="G24" s="3"/>
      <c r="H24" s="3"/>
      <c r="I24" s="3"/>
      <c r="J24" s="3"/>
      <c r="K24" s="3"/>
      <c r="L24" s="3"/>
      <c r="M24" s="3"/>
      <c r="N24" s="3"/>
      <c r="O24" s="3">
        <f>1+1+1</f>
        <v>3</v>
      </c>
      <c r="P24" s="3"/>
      <c r="Q24" s="3"/>
      <c r="R24" s="3"/>
      <c r="S24" s="5"/>
      <c r="T24" s="3">
        <f t="shared" si="0"/>
        <v>3</v>
      </c>
    </row>
    <row r="25" spans="1:20">
      <c r="A25" s="3"/>
      <c r="B25" s="3" t="s">
        <v>273</v>
      </c>
      <c r="C25" s="3" t="s">
        <v>274</v>
      </c>
      <c r="D25" s="5"/>
      <c r="E25" s="3">
        <v>1</v>
      </c>
      <c r="F25" s="5"/>
      <c r="G25" s="3"/>
      <c r="H25" s="3"/>
      <c r="I25" s="3"/>
      <c r="J25" s="3"/>
      <c r="K25" s="3"/>
      <c r="L25" s="3"/>
      <c r="M25" s="3"/>
      <c r="N25" s="3"/>
      <c r="O25" s="3"/>
      <c r="P25" s="3"/>
      <c r="Q25" s="3">
        <v>2</v>
      </c>
      <c r="R25" s="3"/>
      <c r="S25" s="5"/>
      <c r="T25" s="3">
        <f t="shared" si="0"/>
        <v>2</v>
      </c>
    </row>
    <row r="26" spans="1:20">
      <c r="A26" s="3">
        <v>353</v>
      </c>
      <c r="B26" s="3" t="s">
        <v>103</v>
      </c>
      <c r="C26" s="3" t="s">
        <v>128</v>
      </c>
      <c r="D26" s="5"/>
      <c r="E26" s="3">
        <v>1</v>
      </c>
      <c r="F26" s="5"/>
      <c r="G26" s="3"/>
      <c r="H26" s="3"/>
      <c r="I26" s="3"/>
      <c r="J26" s="3"/>
      <c r="K26" s="3"/>
      <c r="L26" s="3">
        <v>2</v>
      </c>
      <c r="M26" s="3"/>
      <c r="N26" s="3"/>
      <c r="O26" s="3"/>
      <c r="P26" s="3"/>
      <c r="Q26" s="3"/>
      <c r="R26" s="3"/>
      <c r="S26" s="5"/>
      <c r="T26" s="3">
        <f t="shared" si="0"/>
        <v>2</v>
      </c>
    </row>
    <row r="27" spans="1:20">
      <c r="A27" s="3">
        <v>119</v>
      </c>
      <c r="B27" s="3" t="s">
        <v>103</v>
      </c>
      <c r="C27" s="3" t="s">
        <v>129</v>
      </c>
      <c r="D27" s="5"/>
      <c r="E27" s="3">
        <v>1</v>
      </c>
      <c r="F27" s="5"/>
      <c r="G27" s="3"/>
      <c r="H27" s="3"/>
      <c r="I27" s="3"/>
      <c r="J27" s="3">
        <v>1</v>
      </c>
      <c r="K27" s="3"/>
      <c r="L27" s="3"/>
      <c r="M27" s="3"/>
      <c r="N27" s="3"/>
      <c r="O27" s="3"/>
      <c r="P27" s="3"/>
      <c r="Q27" s="3"/>
      <c r="R27" s="3"/>
      <c r="S27" s="5"/>
      <c r="T27" s="3">
        <f t="shared" si="0"/>
        <v>1</v>
      </c>
    </row>
  </sheetData>
  <sortState ref="A2:T27">
    <sortCondition descending="1" ref="T2:T27"/>
  </sortState>
  <pageMargins left="0.7" right="0.7" top="0.75" bottom="0.75" header="0.3" footer="0.3"/>
  <pageSetup scale="71" fitToHeight="0" orientation="landscape" r:id="rId1"/>
  <headerFooter>
    <oddHeader>&amp;C&amp;"-,Bold"&amp;UYouth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workbookViewId="0">
      <pane ySplit="1" topLeftCell="A2" activePane="bottomLeft" state="frozen"/>
      <selection pane="bottomLeft" activeCell="Q23" sqref="Q23"/>
    </sheetView>
  </sheetViews>
  <sheetFormatPr defaultColWidth="9" defaultRowHeight="14.4"/>
  <cols>
    <col min="1" max="1" width="6.88671875" bestFit="1" customWidth="1"/>
    <col min="2" max="2" width="19.33203125" bestFit="1" customWidth="1"/>
    <col min="3" max="3" width="21.5546875" bestFit="1" customWidth="1"/>
    <col min="4" max="4" width="2.6640625" customWidth="1"/>
    <col min="5" max="5" width="10.44140625" bestFit="1" customWidth="1"/>
    <col min="6" max="6" width="3.109375" customWidth="1"/>
    <col min="7" max="7" width="4.88671875" bestFit="1" customWidth="1"/>
    <col min="8" max="8" width="8.109375" bestFit="1" customWidth="1"/>
    <col min="9" max="9" width="6.88671875" bestFit="1" customWidth="1"/>
    <col min="10" max="10" width="13.6640625" bestFit="1" customWidth="1"/>
    <col min="11" max="11" width="14" bestFit="1" customWidth="1"/>
    <col min="13" max="13" width="3.33203125" customWidth="1"/>
    <col min="14" max="14" width="5.44140625" bestFit="1" customWidth="1"/>
  </cols>
  <sheetData>
    <row r="1" spans="1:14" s="6" customFormat="1">
      <c r="A1" s="7" t="s">
        <v>0</v>
      </c>
      <c r="B1" s="7" t="s">
        <v>1</v>
      </c>
      <c r="C1" s="7" t="s">
        <v>2</v>
      </c>
      <c r="D1" s="8"/>
      <c r="E1" s="7" t="s">
        <v>3</v>
      </c>
      <c r="F1" s="8"/>
      <c r="G1" s="7" t="s">
        <v>4</v>
      </c>
      <c r="H1" s="7" t="s">
        <v>14</v>
      </c>
      <c r="I1" s="7" t="s">
        <v>49</v>
      </c>
      <c r="J1" s="7" t="s">
        <v>131</v>
      </c>
      <c r="K1" s="7" t="s">
        <v>6</v>
      </c>
      <c r="L1" s="7" t="s">
        <v>52</v>
      </c>
      <c r="M1" s="8"/>
      <c r="N1" s="7" t="s">
        <v>7</v>
      </c>
    </row>
    <row r="2" spans="1:14">
      <c r="A2" s="3">
        <v>201</v>
      </c>
      <c r="B2" s="3" t="s">
        <v>132</v>
      </c>
      <c r="C2" s="3" t="s">
        <v>133</v>
      </c>
      <c r="D2" s="5"/>
      <c r="E2" s="3">
        <v>4</v>
      </c>
      <c r="F2" s="5"/>
      <c r="G2" s="3">
        <v>16</v>
      </c>
      <c r="H2" s="3">
        <v>27</v>
      </c>
      <c r="I2" s="3">
        <v>45</v>
      </c>
      <c r="J2" s="3">
        <v>6</v>
      </c>
      <c r="K2" s="3">
        <v>41</v>
      </c>
      <c r="L2" s="3">
        <v>44</v>
      </c>
      <c r="M2" s="5"/>
      <c r="N2" s="3">
        <f t="shared" ref="N2:N24" si="0">SUM(G2:M2)</f>
        <v>179</v>
      </c>
    </row>
    <row r="3" spans="1:14">
      <c r="A3" s="3">
        <v>209</v>
      </c>
      <c r="B3" s="3" t="s">
        <v>134</v>
      </c>
      <c r="C3" s="3" t="s">
        <v>135</v>
      </c>
      <c r="D3" s="5"/>
      <c r="E3" s="3">
        <v>3</v>
      </c>
      <c r="F3" s="5"/>
      <c r="G3" s="3">
        <v>14</v>
      </c>
      <c r="H3" s="3">
        <v>41</v>
      </c>
      <c r="I3" s="3">
        <v>37</v>
      </c>
      <c r="J3" s="3">
        <f>2+2+2</f>
        <v>6</v>
      </c>
      <c r="K3" s="3">
        <v>38</v>
      </c>
      <c r="L3" s="3">
        <v>34</v>
      </c>
      <c r="M3" s="5"/>
      <c r="N3" s="3">
        <f t="shared" si="0"/>
        <v>170</v>
      </c>
    </row>
    <row r="4" spans="1:14">
      <c r="A4" s="3" t="s">
        <v>264</v>
      </c>
      <c r="B4" s="3" t="s">
        <v>136</v>
      </c>
      <c r="C4" s="3" t="s">
        <v>137</v>
      </c>
      <c r="D4" s="5"/>
      <c r="E4" s="3">
        <v>4</v>
      </c>
      <c r="F4" s="5"/>
      <c r="G4" s="3">
        <v>10</v>
      </c>
      <c r="H4" s="3">
        <v>36</v>
      </c>
      <c r="I4" s="3">
        <v>31</v>
      </c>
      <c r="J4" s="3">
        <v>15</v>
      </c>
      <c r="K4" s="3">
        <v>21</v>
      </c>
      <c r="L4" s="3">
        <v>22</v>
      </c>
      <c r="M4" s="5"/>
      <c r="N4" s="3">
        <f t="shared" si="0"/>
        <v>135</v>
      </c>
    </row>
    <row r="5" spans="1:14">
      <c r="A5" s="3"/>
      <c r="B5" s="3" t="s">
        <v>279</v>
      </c>
      <c r="C5" s="3" t="s">
        <v>268</v>
      </c>
      <c r="D5" s="5"/>
      <c r="E5" s="3">
        <v>1</v>
      </c>
      <c r="F5" s="5"/>
      <c r="G5" s="3"/>
      <c r="H5" s="3">
        <v>15</v>
      </c>
      <c r="I5" s="3"/>
      <c r="J5" s="3"/>
      <c r="K5" s="3">
        <v>10</v>
      </c>
      <c r="L5" s="3">
        <v>4</v>
      </c>
      <c r="M5" s="5"/>
      <c r="N5" s="3">
        <f t="shared" si="0"/>
        <v>29</v>
      </c>
    </row>
    <row r="6" spans="1:14">
      <c r="A6" s="3">
        <v>213</v>
      </c>
      <c r="B6" s="3" t="s">
        <v>138</v>
      </c>
      <c r="C6" s="3" t="s">
        <v>139</v>
      </c>
      <c r="D6" s="5"/>
      <c r="E6" s="3">
        <v>1</v>
      </c>
      <c r="F6" s="5"/>
      <c r="G6" s="3">
        <f>2+2</f>
        <v>4</v>
      </c>
      <c r="H6" s="3">
        <f>7+3</f>
        <v>10</v>
      </c>
      <c r="I6" s="3">
        <f>2.5+4</f>
        <v>6.5</v>
      </c>
      <c r="J6" s="3"/>
      <c r="K6" s="3"/>
      <c r="L6" s="3">
        <f>3+4</f>
        <v>7</v>
      </c>
      <c r="M6" s="5"/>
      <c r="N6" s="3">
        <f t="shared" si="0"/>
        <v>27.5</v>
      </c>
    </row>
    <row r="7" spans="1:14">
      <c r="A7" s="3">
        <v>225</v>
      </c>
      <c r="B7" s="3" t="s">
        <v>140</v>
      </c>
      <c r="C7" s="3" t="s">
        <v>141</v>
      </c>
      <c r="D7" s="5"/>
      <c r="E7" s="3">
        <v>1</v>
      </c>
      <c r="F7" s="5"/>
      <c r="G7" s="3"/>
      <c r="H7" s="3">
        <f>3+7</f>
        <v>10</v>
      </c>
      <c r="I7" s="3">
        <f>6+6</f>
        <v>12</v>
      </c>
      <c r="J7" s="3"/>
      <c r="K7" s="3"/>
      <c r="L7" s="3"/>
      <c r="M7" s="5"/>
      <c r="N7" s="3">
        <f t="shared" si="0"/>
        <v>22</v>
      </c>
    </row>
    <row r="8" spans="1:14">
      <c r="A8" s="3">
        <v>334</v>
      </c>
      <c r="B8" s="3" t="s">
        <v>42</v>
      </c>
      <c r="C8" s="3" t="s">
        <v>154</v>
      </c>
      <c r="D8" s="5"/>
      <c r="E8" s="3">
        <v>1</v>
      </c>
      <c r="F8" s="5"/>
      <c r="G8" s="3">
        <v>8</v>
      </c>
      <c r="H8" s="3"/>
      <c r="I8" s="3">
        <f>3+2+3</f>
        <v>8</v>
      </c>
      <c r="J8" s="3"/>
      <c r="K8" s="3">
        <v>4</v>
      </c>
      <c r="L8" s="3"/>
      <c r="M8" s="5"/>
      <c r="N8" s="3">
        <f t="shared" si="0"/>
        <v>20</v>
      </c>
    </row>
    <row r="9" spans="1:14">
      <c r="A9" s="3">
        <v>152</v>
      </c>
      <c r="B9" s="3" t="s">
        <v>142</v>
      </c>
      <c r="C9" s="3" t="s">
        <v>143</v>
      </c>
      <c r="D9" s="5"/>
      <c r="E9" s="3">
        <f>1+1</f>
        <v>2</v>
      </c>
      <c r="F9" s="5"/>
      <c r="G9" s="3">
        <f>4+3</f>
        <v>7</v>
      </c>
      <c r="H9" s="3">
        <v>4</v>
      </c>
      <c r="I9" s="3">
        <v>4</v>
      </c>
      <c r="J9" s="3"/>
      <c r="K9" s="3">
        <v>3</v>
      </c>
      <c r="L9" s="3">
        <v>2</v>
      </c>
      <c r="M9" s="5"/>
      <c r="N9" s="3">
        <f t="shared" si="0"/>
        <v>20</v>
      </c>
    </row>
    <row r="10" spans="1:14">
      <c r="A10" s="3">
        <v>260</v>
      </c>
      <c r="B10" s="3" t="s">
        <v>36</v>
      </c>
      <c r="C10" s="3" t="s">
        <v>37</v>
      </c>
      <c r="D10" s="5"/>
      <c r="E10" s="3">
        <v>1</v>
      </c>
      <c r="F10" s="5"/>
      <c r="G10" s="3">
        <f>3+3+3</f>
        <v>9</v>
      </c>
      <c r="H10" s="3">
        <f>2+4+3</f>
        <v>9</v>
      </c>
      <c r="I10" s="3"/>
      <c r="J10" s="3"/>
      <c r="K10" s="3"/>
      <c r="L10" s="3"/>
      <c r="M10" s="5"/>
      <c r="N10" s="3">
        <f t="shared" si="0"/>
        <v>18</v>
      </c>
    </row>
    <row r="11" spans="1:14">
      <c r="A11" s="3">
        <v>357</v>
      </c>
      <c r="B11" s="3" t="s">
        <v>136</v>
      </c>
      <c r="C11" s="3" t="s">
        <v>144</v>
      </c>
      <c r="D11" s="5"/>
      <c r="E11" s="3">
        <f>1+1</f>
        <v>2</v>
      </c>
      <c r="F11" s="5"/>
      <c r="G11" s="3"/>
      <c r="H11" s="3"/>
      <c r="I11" s="3">
        <f>2+5+6+5</f>
        <v>18</v>
      </c>
      <c r="J11" s="3"/>
      <c r="K11" s="3"/>
      <c r="L11" s="3"/>
      <c r="M11" s="5"/>
      <c r="N11" s="3">
        <f t="shared" si="0"/>
        <v>18</v>
      </c>
    </row>
    <row r="12" spans="1:14">
      <c r="A12" s="3">
        <v>404</v>
      </c>
      <c r="B12" s="3" t="s">
        <v>145</v>
      </c>
      <c r="C12" s="3" t="s">
        <v>59</v>
      </c>
      <c r="D12" s="5"/>
      <c r="E12" s="3">
        <f>1+1</f>
        <v>2</v>
      </c>
      <c r="F12" s="5"/>
      <c r="G12" s="3"/>
      <c r="H12" s="3"/>
      <c r="I12" s="3">
        <f>1+1+4+7+4</f>
        <v>17</v>
      </c>
      <c r="J12" s="3"/>
      <c r="K12" s="3"/>
      <c r="L12" s="3"/>
      <c r="M12" s="5"/>
      <c r="N12" s="3">
        <f t="shared" si="0"/>
        <v>17</v>
      </c>
    </row>
    <row r="13" spans="1:14">
      <c r="A13" s="3">
        <v>206</v>
      </c>
      <c r="B13" s="3" t="s">
        <v>146</v>
      </c>
      <c r="C13" s="3" t="s">
        <v>147</v>
      </c>
      <c r="D13" s="5"/>
      <c r="E13" s="3">
        <v>1</v>
      </c>
      <c r="F13" s="5"/>
      <c r="G13" s="3"/>
      <c r="H13" s="3">
        <f>2+5</f>
        <v>7</v>
      </c>
      <c r="I13" s="3"/>
      <c r="J13" s="3"/>
      <c r="K13" s="3">
        <f>4+4</f>
        <v>8</v>
      </c>
      <c r="L13" s="3"/>
      <c r="M13" s="5"/>
      <c r="N13" s="3">
        <f t="shared" si="0"/>
        <v>15</v>
      </c>
    </row>
    <row r="14" spans="1:14">
      <c r="A14" s="3">
        <v>324</v>
      </c>
      <c r="B14" s="3" t="s">
        <v>152</v>
      </c>
      <c r="C14" s="3" t="s">
        <v>153</v>
      </c>
      <c r="D14" s="5"/>
      <c r="E14" s="3">
        <v>2</v>
      </c>
      <c r="F14" s="5"/>
      <c r="G14" s="3"/>
      <c r="H14" s="3">
        <v>6</v>
      </c>
      <c r="I14" s="3">
        <f>2+3+2</f>
        <v>7</v>
      </c>
      <c r="J14" s="3"/>
      <c r="K14" s="3"/>
      <c r="L14" s="3"/>
      <c r="M14" s="5"/>
      <c r="N14" s="3">
        <f t="shared" si="0"/>
        <v>13</v>
      </c>
    </row>
    <row r="15" spans="1:14">
      <c r="A15" s="3">
        <v>239</v>
      </c>
      <c r="B15" s="3" t="s">
        <v>148</v>
      </c>
      <c r="C15" s="3" t="s">
        <v>149</v>
      </c>
      <c r="D15" s="5"/>
      <c r="E15" s="3">
        <v>1</v>
      </c>
      <c r="F15" s="5"/>
      <c r="G15" s="3"/>
      <c r="H15" s="3">
        <f>6+6</f>
        <v>12</v>
      </c>
      <c r="I15" s="3"/>
      <c r="J15" s="3"/>
      <c r="K15" s="3"/>
      <c r="L15" s="3"/>
      <c r="M15" s="5"/>
      <c r="N15" s="3">
        <f t="shared" si="0"/>
        <v>12</v>
      </c>
    </row>
    <row r="16" spans="1:14">
      <c r="A16" s="3"/>
      <c r="B16" s="3" t="s">
        <v>277</v>
      </c>
      <c r="C16" s="3" t="s">
        <v>278</v>
      </c>
      <c r="D16" s="5"/>
      <c r="E16" s="3">
        <v>1</v>
      </c>
      <c r="F16" s="5"/>
      <c r="G16" s="3">
        <v>4</v>
      </c>
      <c r="H16" s="3"/>
      <c r="I16" s="3">
        <v>7</v>
      </c>
      <c r="J16" s="3"/>
      <c r="K16" s="3"/>
      <c r="L16" s="3"/>
      <c r="M16" s="5"/>
      <c r="N16" s="3">
        <f t="shared" si="0"/>
        <v>11</v>
      </c>
    </row>
    <row r="17" spans="1:14">
      <c r="A17" s="3">
        <v>229</v>
      </c>
      <c r="B17" s="3" t="s">
        <v>150</v>
      </c>
      <c r="C17" s="3" t="s">
        <v>151</v>
      </c>
      <c r="D17" s="5"/>
      <c r="E17" s="3">
        <v>1</v>
      </c>
      <c r="F17" s="5"/>
      <c r="G17" s="3"/>
      <c r="H17" s="3"/>
      <c r="I17" s="3"/>
      <c r="J17" s="3"/>
      <c r="K17" s="3"/>
      <c r="L17" s="3">
        <f>5+5</f>
        <v>10</v>
      </c>
      <c r="M17" s="5"/>
      <c r="N17" s="3">
        <f t="shared" si="0"/>
        <v>10</v>
      </c>
    </row>
    <row r="18" spans="1:14">
      <c r="A18" s="3">
        <v>166</v>
      </c>
      <c r="B18" s="3" t="s">
        <v>155</v>
      </c>
      <c r="C18" s="3" t="s">
        <v>156</v>
      </c>
      <c r="D18" s="5"/>
      <c r="E18" s="3">
        <v>1</v>
      </c>
      <c r="F18" s="5"/>
      <c r="G18" s="3">
        <v>2</v>
      </c>
      <c r="H18" s="3"/>
      <c r="I18" s="3"/>
      <c r="J18" s="3"/>
      <c r="K18" s="3">
        <v>2</v>
      </c>
      <c r="L18" s="3">
        <v>1</v>
      </c>
      <c r="M18" s="5"/>
      <c r="N18" s="3">
        <f t="shared" si="0"/>
        <v>5</v>
      </c>
    </row>
    <row r="19" spans="1:14">
      <c r="A19" s="3">
        <v>11</v>
      </c>
      <c r="B19" s="3" t="s">
        <v>157</v>
      </c>
      <c r="C19" s="3" t="s">
        <v>158</v>
      </c>
      <c r="D19" s="5"/>
      <c r="E19" s="3">
        <v>1</v>
      </c>
      <c r="F19" s="5"/>
      <c r="G19" s="3"/>
      <c r="H19" s="3"/>
      <c r="I19" s="3">
        <f>2.5+2</f>
        <v>4.5</v>
      </c>
      <c r="J19" s="3"/>
      <c r="K19" s="3"/>
      <c r="L19" s="3"/>
      <c r="M19" s="5"/>
      <c r="N19" s="3">
        <f t="shared" si="0"/>
        <v>4.5</v>
      </c>
    </row>
    <row r="20" spans="1:14">
      <c r="A20" s="3"/>
      <c r="B20" s="3" t="s">
        <v>271</v>
      </c>
      <c r="C20" s="3" t="s">
        <v>272</v>
      </c>
      <c r="D20" s="5"/>
      <c r="E20" s="3">
        <v>1</v>
      </c>
      <c r="F20" s="5"/>
      <c r="G20" s="3"/>
      <c r="H20" s="3"/>
      <c r="I20" s="3">
        <v>4</v>
      </c>
      <c r="J20" s="3"/>
      <c r="K20" s="3"/>
      <c r="L20" s="3"/>
      <c r="M20" s="5"/>
      <c r="N20" s="3">
        <f t="shared" si="0"/>
        <v>4</v>
      </c>
    </row>
    <row r="21" spans="1:14">
      <c r="A21" s="3">
        <v>376</v>
      </c>
      <c r="B21" s="3" t="s">
        <v>159</v>
      </c>
      <c r="C21" s="3" t="s">
        <v>160</v>
      </c>
      <c r="D21" s="5"/>
      <c r="E21" s="3">
        <v>1</v>
      </c>
      <c r="F21" s="5"/>
      <c r="G21" s="3"/>
      <c r="H21" s="3"/>
      <c r="I21" s="3">
        <v>3</v>
      </c>
      <c r="J21" s="3"/>
      <c r="K21" s="3"/>
      <c r="L21" s="3"/>
      <c r="M21" s="5"/>
      <c r="N21" s="3">
        <f t="shared" si="0"/>
        <v>3</v>
      </c>
    </row>
    <row r="22" spans="1:14">
      <c r="A22" s="3">
        <v>141</v>
      </c>
      <c r="B22" s="3" t="s">
        <v>45</v>
      </c>
      <c r="C22" s="3" t="s">
        <v>46</v>
      </c>
      <c r="D22" s="5"/>
      <c r="E22" s="3">
        <v>1</v>
      </c>
      <c r="F22" s="5"/>
      <c r="G22" s="3"/>
      <c r="H22" s="3"/>
      <c r="I22" s="3">
        <f>1+1+1</f>
        <v>3</v>
      </c>
      <c r="J22" s="3"/>
      <c r="K22" s="3"/>
      <c r="L22" s="3"/>
      <c r="M22" s="5"/>
      <c r="N22" s="3">
        <f t="shared" si="0"/>
        <v>3</v>
      </c>
    </row>
    <row r="23" spans="1:14">
      <c r="A23" s="3">
        <v>252</v>
      </c>
      <c r="B23" s="3" t="s">
        <v>44</v>
      </c>
      <c r="C23" s="3" t="s">
        <v>63</v>
      </c>
      <c r="D23" s="5"/>
      <c r="E23" s="3">
        <v>1</v>
      </c>
      <c r="F23" s="5"/>
      <c r="G23" s="3"/>
      <c r="H23" s="3"/>
      <c r="I23" s="3"/>
      <c r="J23" s="3"/>
      <c r="K23" s="3"/>
      <c r="L23" s="3">
        <v>2</v>
      </c>
      <c r="M23" s="5"/>
      <c r="N23" s="3">
        <f t="shared" si="0"/>
        <v>2</v>
      </c>
    </row>
    <row r="24" spans="1:14">
      <c r="A24" s="3">
        <v>351</v>
      </c>
      <c r="B24" s="3" t="s">
        <v>74</v>
      </c>
      <c r="C24" s="3" t="s">
        <v>75</v>
      </c>
      <c r="D24" s="5"/>
      <c r="E24" s="3">
        <v>1</v>
      </c>
      <c r="F24" s="5"/>
      <c r="G24" s="3">
        <v>1</v>
      </c>
      <c r="H24" s="3"/>
      <c r="I24" s="3"/>
      <c r="J24" s="3"/>
      <c r="K24" s="3"/>
      <c r="L24" s="3"/>
      <c r="M24" s="5"/>
      <c r="N24" s="3">
        <f t="shared" si="0"/>
        <v>1</v>
      </c>
    </row>
  </sheetData>
  <sortState ref="A2:N24">
    <sortCondition descending="1" ref="N2:N24"/>
  </sortState>
  <pageMargins left="0.7" right="0.7" top="0.75" bottom="0.75" header="0.3" footer="0.3"/>
  <pageSetup scale="78" orientation="landscape" horizontalDpi="4294967293" verticalDpi="4294967293" r:id="rId1"/>
  <headerFooter>
    <oddHeader>&amp;C&amp;"-,Bold"&amp;UNovice Amateur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zoomScale="80" zoomScaleNormal="80" workbookViewId="0">
      <pane ySplit="1" topLeftCell="A2" activePane="bottomLeft" state="frozen"/>
      <selection pane="bottomLeft" activeCell="W30" sqref="W30"/>
    </sheetView>
  </sheetViews>
  <sheetFormatPr defaultRowHeight="14.4"/>
  <cols>
    <col min="1" max="1" width="4.44140625" bestFit="1" customWidth="1"/>
    <col min="2" max="2" width="24.33203125" bestFit="1" customWidth="1"/>
    <col min="3" max="3" width="24.44140625" bestFit="1" customWidth="1"/>
    <col min="4" max="4" width="2.6640625" customWidth="1"/>
    <col min="5" max="5" width="10.88671875" bestFit="1" customWidth="1"/>
    <col min="6" max="6" width="3.33203125" customWidth="1"/>
    <col min="7" max="7" width="5.109375" bestFit="1" customWidth="1"/>
    <col min="8" max="8" width="10" bestFit="1" customWidth="1"/>
    <col min="9" max="9" width="8.5546875" bestFit="1" customWidth="1"/>
    <col min="10" max="10" width="5.6640625" bestFit="1" customWidth="1"/>
    <col min="11" max="11" width="7.88671875" bestFit="1" customWidth="1"/>
    <col min="12" max="12" width="7.33203125" bestFit="1" customWidth="1"/>
    <col min="13" max="13" width="13.5546875" bestFit="1" customWidth="1"/>
    <col min="14" max="14" width="14.33203125" bestFit="1" customWidth="1"/>
    <col min="15" max="15" width="7.109375" bestFit="1" customWidth="1"/>
    <col min="16" max="17" width="7.44140625" bestFit="1" customWidth="1"/>
    <col min="18" max="18" width="9.33203125" bestFit="1" customWidth="1"/>
    <col min="19" max="19" width="9.5546875" bestFit="1" customWidth="1"/>
    <col min="20" max="20" width="3" customWidth="1"/>
    <col min="21" max="21" width="5.6640625" bestFit="1" customWidth="1"/>
    <col min="23" max="23" width="15.109375" bestFit="1" customWidth="1"/>
  </cols>
  <sheetData>
    <row r="1" spans="1:21" s="6" customFormat="1">
      <c r="A1" s="7" t="s">
        <v>0</v>
      </c>
      <c r="B1" s="7" t="s">
        <v>1</v>
      </c>
      <c r="C1" s="7" t="s">
        <v>2</v>
      </c>
      <c r="D1" s="8"/>
      <c r="E1" s="7" t="s">
        <v>3</v>
      </c>
      <c r="F1" s="8"/>
      <c r="G1" s="7" t="s">
        <v>4</v>
      </c>
      <c r="H1" s="7" t="s">
        <v>105</v>
      </c>
      <c r="I1" s="7" t="s">
        <v>14</v>
      </c>
      <c r="J1" s="7" t="s">
        <v>106</v>
      </c>
      <c r="K1" s="7" t="s">
        <v>107</v>
      </c>
      <c r="L1" s="7" t="s">
        <v>49</v>
      </c>
      <c r="M1" s="7" t="s">
        <v>161</v>
      </c>
      <c r="N1" s="7" t="s">
        <v>6</v>
      </c>
      <c r="O1" s="7" t="s">
        <v>108</v>
      </c>
      <c r="P1" s="7" t="s">
        <v>109</v>
      </c>
      <c r="Q1" s="7" t="s">
        <v>162</v>
      </c>
      <c r="R1" s="7" t="s">
        <v>51</v>
      </c>
      <c r="S1" s="7" t="s">
        <v>52</v>
      </c>
      <c r="T1" s="8"/>
      <c r="U1" s="7" t="s">
        <v>7</v>
      </c>
    </row>
    <row r="2" spans="1:21">
      <c r="A2" s="3">
        <v>100</v>
      </c>
      <c r="B2" s="3" t="s">
        <v>199</v>
      </c>
      <c r="C2" s="3" t="s">
        <v>200</v>
      </c>
      <c r="D2" s="5"/>
      <c r="E2" s="3">
        <v>3</v>
      </c>
      <c r="F2" s="5"/>
      <c r="G2" s="3">
        <v>38</v>
      </c>
      <c r="H2" s="3">
        <v>20</v>
      </c>
      <c r="I2" s="3">
        <v>11</v>
      </c>
      <c r="J2" s="3"/>
      <c r="K2" s="3">
        <v>25</v>
      </c>
      <c r="L2" s="3">
        <v>38</v>
      </c>
      <c r="M2" s="3">
        <v>6</v>
      </c>
      <c r="N2" s="3">
        <v>43</v>
      </c>
      <c r="O2" s="3">
        <v>37</v>
      </c>
      <c r="P2" s="3"/>
      <c r="Q2" s="3"/>
      <c r="R2" s="3"/>
      <c r="S2" s="3">
        <v>49</v>
      </c>
      <c r="T2" s="5"/>
      <c r="U2" s="3">
        <f t="shared" ref="U2:U43" si="0">SUM(G2:S2)</f>
        <v>267</v>
      </c>
    </row>
    <row r="3" spans="1:21">
      <c r="A3" s="3">
        <v>201</v>
      </c>
      <c r="B3" s="3" t="s">
        <v>132</v>
      </c>
      <c r="C3" s="3" t="s">
        <v>133</v>
      </c>
      <c r="D3" s="5"/>
      <c r="E3" s="3">
        <v>3</v>
      </c>
      <c r="F3" s="5"/>
      <c r="G3" s="3">
        <v>19</v>
      </c>
      <c r="H3" s="3">
        <v>34</v>
      </c>
      <c r="I3" s="3">
        <v>37</v>
      </c>
      <c r="J3" s="3"/>
      <c r="K3" s="3">
        <v>46.5</v>
      </c>
      <c r="L3" s="3">
        <v>19.5</v>
      </c>
      <c r="M3" s="3">
        <f>2+1+1</f>
        <v>4</v>
      </c>
      <c r="N3" s="3">
        <v>39</v>
      </c>
      <c r="O3" s="3">
        <v>21</v>
      </c>
      <c r="P3" s="3"/>
      <c r="Q3" s="3"/>
      <c r="R3" s="3"/>
      <c r="S3" s="3">
        <v>26</v>
      </c>
      <c r="T3" s="5"/>
      <c r="U3" s="3">
        <f t="shared" si="0"/>
        <v>246</v>
      </c>
    </row>
    <row r="4" spans="1:21">
      <c r="A4" s="3">
        <v>797</v>
      </c>
      <c r="B4" s="3" t="s">
        <v>53</v>
      </c>
      <c r="C4" s="3" t="s">
        <v>16</v>
      </c>
      <c r="D4" s="5"/>
      <c r="E4" s="3">
        <v>5</v>
      </c>
      <c r="F4" s="5"/>
      <c r="G4" s="3">
        <v>36</v>
      </c>
      <c r="H4" s="3">
        <v>16</v>
      </c>
      <c r="I4" s="3">
        <v>51</v>
      </c>
      <c r="J4" s="3"/>
      <c r="K4" s="3"/>
      <c r="L4" s="3">
        <v>31</v>
      </c>
      <c r="M4" s="3">
        <v>18</v>
      </c>
      <c r="N4" s="3">
        <v>37</v>
      </c>
      <c r="O4" s="3">
        <v>37</v>
      </c>
      <c r="P4" s="3"/>
      <c r="Q4" s="3"/>
      <c r="R4" s="3"/>
      <c r="S4" s="3"/>
      <c r="T4" s="5"/>
      <c r="U4" s="3">
        <f t="shared" si="0"/>
        <v>226</v>
      </c>
    </row>
    <row r="5" spans="1:21">
      <c r="A5" s="3">
        <v>420</v>
      </c>
      <c r="B5" s="3" t="s">
        <v>165</v>
      </c>
      <c r="C5" s="3" t="s">
        <v>166</v>
      </c>
      <c r="D5" s="5"/>
      <c r="E5" s="3">
        <f>1+1+1</f>
        <v>3</v>
      </c>
      <c r="F5" s="5"/>
      <c r="G5" s="3">
        <f>2+3+2</f>
        <v>7</v>
      </c>
      <c r="H5" s="3">
        <f>6+8+5</f>
        <v>19</v>
      </c>
      <c r="I5" s="3"/>
      <c r="J5" s="3">
        <f>2+1+1+1</f>
        <v>5</v>
      </c>
      <c r="K5" s="3">
        <f>10+9+7</f>
        <v>26</v>
      </c>
      <c r="L5" s="3">
        <f>4+8+9+7</f>
        <v>28</v>
      </c>
      <c r="M5" s="3"/>
      <c r="N5" s="3"/>
      <c r="O5" s="3"/>
      <c r="P5" s="3"/>
      <c r="Q5" s="3"/>
      <c r="R5" s="3"/>
      <c r="S5" s="3"/>
      <c r="T5" s="5"/>
      <c r="U5" s="3">
        <f t="shared" si="0"/>
        <v>85</v>
      </c>
    </row>
    <row r="6" spans="1:21">
      <c r="A6" s="3">
        <v>160</v>
      </c>
      <c r="B6" s="3" t="s">
        <v>171</v>
      </c>
      <c r="C6" s="3" t="s">
        <v>195</v>
      </c>
      <c r="D6" s="5"/>
      <c r="E6" s="3">
        <f>1+1</f>
        <v>2</v>
      </c>
      <c r="F6" s="5"/>
      <c r="G6" s="3"/>
      <c r="H6" s="3">
        <f>8+7+8</f>
        <v>23</v>
      </c>
      <c r="I6" s="3"/>
      <c r="J6" s="3"/>
      <c r="K6" s="3"/>
      <c r="L6" s="3">
        <f>7+8+8</f>
        <v>23</v>
      </c>
      <c r="M6" s="3"/>
      <c r="N6" s="3"/>
      <c r="O6" s="3"/>
      <c r="P6" s="3"/>
      <c r="Q6" s="3"/>
      <c r="R6" s="3">
        <f>6+6+7</f>
        <v>19</v>
      </c>
      <c r="S6" s="3"/>
      <c r="T6" s="5"/>
      <c r="U6" s="3">
        <f t="shared" si="0"/>
        <v>65</v>
      </c>
    </row>
    <row r="7" spans="1:21">
      <c r="A7" s="3">
        <v>222</v>
      </c>
      <c r="B7" s="3" t="s">
        <v>56</v>
      </c>
      <c r="C7" s="3" t="s">
        <v>62</v>
      </c>
      <c r="D7" s="5"/>
      <c r="E7" s="3">
        <v>1</v>
      </c>
      <c r="F7" s="5"/>
      <c r="G7" s="3">
        <f>6+5</f>
        <v>11</v>
      </c>
      <c r="H7" s="3">
        <f>4+5</f>
        <v>9</v>
      </c>
      <c r="I7" s="3"/>
      <c r="J7" s="3">
        <f>2+2</f>
        <v>4</v>
      </c>
      <c r="K7" s="3"/>
      <c r="L7" s="3">
        <f>3+3</f>
        <v>6</v>
      </c>
      <c r="M7" s="3"/>
      <c r="N7" s="3">
        <f>6+6</f>
        <v>12</v>
      </c>
      <c r="O7" s="3">
        <f>3+2</f>
        <v>5</v>
      </c>
      <c r="P7" s="3"/>
      <c r="Q7" s="3"/>
      <c r="R7" s="3">
        <f>2+2</f>
        <v>4</v>
      </c>
      <c r="S7" s="3">
        <f>6+6</f>
        <v>12</v>
      </c>
      <c r="T7" s="5"/>
      <c r="U7" s="3">
        <f t="shared" si="0"/>
        <v>63</v>
      </c>
    </row>
    <row r="8" spans="1:21">
      <c r="A8" s="3">
        <v>221</v>
      </c>
      <c r="B8" s="3" t="s">
        <v>56</v>
      </c>
      <c r="C8" s="3" t="s">
        <v>57</v>
      </c>
      <c r="D8" s="5"/>
      <c r="E8" s="3">
        <v>1</v>
      </c>
      <c r="F8" s="5"/>
      <c r="G8" s="3">
        <f>3.5+4</f>
        <v>7.5</v>
      </c>
      <c r="H8" s="3">
        <f>3+3</f>
        <v>6</v>
      </c>
      <c r="I8" s="3">
        <f>5+8</f>
        <v>13</v>
      </c>
      <c r="J8" s="3">
        <f>1+1</f>
        <v>2</v>
      </c>
      <c r="K8" s="3"/>
      <c r="L8" s="3">
        <f>7+7</f>
        <v>14</v>
      </c>
      <c r="M8" s="3"/>
      <c r="N8" s="3"/>
      <c r="O8" s="3"/>
      <c r="P8" s="3"/>
      <c r="Q8" s="3">
        <f>2+2</f>
        <v>4</v>
      </c>
      <c r="R8" s="3">
        <f>3+3</f>
        <v>6</v>
      </c>
      <c r="S8" s="3">
        <f>5+5</f>
        <v>10</v>
      </c>
      <c r="T8" s="5"/>
      <c r="U8" s="3">
        <f t="shared" si="0"/>
        <v>62.5</v>
      </c>
    </row>
    <row r="9" spans="1:21">
      <c r="A9" s="3">
        <v>421</v>
      </c>
      <c r="B9" s="3" t="s">
        <v>163</v>
      </c>
      <c r="C9" s="3" t="s">
        <v>164</v>
      </c>
      <c r="D9" s="5"/>
      <c r="E9" s="3">
        <f>1+1</f>
        <v>2</v>
      </c>
      <c r="F9" s="5"/>
      <c r="G9" s="3">
        <f>4+5+4</f>
        <v>13</v>
      </c>
      <c r="H9" s="3"/>
      <c r="I9" s="3"/>
      <c r="J9" s="3">
        <f>4+3+2+2</f>
        <v>11</v>
      </c>
      <c r="K9" s="3">
        <f>5+5+5</f>
        <v>15</v>
      </c>
      <c r="L9" s="3">
        <f>3+4+5+5</f>
        <v>17</v>
      </c>
      <c r="M9" s="3"/>
      <c r="N9" s="3"/>
      <c r="O9" s="3"/>
      <c r="P9" s="3"/>
      <c r="Q9" s="3"/>
      <c r="R9" s="3"/>
      <c r="S9" s="3"/>
      <c r="T9" s="5"/>
      <c r="U9" s="3">
        <f t="shared" si="0"/>
        <v>56</v>
      </c>
    </row>
    <row r="10" spans="1:21">
      <c r="A10" s="3">
        <v>334</v>
      </c>
      <c r="B10" s="3" t="s">
        <v>42</v>
      </c>
      <c r="C10" s="3" t="s">
        <v>175</v>
      </c>
      <c r="D10" s="5"/>
      <c r="E10" s="3">
        <v>1</v>
      </c>
      <c r="F10" s="5"/>
      <c r="G10" s="3"/>
      <c r="H10" s="3"/>
      <c r="I10" s="3">
        <f>3+4+3</f>
        <v>10</v>
      </c>
      <c r="J10" s="3"/>
      <c r="K10" s="3">
        <f>6+9+10</f>
        <v>25</v>
      </c>
      <c r="L10" s="3"/>
      <c r="M10" s="3">
        <f>1+2+2</f>
        <v>5</v>
      </c>
      <c r="N10" s="3"/>
      <c r="O10" s="3"/>
      <c r="P10" s="3"/>
      <c r="Q10" s="3">
        <v>7</v>
      </c>
      <c r="R10" s="3"/>
      <c r="S10" s="3">
        <v>3</v>
      </c>
      <c r="T10" s="5"/>
      <c r="U10" s="3">
        <f t="shared" si="0"/>
        <v>50</v>
      </c>
    </row>
    <row r="11" spans="1:21">
      <c r="A11" s="3">
        <v>161</v>
      </c>
      <c r="B11" s="3" t="s">
        <v>193</v>
      </c>
      <c r="C11" s="3" t="s">
        <v>194</v>
      </c>
      <c r="D11" s="5"/>
      <c r="E11" s="3">
        <f>1+1</f>
        <v>2</v>
      </c>
      <c r="F11" s="5"/>
      <c r="G11" s="3"/>
      <c r="H11" s="3">
        <v>29</v>
      </c>
      <c r="I11" s="3"/>
      <c r="J11" s="3">
        <v>6</v>
      </c>
      <c r="K11" s="3"/>
      <c r="L11" s="3">
        <f>5+3+4</f>
        <v>12</v>
      </c>
      <c r="M11" s="3"/>
      <c r="N11" s="3"/>
      <c r="O11" s="3"/>
      <c r="P11" s="3"/>
      <c r="Q11" s="3"/>
      <c r="R11" s="3"/>
      <c r="S11" s="3"/>
      <c r="T11" s="5"/>
      <c r="U11" s="3">
        <f t="shared" si="0"/>
        <v>47</v>
      </c>
    </row>
    <row r="12" spans="1:21">
      <c r="A12" s="3">
        <v>254</v>
      </c>
      <c r="B12" s="3" t="s">
        <v>178</v>
      </c>
      <c r="C12" s="3"/>
      <c r="D12" s="5"/>
      <c r="E12" s="3">
        <v>1</v>
      </c>
      <c r="F12" s="5"/>
      <c r="G12" s="3">
        <f>1+1+1</f>
        <v>3</v>
      </c>
      <c r="H12" s="3">
        <v>23</v>
      </c>
      <c r="I12" s="3"/>
      <c r="J12" s="3"/>
      <c r="K12" s="3">
        <f>4+4+4</f>
        <v>12</v>
      </c>
      <c r="L12" s="3">
        <f>1+2+1</f>
        <v>4</v>
      </c>
      <c r="M12" s="3"/>
      <c r="N12" s="3"/>
      <c r="O12" s="3"/>
      <c r="P12" s="3"/>
      <c r="Q12" s="3"/>
      <c r="R12" s="3"/>
      <c r="S12" s="3"/>
      <c r="T12" s="5"/>
      <c r="U12" s="3">
        <f t="shared" si="0"/>
        <v>42</v>
      </c>
    </row>
    <row r="13" spans="1:21">
      <c r="A13" s="3"/>
      <c r="B13" s="3" t="s">
        <v>171</v>
      </c>
      <c r="C13" s="3" t="s">
        <v>299</v>
      </c>
      <c r="D13" s="5"/>
      <c r="E13" s="3">
        <v>1</v>
      </c>
      <c r="F13" s="5"/>
      <c r="G13" s="3"/>
      <c r="H13" s="3">
        <v>10</v>
      </c>
      <c r="I13" s="3">
        <v>14</v>
      </c>
      <c r="J13" s="3"/>
      <c r="K13" s="3"/>
      <c r="L13" s="3"/>
      <c r="M13" s="3"/>
      <c r="N13" s="3"/>
      <c r="O13" s="3"/>
      <c r="P13" s="3"/>
      <c r="Q13" s="3"/>
      <c r="R13" s="3"/>
      <c r="S13" s="3">
        <v>17</v>
      </c>
      <c r="T13" s="5"/>
      <c r="U13" s="3">
        <f t="shared" si="0"/>
        <v>41</v>
      </c>
    </row>
    <row r="14" spans="1:21">
      <c r="A14" s="3">
        <v>218</v>
      </c>
      <c r="B14" s="3" t="s">
        <v>136</v>
      </c>
      <c r="C14" s="3" t="s">
        <v>137</v>
      </c>
      <c r="D14" s="5"/>
      <c r="E14" s="3">
        <v>1</v>
      </c>
      <c r="F14" s="5"/>
      <c r="G14" s="3"/>
      <c r="H14" s="3">
        <v>20</v>
      </c>
      <c r="I14" s="3"/>
      <c r="J14" s="3"/>
      <c r="K14" s="3"/>
      <c r="L14" s="3"/>
      <c r="M14" s="3"/>
      <c r="N14" s="3"/>
      <c r="O14" s="3"/>
      <c r="P14" s="3"/>
      <c r="Q14" s="3">
        <v>20</v>
      </c>
      <c r="R14" s="3"/>
      <c r="S14" s="3"/>
      <c r="T14" s="5"/>
      <c r="U14" s="3">
        <f t="shared" si="0"/>
        <v>40</v>
      </c>
    </row>
    <row r="15" spans="1:21">
      <c r="A15" s="3">
        <v>216</v>
      </c>
      <c r="B15" s="3" t="s">
        <v>19</v>
      </c>
      <c r="C15" s="3" t="s">
        <v>20</v>
      </c>
      <c r="D15" s="5"/>
      <c r="E15" s="3">
        <v>3</v>
      </c>
      <c r="F15" s="5"/>
      <c r="G15" s="3"/>
      <c r="H15" s="3"/>
      <c r="I15" s="3"/>
      <c r="J15" s="3"/>
      <c r="K15" s="3"/>
      <c r="L15" s="3"/>
      <c r="M15" s="3">
        <v>20</v>
      </c>
      <c r="N15" s="3"/>
      <c r="O15" s="3">
        <v>19</v>
      </c>
      <c r="P15" s="3"/>
      <c r="Q15" s="3"/>
      <c r="R15" s="3"/>
      <c r="S15" s="3"/>
      <c r="T15" s="5"/>
      <c r="U15" s="3">
        <f t="shared" si="0"/>
        <v>39</v>
      </c>
    </row>
    <row r="16" spans="1:21">
      <c r="A16" s="3">
        <v>374</v>
      </c>
      <c r="B16" s="3" t="s">
        <v>173</v>
      </c>
      <c r="C16" s="3" t="s">
        <v>174</v>
      </c>
      <c r="D16" s="5"/>
      <c r="E16" s="3">
        <f>1+1</f>
        <v>2</v>
      </c>
      <c r="F16" s="5"/>
      <c r="G16" s="3"/>
      <c r="H16" s="3">
        <f>1+1+1</f>
        <v>3</v>
      </c>
      <c r="I16" s="3"/>
      <c r="J16" s="3">
        <f>3+2+3+3</f>
        <v>11</v>
      </c>
      <c r="K16" s="3"/>
      <c r="L16" s="3"/>
      <c r="M16" s="3"/>
      <c r="N16" s="3"/>
      <c r="O16" s="3"/>
      <c r="P16" s="3"/>
      <c r="Q16" s="3"/>
      <c r="R16" s="3">
        <f>7+7+6</f>
        <v>20</v>
      </c>
      <c r="S16" s="3"/>
      <c r="T16" s="5"/>
      <c r="U16" s="3">
        <f t="shared" si="0"/>
        <v>34</v>
      </c>
    </row>
    <row r="17" spans="1:21">
      <c r="A17" s="3">
        <v>239</v>
      </c>
      <c r="B17" s="3" t="s">
        <v>148</v>
      </c>
      <c r="C17" s="3" t="s">
        <v>149</v>
      </c>
      <c r="D17" s="5"/>
      <c r="E17" s="3">
        <v>1</v>
      </c>
      <c r="F17" s="5"/>
      <c r="G17" s="3"/>
      <c r="H17" s="3"/>
      <c r="I17" s="3">
        <f>4+6</f>
        <v>10</v>
      </c>
      <c r="J17" s="3"/>
      <c r="K17" s="3">
        <f>7.5+8</f>
        <v>15.5</v>
      </c>
      <c r="L17" s="3"/>
      <c r="M17" s="3"/>
      <c r="N17" s="3"/>
      <c r="O17" s="3"/>
      <c r="P17" s="3"/>
      <c r="Q17" s="3">
        <f>3+4</f>
        <v>7</v>
      </c>
      <c r="R17" s="3"/>
      <c r="S17" s="3"/>
      <c r="T17" s="5"/>
      <c r="U17" s="3">
        <f t="shared" si="0"/>
        <v>32.5</v>
      </c>
    </row>
    <row r="18" spans="1:21">
      <c r="A18" s="3">
        <v>212</v>
      </c>
      <c r="B18" s="3" t="s">
        <v>187</v>
      </c>
      <c r="C18" s="3" t="s">
        <v>188</v>
      </c>
      <c r="D18" s="5"/>
      <c r="E18" s="3">
        <v>1</v>
      </c>
      <c r="F18" s="5"/>
      <c r="G18" s="3"/>
      <c r="H18" s="3"/>
      <c r="I18" s="3">
        <f>3+4</f>
        <v>7</v>
      </c>
      <c r="J18" s="3"/>
      <c r="K18" s="3">
        <f>9+9</f>
        <v>18</v>
      </c>
      <c r="L18" s="3"/>
      <c r="M18" s="3"/>
      <c r="N18" s="3">
        <f>2+5</f>
        <v>7</v>
      </c>
      <c r="O18" s="3"/>
      <c r="P18" s="3"/>
      <c r="Q18" s="3"/>
      <c r="R18" s="3"/>
      <c r="S18" s="3"/>
      <c r="T18" s="5"/>
      <c r="U18" s="3">
        <f t="shared" si="0"/>
        <v>32</v>
      </c>
    </row>
    <row r="19" spans="1:21">
      <c r="A19" s="3">
        <v>243</v>
      </c>
      <c r="B19" s="3" t="s">
        <v>183</v>
      </c>
      <c r="C19" s="3" t="s">
        <v>184</v>
      </c>
      <c r="D19" s="5"/>
      <c r="E19" s="3">
        <v>3</v>
      </c>
      <c r="F19" s="5"/>
      <c r="G19" s="3"/>
      <c r="H19" s="3"/>
      <c r="I19" s="3"/>
      <c r="J19" s="3"/>
      <c r="K19" s="3"/>
      <c r="L19" s="3"/>
      <c r="M19" s="3"/>
      <c r="N19" s="3"/>
      <c r="O19" s="3"/>
      <c r="P19" s="3"/>
      <c r="Q19" s="3">
        <v>30</v>
      </c>
      <c r="R19" s="3"/>
      <c r="S19" s="3"/>
      <c r="T19" s="5"/>
      <c r="U19" s="3">
        <f t="shared" si="0"/>
        <v>30</v>
      </c>
    </row>
    <row r="20" spans="1:21">
      <c r="A20" s="3">
        <v>404</v>
      </c>
      <c r="B20" s="3" t="s">
        <v>58</v>
      </c>
      <c r="C20" s="3" t="s">
        <v>59</v>
      </c>
      <c r="D20" s="5"/>
      <c r="E20" s="3">
        <f>1+1</f>
        <v>2</v>
      </c>
      <c r="F20" s="5"/>
      <c r="G20" s="3">
        <f>3.5+2</f>
        <v>5.5</v>
      </c>
      <c r="H20" s="3">
        <f>3+3+2</f>
        <v>8</v>
      </c>
      <c r="I20" s="3">
        <f>1+3</f>
        <v>4</v>
      </c>
      <c r="J20" s="3"/>
      <c r="K20" s="3"/>
      <c r="L20" s="3">
        <f>2+1.5</f>
        <v>3.5</v>
      </c>
      <c r="M20" s="3"/>
      <c r="N20" s="3"/>
      <c r="O20" s="3"/>
      <c r="P20" s="3"/>
      <c r="Q20" s="3"/>
      <c r="R20" s="3"/>
      <c r="S20" s="3"/>
      <c r="T20" s="5"/>
      <c r="U20" s="3">
        <f t="shared" si="0"/>
        <v>21</v>
      </c>
    </row>
    <row r="21" spans="1:21">
      <c r="A21" s="3">
        <v>162</v>
      </c>
      <c r="B21" s="3" t="s">
        <v>183</v>
      </c>
      <c r="C21" s="3" t="s">
        <v>192</v>
      </c>
      <c r="D21" s="5"/>
      <c r="E21" s="3">
        <v>2</v>
      </c>
      <c r="F21" s="5"/>
      <c r="G21" s="3"/>
      <c r="H21" s="3"/>
      <c r="I21" s="3"/>
      <c r="J21" s="3"/>
      <c r="K21" s="3"/>
      <c r="L21" s="3"/>
      <c r="M21" s="3"/>
      <c r="N21" s="3"/>
      <c r="O21" s="3"/>
      <c r="P21" s="3">
        <v>21</v>
      </c>
      <c r="Q21" s="3"/>
      <c r="R21" s="3"/>
      <c r="S21" s="3"/>
      <c r="T21" s="5"/>
      <c r="U21" s="3">
        <f t="shared" si="0"/>
        <v>21</v>
      </c>
    </row>
    <row r="22" spans="1:21">
      <c r="A22" s="3">
        <v>210</v>
      </c>
      <c r="B22" s="3" t="s">
        <v>189</v>
      </c>
      <c r="C22" s="3" t="s">
        <v>190</v>
      </c>
      <c r="D22" s="5"/>
      <c r="E22" s="3">
        <v>1</v>
      </c>
      <c r="F22" s="5"/>
      <c r="G22" s="3">
        <v>0</v>
      </c>
      <c r="H22" s="3"/>
      <c r="I22" s="3"/>
      <c r="J22" s="3"/>
      <c r="K22" s="3"/>
      <c r="L22" s="3">
        <f>6.5+5</f>
        <v>11.5</v>
      </c>
      <c r="M22" s="3"/>
      <c r="N22" s="3">
        <f>4+3</f>
        <v>7</v>
      </c>
      <c r="O22" s="3"/>
      <c r="P22" s="3"/>
      <c r="Q22" s="3"/>
      <c r="R22" s="3"/>
      <c r="S22" s="3"/>
      <c r="T22" s="5"/>
      <c r="U22" s="3">
        <f t="shared" si="0"/>
        <v>18.5</v>
      </c>
    </row>
    <row r="23" spans="1:21">
      <c r="A23" s="3">
        <v>123</v>
      </c>
      <c r="B23" s="3" t="s">
        <v>198</v>
      </c>
      <c r="C23" s="3" t="s">
        <v>130</v>
      </c>
      <c r="D23" s="5"/>
      <c r="E23" s="3">
        <v>2</v>
      </c>
      <c r="F23" s="5"/>
      <c r="G23" s="3"/>
      <c r="H23" s="3"/>
      <c r="I23" s="3"/>
      <c r="J23" s="3"/>
      <c r="K23" s="3"/>
      <c r="L23" s="3"/>
      <c r="M23" s="3"/>
      <c r="N23" s="3"/>
      <c r="O23" s="3"/>
      <c r="P23" s="3">
        <v>18</v>
      </c>
      <c r="Q23" s="3"/>
      <c r="R23" s="3"/>
      <c r="S23" s="3"/>
      <c r="T23" s="5"/>
      <c r="U23" s="3">
        <f t="shared" si="0"/>
        <v>18</v>
      </c>
    </row>
    <row r="24" spans="1:21">
      <c r="A24" s="3">
        <v>255</v>
      </c>
      <c r="B24" s="3" t="s">
        <v>176</v>
      </c>
      <c r="C24" s="3" t="s">
        <v>177</v>
      </c>
      <c r="D24" s="5"/>
      <c r="E24" s="3">
        <v>1</v>
      </c>
      <c r="F24" s="5"/>
      <c r="G24" s="3"/>
      <c r="H24" s="3"/>
      <c r="I24" s="3">
        <f>6+6+5</f>
        <v>17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5"/>
      <c r="U24" s="3">
        <f t="shared" si="0"/>
        <v>17</v>
      </c>
    </row>
    <row r="25" spans="1:21">
      <c r="A25" s="3">
        <v>237</v>
      </c>
      <c r="B25" s="3" t="s">
        <v>76</v>
      </c>
      <c r="C25" s="3" t="s">
        <v>77</v>
      </c>
      <c r="D25" s="5"/>
      <c r="E25" s="3">
        <v>2</v>
      </c>
      <c r="F25" s="5"/>
      <c r="G25" s="3">
        <v>3</v>
      </c>
      <c r="H25" s="3"/>
      <c r="I25" s="3">
        <f>2+2+1</f>
        <v>5</v>
      </c>
      <c r="J25" s="3"/>
      <c r="K25" s="3"/>
      <c r="L25" s="3"/>
      <c r="M25" s="3"/>
      <c r="N25" s="3">
        <f>3+3+3</f>
        <v>9</v>
      </c>
      <c r="O25" s="3"/>
      <c r="P25" s="3"/>
      <c r="Q25" s="3"/>
      <c r="R25" s="3"/>
      <c r="S25" s="3"/>
      <c r="T25" s="5"/>
      <c r="U25" s="3">
        <f t="shared" si="0"/>
        <v>17</v>
      </c>
    </row>
    <row r="26" spans="1:21">
      <c r="A26" s="3">
        <v>229</v>
      </c>
      <c r="B26" s="3" t="s">
        <v>150</v>
      </c>
      <c r="C26" s="3" t="s">
        <v>151</v>
      </c>
      <c r="D26" s="5"/>
      <c r="E26" s="3">
        <v>1</v>
      </c>
      <c r="F26" s="5"/>
      <c r="G26" s="3"/>
      <c r="H26" s="3"/>
      <c r="I26" s="3"/>
      <c r="J26" s="3"/>
      <c r="K26" s="3">
        <f>8+8</f>
        <v>16</v>
      </c>
      <c r="L26" s="3"/>
      <c r="M26" s="3"/>
      <c r="N26" s="3"/>
      <c r="O26" s="3"/>
      <c r="P26" s="3"/>
      <c r="Q26" s="3"/>
      <c r="R26" s="3"/>
      <c r="S26" s="3"/>
      <c r="T26" s="5"/>
      <c r="U26" s="3">
        <f t="shared" si="0"/>
        <v>16</v>
      </c>
    </row>
    <row r="27" spans="1:21">
      <c r="A27" s="3">
        <v>209</v>
      </c>
      <c r="B27" s="3" t="s">
        <v>134</v>
      </c>
      <c r="C27" s="3" t="s">
        <v>191</v>
      </c>
      <c r="D27" s="5"/>
      <c r="E27" s="3">
        <v>1</v>
      </c>
      <c r="F27" s="5"/>
      <c r="G27" s="3"/>
      <c r="H27" s="3"/>
      <c r="I27" s="3"/>
      <c r="J27" s="3"/>
      <c r="K27" s="3"/>
      <c r="L27" s="3"/>
      <c r="M27" s="3"/>
      <c r="N27" s="3"/>
      <c r="O27" s="3">
        <v>16</v>
      </c>
      <c r="P27" s="3"/>
      <c r="Q27" s="3"/>
      <c r="R27" s="3"/>
      <c r="S27" s="3"/>
      <c r="T27" s="5"/>
      <c r="U27" s="3">
        <f t="shared" si="0"/>
        <v>16</v>
      </c>
    </row>
    <row r="28" spans="1:21">
      <c r="A28" s="3">
        <v>109</v>
      </c>
      <c r="B28" s="3" t="s">
        <v>78</v>
      </c>
      <c r="C28" s="3" t="s">
        <v>79</v>
      </c>
      <c r="D28" s="5"/>
      <c r="E28" s="3">
        <v>2</v>
      </c>
      <c r="F28" s="5"/>
      <c r="G28" s="3">
        <v>5</v>
      </c>
      <c r="H28" s="3"/>
      <c r="I28" s="3">
        <v>9</v>
      </c>
      <c r="J28" s="3"/>
      <c r="K28" s="3"/>
      <c r="L28" s="3"/>
      <c r="M28" s="3"/>
      <c r="N28" s="3">
        <v>0</v>
      </c>
      <c r="O28" s="3"/>
      <c r="P28" s="3"/>
      <c r="Q28" s="3"/>
      <c r="R28" s="3"/>
      <c r="S28" s="3"/>
      <c r="T28" s="5"/>
      <c r="U28" s="3">
        <f t="shared" si="0"/>
        <v>14</v>
      </c>
    </row>
    <row r="29" spans="1:21">
      <c r="A29" s="3">
        <v>11</v>
      </c>
      <c r="B29" s="3" t="s">
        <v>157</v>
      </c>
      <c r="C29" s="3" t="s">
        <v>201</v>
      </c>
      <c r="D29" s="5"/>
      <c r="E29" s="3">
        <v>1</v>
      </c>
      <c r="F29" s="5"/>
      <c r="G29" s="3"/>
      <c r="H29" s="3"/>
      <c r="I29" s="3"/>
      <c r="J29" s="3"/>
      <c r="K29" s="3"/>
      <c r="L29" s="3">
        <f>6.5+6</f>
        <v>12.5</v>
      </c>
      <c r="M29" s="3"/>
      <c r="N29" s="3"/>
      <c r="O29" s="3"/>
      <c r="P29" s="3"/>
      <c r="Q29" s="3"/>
      <c r="R29" s="3"/>
      <c r="S29" s="3"/>
      <c r="T29" s="5"/>
      <c r="U29" s="3">
        <f t="shared" si="0"/>
        <v>12.5</v>
      </c>
    </row>
    <row r="30" spans="1:21">
      <c r="A30" s="3"/>
      <c r="B30" s="3" t="s">
        <v>280</v>
      </c>
      <c r="C30" s="3" t="s">
        <v>281</v>
      </c>
      <c r="D30" s="5"/>
      <c r="E30" s="3">
        <v>1</v>
      </c>
      <c r="F30" s="5"/>
      <c r="G30" s="3"/>
      <c r="H30" s="3">
        <v>9</v>
      </c>
      <c r="I30" s="3"/>
      <c r="J30" s="3"/>
      <c r="K30" s="3"/>
      <c r="L30" s="3">
        <v>2</v>
      </c>
      <c r="M30" s="3"/>
      <c r="N30" s="3"/>
      <c r="O30" s="3"/>
      <c r="P30" s="3"/>
      <c r="Q30" s="3"/>
      <c r="R30" s="3"/>
      <c r="S30" s="3"/>
      <c r="T30" s="5"/>
      <c r="U30" s="3">
        <f t="shared" si="0"/>
        <v>11</v>
      </c>
    </row>
    <row r="31" spans="1:21">
      <c r="A31" s="3">
        <v>141</v>
      </c>
      <c r="B31" s="3" t="s">
        <v>45</v>
      </c>
      <c r="C31" s="3" t="s">
        <v>46</v>
      </c>
      <c r="D31" s="5"/>
      <c r="E31" s="3">
        <v>1</v>
      </c>
      <c r="F31" s="5"/>
      <c r="G31" s="3"/>
      <c r="H31" s="3"/>
      <c r="I31" s="3"/>
      <c r="J31" s="3"/>
      <c r="K31" s="3"/>
      <c r="L31" s="3">
        <f>3+5+3</f>
        <v>11</v>
      </c>
      <c r="M31" s="3"/>
      <c r="N31" s="3"/>
      <c r="O31" s="3"/>
      <c r="P31" s="3"/>
      <c r="Q31" s="3"/>
      <c r="R31" s="3"/>
      <c r="S31" s="3"/>
      <c r="T31" s="5"/>
      <c r="U31" s="3">
        <f t="shared" si="0"/>
        <v>11</v>
      </c>
    </row>
    <row r="32" spans="1:21">
      <c r="A32" s="3">
        <v>144</v>
      </c>
      <c r="B32" s="3" t="s">
        <v>196</v>
      </c>
      <c r="C32" s="3" t="s">
        <v>9</v>
      </c>
      <c r="D32" s="5"/>
      <c r="E32" s="3">
        <v>1</v>
      </c>
      <c r="F32" s="5"/>
      <c r="G32" s="3"/>
      <c r="H32" s="3">
        <v>0</v>
      </c>
      <c r="I32" s="3">
        <f>8+2</f>
        <v>10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5"/>
      <c r="U32" s="3">
        <f t="shared" si="0"/>
        <v>10</v>
      </c>
    </row>
    <row r="33" spans="1:21">
      <c r="A33" s="3">
        <v>206</v>
      </c>
      <c r="B33" s="3" t="s">
        <v>146</v>
      </c>
      <c r="C33" s="3" t="s">
        <v>147</v>
      </c>
      <c r="D33" s="5"/>
      <c r="E33" s="3">
        <v>2</v>
      </c>
      <c r="F33" s="5"/>
      <c r="G33" s="3"/>
      <c r="H33" s="3"/>
      <c r="I33" s="3">
        <v>3</v>
      </c>
      <c r="J33" s="3"/>
      <c r="K33" s="3"/>
      <c r="L33" s="3"/>
      <c r="M33" s="3"/>
      <c r="N33" s="3">
        <f>3+2</f>
        <v>5</v>
      </c>
      <c r="O33" s="3"/>
      <c r="P33" s="3"/>
      <c r="Q33" s="3"/>
      <c r="R33" s="3"/>
      <c r="S33" s="3">
        <v>2</v>
      </c>
      <c r="T33" s="5"/>
      <c r="U33" s="3">
        <f t="shared" si="0"/>
        <v>10</v>
      </c>
    </row>
    <row r="34" spans="1:21">
      <c r="A34" s="3">
        <v>225</v>
      </c>
      <c r="B34" s="3" t="s">
        <v>140</v>
      </c>
      <c r="C34" s="3" t="s">
        <v>141</v>
      </c>
      <c r="D34" s="5"/>
      <c r="E34" s="3">
        <v>1</v>
      </c>
      <c r="F34" s="5"/>
      <c r="G34" s="3"/>
      <c r="H34" s="3">
        <f>5+4</f>
        <v>9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5"/>
      <c r="U34" s="3">
        <f t="shared" si="0"/>
        <v>9</v>
      </c>
    </row>
    <row r="35" spans="1:21">
      <c r="A35" s="3">
        <v>241</v>
      </c>
      <c r="B35" s="3" t="s">
        <v>71</v>
      </c>
      <c r="C35" s="3" t="s">
        <v>72</v>
      </c>
      <c r="D35" s="5"/>
      <c r="E35" s="3">
        <f>1+1</f>
        <v>2</v>
      </c>
      <c r="F35" s="5"/>
      <c r="G35" s="3"/>
      <c r="H35" s="3"/>
      <c r="I35" s="3"/>
      <c r="J35" s="3"/>
      <c r="K35" s="3"/>
      <c r="L35" s="3"/>
      <c r="M35" s="3"/>
      <c r="N35" s="3">
        <f>3+3+3</f>
        <v>9</v>
      </c>
      <c r="O35" s="3"/>
      <c r="P35" s="3"/>
      <c r="Q35" s="3"/>
      <c r="R35" s="3"/>
      <c r="S35" s="3"/>
      <c r="T35" s="5"/>
      <c r="U35" s="3">
        <f t="shared" si="0"/>
        <v>9</v>
      </c>
    </row>
    <row r="36" spans="1:21">
      <c r="A36" s="3">
        <v>386</v>
      </c>
      <c r="B36" s="3" t="s">
        <v>167</v>
      </c>
      <c r="C36" s="3" t="s">
        <v>168</v>
      </c>
      <c r="D36" s="5"/>
      <c r="E36" s="3">
        <v>1</v>
      </c>
      <c r="F36" s="5"/>
      <c r="G36" s="3"/>
      <c r="H36" s="3"/>
      <c r="I36" s="3"/>
      <c r="J36" s="3">
        <v>1</v>
      </c>
      <c r="K36" s="3"/>
      <c r="L36" s="3">
        <v>5</v>
      </c>
      <c r="M36" s="3"/>
      <c r="N36" s="3"/>
      <c r="O36" s="3"/>
      <c r="P36" s="3"/>
      <c r="Q36" s="3"/>
      <c r="R36" s="3"/>
      <c r="S36" s="3"/>
      <c r="T36" s="5"/>
      <c r="U36" s="3">
        <f t="shared" si="0"/>
        <v>6</v>
      </c>
    </row>
    <row r="37" spans="1:21">
      <c r="A37" s="3">
        <v>213</v>
      </c>
      <c r="B37" s="3" t="s">
        <v>138</v>
      </c>
      <c r="C37" s="3" t="s">
        <v>139</v>
      </c>
      <c r="D37" s="5"/>
      <c r="E37" s="3">
        <v>1</v>
      </c>
      <c r="F37" s="5"/>
      <c r="G37" s="3"/>
      <c r="H37" s="3"/>
      <c r="I37" s="3"/>
      <c r="J37" s="3"/>
      <c r="K37" s="3"/>
      <c r="L37" s="3"/>
      <c r="M37" s="3"/>
      <c r="N37" s="3"/>
      <c r="O37" s="3">
        <f>2+3</f>
        <v>5</v>
      </c>
      <c r="P37" s="3"/>
      <c r="Q37" s="3"/>
      <c r="R37" s="3"/>
      <c r="S37" s="3"/>
      <c r="T37" s="5"/>
      <c r="U37" s="3">
        <f t="shared" si="0"/>
        <v>5</v>
      </c>
    </row>
    <row r="38" spans="1:21">
      <c r="A38" s="3">
        <v>250</v>
      </c>
      <c r="B38" s="3" t="s">
        <v>179</v>
      </c>
      <c r="C38" s="3" t="s">
        <v>180</v>
      </c>
      <c r="D38" s="5"/>
      <c r="E38" s="3">
        <v>1</v>
      </c>
      <c r="F38" s="5"/>
      <c r="G38" s="3"/>
      <c r="H38" s="3"/>
      <c r="I38" s="3">
        <f>2+1</f>
        <v>3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5"/>
      <c r="U38" s="3">
        <f t="shared" si="0"/>
        <v>3</v>
      </c>
    </row>
    <row r="39" spans="1:21">
      <c r="A39" s="3">
        <v>127</v>
      </c>
      <c r="B39" s="3"/>
      <c r="C39" s="3" t="s">
        <v>197</v>
      </c>
      <c r="D39" s="5"/>
      <c r="E39" s="3">
        <v>1</v>
      </c>
      <c r="F39" s="5"/>
      <c r="G39" s="3"/>
      <c r="H39" s="3"/>
      <c r="I39" s="3"/>
      <c r="J39" s="3"/>
      <c r="K39" s="3"/>
      <c r="L39" s="3"/>
      <c r="M39" s="3"/>
      <c r="N39" s="3"/>
      <c r="O39" s="3"/>
      <c r="P39" s="3">
        <f>1+1+1</f>
        <v>3</v>
      </c>
      <c r="Q39" s="3"/>
      <c r="R39" s="3"/>
      <c r="S39" s="3"/>
      <c r="T39" s="5"/>
      <c r="U39" s="3">
        <f t="shared" si="0"/>
        <v>3</v>
      </c>
    </row>
    <row r="40" spans="1:21">
      <c r="A40" s="3"/>
      <c r="B40" s="3" t="s">
        <v>282</v>
      </c>
      <c r="C40" s="3" t="s">
        <v>283</v>
      </c>
      <c r="D40" s="5"/>
      <c r="E40" s="3">
        <v>1</v>
      </c>
      <c r="F40" s="5"/>
      <c r="G40" s="3"/>
      <c r="H40" s="3"/>
      <c r="I40" s="3"/>
      <c r="J40" s="3"/>
      <c r="K40" s="3"/>
      <c r="L40" s="3"/>
      <c r="M40" s="3"/>
      <c r="N40" s="3"/>
      <c r="O40" s="3">
        <v>2</v>
      </c>
      <c r="P40" s="3"/>
      <c r="Q40" s="3"/>
      <c r="R40" s="3"/>
      <c r="S40" s="3"/>
      <c r="T40" s="5"/>
      <c r="U40" s="3">
        <f t="shared" si="0"/>
        <v>2</v>
      </c>
    </row>
    <row r="41" spans="1:21">
      <c r="A41" s="3">
        <v>244</v>
      </c>
      <c r="B41" s="3" t="s">
        <v>181</v>
      </c>
      <c r="C41" s="3" t="s">
        <v>182</v>
      </c>
      <c r="D41" s="5"/>
      <c r="E41" s="3">
        <v>1</v>
      </c>
      <c r="F41" s="5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>
        <f>1+1</f>
        <v>2</v>
      </c>
      <c r="S41" s="3"/>
      <c r="T41" s="5"/>
      <c r="U41" s="3">
        <f t="shared" si="0"/>
        <v>2</v>
      </c>
    </row>
    <row r="42" spans="1:21">
      <c r="A42" s="3">
        <v>375</v>
      </c>
      <c r="B42" s="3" t="s">
        <v>171</v>
      </c>
      <c r="C42" s="3" t="s">
        <v>172</v>
      </c>
      <c r="D42" s="5"/>
      <c r="E42" s="3">
        <v>1</v>
      </c>
      <c r="F42" s="5"/>
      <c r="G42" s="3"/>
      <c r="H42" s="3"/>
      <c r="I42" s="3"/>
      <c r="J42" s="3"/>
      <c r="K42" s="3"/>
      <c r="L42" s="3">
        <v>2</v>
      </c>
      <c r="M42" s="3"/>
      <c r="N42" s="3"/>
      <c r="O42" s="3"/>
      <c r="P42" s="3"/>
      <c r="Q42" s="3"/>
      <c r="R42" s="3"/>
      <c r="S42" s="3"/>
      <c r="T42" s="5"/>
      <c r="U42" s="3">
        <f t="shared" si="0"/>
        <v>2</v>
      </c>
    </row>
    <row r="43" spans="1:21">
      <c r="A43" s="3">
        <v>384</v>
      </c>
      <c r="B43" s="3" t="s">
        <v>169</v>
      </c>
      <c r="C43" s="3" t="s">
        <v>170</v>
      </c>
      <c r="D43" s="5"/>
      <c r="E43" s="3">
        <v>1</v>
      </c>
      <c r="F43" s="5"/>
      <c r="G43" s="3"/>
      <c r="H43" s="3"/>
      <c r="I43" s="3"/>
      <c r="J43" s="3"/>
      <c r="K43" s="3"/>
      <c r="L43" s="3">
        <v>1</v>
      </c>
      <c r="M43" s="3"/>
      <c r="N43" s="3"/>
      <c r="O43" s="3"/>
      <c r="P43" s="3"/>
      <c r="Q43" s="3"/>
      <c r="R43" s="3"/>
      <c r="S43" s="3"/>
      <c r="T43" s="5"/>
      <c r="U43" s="3">
        <f t="shared" si="0"/>
        <v>1</v>
      </c>
    </row>
  </sheetData>
  <sortState ref="A2:U43">
    <sortCondition descending="1" ref="U2:U43"/>
  </sortState>
  <pageMargins left="0.7" right="0.7" top="0.75" bottom="0.75" header="0.3" footer="0.3"/>
  <pageSetup scale="56" orientation="landscape" horizontalDpi="4294967293" verticalDpi="4294967293" r:id="rId1"/>
  <headerFooter>
    <oddHeader>&amp;C&amp;"-,Bold"&amp;UAmateur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"/>
  <sheetViews>
    <sheetView topLeftCell="B1" zoomScale="80" zoomScaleNormal="80" workbookViewId="0">
      <pane ySplit="1" topLeftCell="A2" activePane="bottomLeft" state="frozen"/>
      <selection pane="bottomLeft" activeCell="Y35" sqref="Y35"/>
    </sheetView>
  </sheetViews>
  <sheetFormatPr defaultRowHeight="14.4"/>
  <cols>
    <col min="1" max="1" width="4.44140625" hidden="1" customWidth="1"/>
    <col min="2" max="2" width="38" bestFit="1" customWidth="1"/>
    <col min="3" max="3" width="24.33203125" bestFit="1" customWidth="1"/>
    <col min="4" max="4" width="3" customWidth="1"/>
    <col min="5" max="5" width="10.88671875" bestFit="1" customWidth="1"/>
    <col min="6" max="6" width="3.109375" customWidth="1"/>
    <col min="7" max="7" width="5.109375" bestFit="1" customWidth="1"/>
    <col min="8" max="8" width="10" bestFit="1" customWidth="1"/>
    <col min="9" max="9" width="11.44140625" bestFit="1" customWidth="1"/>
    <col min="10" max="10" width="5.6640625" bestFit="1" customWidth="1"/>
    <col min="11" max="11" width="7.88671875" bestFit="1" customWidth="1"/>
    <col min="12" max="12" width="7.33203125" bestFit="1" customWidth="1"/>
    <col min="13" max="13" width="14.33203125" bestFit="1" customWidth="1"/>
    <col min="14" max="14" width="7.77734375" customWidth="1"/>
    <col min="15" max="15" width="7.109375" bestFit="1" customWidth="1"/>
    <col min="16" max="17" width="7.44140625" bestFit="1" customWidth="1"/>
    <col min="18" max="18" width="9.33203125" bestFit="1" customWidth="1"/>
    <col min="19" max="19" width="9.5546875" bestFit="1" customWidth="1"/>
    <col min="20" max="20" width="8.6640625" bestFit="1" customWidth="1"/>
    <col min="21" max="21" width="11.5546875" bestFit="1" customWidth="1"/>
    <col min="22" max="22" width="3.44140625" customWidth="1"/>
    <col min="23" max="23" width="5.6640625" bestFit="1" customWidth="1"/>
    <col min="24" max="24" width="15.109375" bestFit="1" customWidth="1"/>
  </cols>
  <sheetData>
    <row r="1" spans="1:24" s="6" customFormat="1">
      <c r="A1" s="7" t="s">
        <v>0</v>
      </c>
      <c r="B1" s="7"/>
      <c r="C1" s="7" t="s">
        <v>284</v>
      </c>
      <c r="D1" s="8"/>
      <c r="E1" s="7" t="s">
        <v>3</v>
      </c>
      <c r="F1" s="8"/>
      <c r="G1" s="7" t="s">
        <v>4</v>
      </c>
      <c r="H1" s="7" t="s">
        <v>105</v>
      </c>
      <c r="I1" s="7" t="s">
        <v>202</v>
      </c>
      <c r="J1" s="7" t="s">
        <v>106</v>
      </c>
      <c r="K1" s="7" t="s">
        <v>107</v>
      </c>
      <c r="L1" s="7" t="s">
        <v>49</v>
      </c>
      <c r="M1" s="7" t="s">
        <v>6</v>
      </c>
      <c r="N1" s="7" t="s">
        <v>296</v>
      </c>
      <c r="O1" s="7" t="s">
        <v>108</v>
      </c>
      <c r="P1" s="7" t="s">
        <v>109</v>
      </c>
      <c r="Q1" s="7" t="s">
        <v>162</v>
      </c>
      <c r="R1" s="7" t="s">
        <v>51</v>
      </c>
      <c r="S1" s="7" t="s">
        <v>52</v>
      </c>
      <c r="T1" s="7" t="s">
        <v>203</v>
      </c>
      <c r="U1" s="7" t="s">
        <v>204</v>
      </c>
      <c r="V1" s="8"/>
      <c r="W1" s="7" t="s">
        <v>7</v>
      </c>
    </row>
    <row r="2" spans="1:24">
      <c r="A2" s="3">
        <v>127</v>
      </c>
      <c r="B2" s="3" t="s">
        <v>205</v>
      </c>
      <c r="C2" s="3" t="s">
        <v>206</v>
      </c>
      <c r="D2" s="5"/>
      <c r="E2" s="3">
        <v>5</v>
      </c>
      <c r="F2" s="5"/>
      <c r="G2" s="3">
        <v>50</v>
      </c>
      <c r="H2" s="3"/>
      <c r="I2" s="3">
        <v>64</v>
      </c>
      <c r="J2" s="3"/>
      <c r="K2" s="3"/>
      <c r="L2" s="3"/>
      <c r="M2" s="3">
        <v>55</v>
      </c>
      <c r="N2" s="3"/>
      <c r="O2" s="3">
        <v>26</v>
      </c>
      <c r="P2" s="3"/>
      <c r="Q2" s="3"/>
      <c r="R2" s="3"/>
      <c r="S2" s="3"/>
      <c r="T2" s="3"/>
      <c r="U2" s="3"/>
      <c r="V2" s="5"/>
      <c r="W2" s="3">
        <f t="shared" ref="W2:W33" si="0">SUM(G2:U2)</f>
        <v>195</v>
      </c>
    </row>
    <row r="3" spans="1:24">
      <c r="A3" s="3"/>
      <c r="B3" s="3" t="s">
        <v>207</v>
      </c>
      <c r="C3" s="3" t="s">
        <v>208</v>
      </c>
      <c r="D3" s="5"/>
      <c r="E3" s="3">
        <v>5</v>
      </c>
      <c r="F3" s="5"/>
      <c r="G3" s="3">
        <v>14</v>
      </c>
      <c r="H3" s="3">
        <v>11</v>
      </c>
      <c r="I3" s="3">
        <v>28</v>
      </c>
      <c r="J3" s="3"/>
      <c r="K3" s="3">
        <f>6+5+6</f>
        <v>17</v>
      </c>
      <c r="L3" s="3">
        <v>17</v>
      </c>
      <c r="M3" s="3">
        <v>39</v>
      </c>
      <c r="N3" s="3"/>
      <c r="O3" s="3">
        <v>22</v>
      </c>
      <c r="P3" s="3"/>
      <c r="Q3" s="3"/>
      <c r="R3" s="3"/>
      <c r="S3" s="3">
        <f>5+5+6</f>
        <v>16</v>
      </c>
      <c r="T3" s="3"/>
      <c r="U3" s="3"/>
      <c r="V3" s="5"/>
      <c r="W3" s="3">
        <f t="shared" si="0"/>
        <v>164</v>
      </c>
    </row>
    <row r="4" spans="1:24">
      <c r="A4" s="3"/>
      <c r="B4" s="3" t="s">
        <v>209</v>
      </c>
      <c r="C4" s="3" t="s">
        <v>16</v>
      </c>
      <c r="D4" s="5"/>
      <c r="E4" s="3">
        <f>1+1+1+1</f>
        <v>4</v>
      </c>
      <c r="F4" s="5"/>
      <c r="G4" s="3">
        <f>3+4+8+3+4+4+4</f>
        <v>30</v>
      </c>
      <c r="H4" s="3"/>
      <c r="I4" s="3">
        <f>7+1+1+6+6+6</f>
        <v>27</v>
      </c>
      <c r="J4" s="3"/>
      <c r="K4" s="3"/>
      <c r="L4" s="3"/>
      <c r="M4" s="3">
        <f>8+7+5+4+5+4+6</f>
        <v>39</v>
      </c>
      <c r="N4" s="3"/>
      <c r="O4" s="3"/>
      <c r="P4" s="3"/>
      <c r="Q4" s="3"/>
      <c r="R4" s="3"/>
      <c r="S4" s="3"/>
      <c r="T4" s="3"/>
      <c r="U4" s="3"/>
      <c r="V4" s="5"/>
      <c r="W4" s="3">
        <f t="shared" si="0"/>
        <v>96</v>
      </c>
    </row>
    <row r="5" spans="1:24">
      <c r="A5" s="3">
        <v>140</v>
      </c>
      <c r="B5" s="9" t="s">
        <v>210</v>
      </c>
      <c r="C5" s="3" t="s">
        <v>211</v>
      </c>
      <c r="D5" s="5"/>
      <c r="E5" s="3">
        <f>1+1</f>
        <v>2</v>
      </c>
      <c r="F5" s="5"/>
      <c r="G5" s="3">
        <v>28</v>
      </c>
      <c r="H5" s="3"/>
      <c r="I5" s="3"/>
      <c r="J5" s="3"/>
      <c r="K5" s="3">
        <f>7+7</f>
        <v>14</v>
      </c>
      <c r="L5" s="3"/>
      <c r="M5" s="3"/>
      <c r="N5" s="3"/>
      <c r="O5" s="3"/>
      <c r="P5" s="3"/>
      <c r="Q5" s="3"/>
      <c r="R5" s="3"/>
      <c r="S5" s="3">
        <v>35</v>
      </c>
      <c r="T5" s="3"/>
      <c r="U5" s="3"/>
      <c r="V5" s="5"/>
      <c r="W5" s="3">
        <f t="shared" si="0"/>
        <v>77</v>
      </c>
    </row>
    <row r="6" spans="1:24">
      <c r="A6" s="3">
        <v>202</v>
      </c>
      <c r="B6" s="3" t="s">
        <v>213</v>
      </c>
      <c r="C6" s="3" t="s">
        <v>214</v>
      </c>
      <c r="D6" s="5"/>
      <c r="E6" s="3">
        <v>1</v>
      </c>
      <c r="F6" s="5"/>
      <c r="G6" s="3">
        <f>2+3+3</f>
        <v>8</v>
      </c>
      <c r="H6" s="3"/>
      <c r="I6" s="3"/>
      <c r="J6" s="3"/>
      <c r="K6" s="3">
        <f>5+6+5</f>
        <v>16</v>
      </c>
      <c r="L6" s="3"/>
      <c r="M6" s="3">
        <f>4+6+4</f>
        <v>14</v>
      </c>
      <c r="N6" s="3"/>
      <c r="O6" s="3"/>
      <c r="P6" s="3"/>
      <c r="Q6" s="3"/>
      <c r="R6" s="3"/>
      <c r="S6" s="3">
        <f>4+4+4</f>
        <v>12</v>
      </c>
      <c r="T6" s="3"/>
      <c r="U6" s="3"/>
      <c r="V6" s="5"/>
      <c r="W6" s="3">
        <f t="shared" si="0"/>
        <v>50</v>
      </c>
    </row>
    <row r="7" spans="1:24">
      <c r="A7" s="3"/>
      <c r="B7" s="3" t="s">
        <v>265</v>
      </c>
      <c r="C7" s="3" t="s">
        <v>192</v>
      </c>
      <c r="D7" s="5"/>
      <c r="E7" s="3">
        <v>2</v>
      </c>
      <c r="F7" s="5"/>
      <c r="G7" s="3"/>
      <c r="H7" s="3"/>
      <c r="I7" s="3"/>
      <c r="J7" s="3"/>
      <c r="K7" s="3"/>
      <c r="L7" s="3"/>
      <c r="M7" s="3"/>
      <c r="N7" s="3"/>
      <c r="O7" s="3"/>
      <c r="P7" s="3">
        <v>20</v>
      </c>
      <c r="Q7" s="3"/>
      <c r="R7" s="3"/>
      <c r="S7" s="3"/>
      <c r="T7" s="3">
        <v>18</v>
      </c>
      <c r="U7" s="3"/>
      <c r="V7" s="5"/>
      <c r="W7" s="3">
        <f t="shared" si="0"/>
        <v>38</v>
      </c>
    </row>
    <row r="8" spans="1:24">
      <c r="A8" s="3">
        <v>160</v>
      </c>
      <c r="B8" s="3" t="s">
        <v>238</v>
      </c>
      <c r="C8" s="3" t="s">
        <v>92</v>
      </c>
      <c r="D8" s="5"/>
      <c r="E8" s="3">
        <v>1</v>
      </c>
      <c r="F8" s="5"/>
      <c r="G8" s="3">
        <v>6</v>
      </c>
      <c r="H8" s="3"/>
      <c r="I8" s="3">
        <v>13</v>
      </c>
      <c r="J8" s="3"/>
      <c r="K8" s="3"/>
      <c r="L8" s="3"/>
      <c r="M8" s="3">
        <v>4</v>
      </c>
      <c r="N8" s="3"/>
      <c r="O8" s="3">
        <v>7</v>
      </c>
      <c r="P8" s="3"/>
      <c r="Q8" s="3"/>
      <c r="R8" s="3"/>
      <c r="S8" s="3"/>
      <c r="T8" s="3"/>
      <c r="U8" s="3"/>
      <c r="V8" s="5"/>
      <c r="W8" s="3">
        <f t="shared" si="0"/>
        <v>30</v>
      </c>
    </row>
    <row r="9" spans="1:24">
      <c r="A9" s="3">
        <v>100</v>
      </c>
      <c r="B9" s="3" t="s">
        <v>215</v>
      </c>
      <c r="C9" s="3" t="s">
        <v>216</v>
      </c>
      <c r="D9" s="5"/>
      <c r="E9" s="3">
        <v>1</v>
      </c>
      <c r="F9" s="5"/>
      <c r="G9" s="3"/>
      <c r="H9" s="3">
        <f>9+4</f>
        <v>13</v>
      </c>
      <c r="I9" s="3"/>
      <c r="J9" s="3">
        <f>3+3</f>
        <v>6</v>
      </c>
      <c r="K9" s="3"/>
      <c r="L9" s="3"/>
      <c r="M9" s="3"/>
      <c r="N9" s="3"/>
      <c r="O9" s="3"/>
      <c r="P9" s="3"/>
      <c r="Q9" s="3"/>
      <c r="R9" s="3">
        <f>5+5</f>
        <v>10</v>
      </c>
      <c r="S9" s="3"/>
      <c r="T9" s="3"/>
      <c r="U9" s="3"/>
      <c r="V9" s="5"/>
      <c r="W9" s="3">
        <f t="shared" si="0"/>
        <v>29</v>
      </c>
    </row>
    <row r="10" spans="1:24">
      <c r="A10" s="3">
        <v>392</v>
      </c>
      <c r="B10" s="3" t="s">
        <v>217</v>
      </c>
      <c r="C10" s="3" t="s">
        <v>218</v>
      </c>
      <c r="D10" s="5"/>
      <c r="E10" s="3">
        <v>1</v>
      </c>
      <c r="F10" s="5"/>
      <c r="G10" s="3"/>
      <c r="H10" s="3"/>
      <c r="I10" s="3"/>
      <c r="J10" s="3"/>
      <c r="K10" s="3">
        <f>3+4+3</f>
        <v>10</v>
      </c>
      <c r="L10" s="3"/>
      <c r="M10" s="3">
        <f>3+3+3</f>
        <v>9</v>
      </c>
      <c r="N10" s="3"/>
      <c r="O10" s="3"/>
      <c r="P10" s="3"/>
      <c r="Q10" s="3"/>
      <c r="R10" s="3"/>
      <c r="S10" s="3">
        <f>3+3+3</f>
        <v>9</v>
      </c>
      <c r="T10" s="3"/>
      <c r="U10" s="3"/>
      <c r="V10" s="5"/>
      <c r="W10" s="3">
        <f t="shared" si="0"/>
        <v>28</v>
      </c>
    </row>
    <row r="11" spans="1:24">
      <c r="A11" s="3">
        <v>141</v>
      </c>
      <c r="B11" s="3" t="s">
        <v>223</v>
      </c>
      <c r="C11" s="3" t="s">
        <v>224</v>
      </c>
      <c r="D11" s="5"/>
      <c r="E11" s="3">
        <v>1</v>
      </c>
      <c r="F11" s="5"/>
      <c r="G11" s="3"/>
      <c r="H11" s="3">
        <f>10+9</f>
        <v>19</v>
      </c>
      <c r="I11" s="3"/>
      <c r="J11" s="3">
        <f>4+4</f>
        <v>8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5"/>
      <c r="W11" s="3">
        <f t="shared" si="0"/>
        <v>27</v>
      </c>
    </row>
    <row r="12" spans="1:24">
      <c r="A12" s="3">
        <v>125</v>
      </c>
      <c r="B12" s="3" t="s">
        <v>219</v>
      </c>
      <c r="C12" s="3" t="s">
        <v>220</v>
      </c>
      <c r="D12" s="5"/>
      <c r="E12" s="3">
        <v>1</v>
      </c>
      <c r="F12" s="5"/>
      <c r="G12" s="3">
        <v>0</v>
      </c>
      <c r="H12" s="3"/>
      <c r="I12" s="3">
        <f>6+9</f>
        <v>15</v>
      </c>
      <c r="J12" s="3"/>
      <c r="K12" s="3">
        <v>0</v>
      </c>
      <c r="L12" s="3"/>
      <c r="M12" s="3">
        <f>6+6</f>
        <v>12</v>
      </c>
      <c r="N12" s="3"/>
      <c r="O12" s="3"/>
      <c r="P12" s="3"/>
      <c r="Q12" s="3"/>
      <c r="R12" s="3"/>
      <c r="S12" s="3"/>
      <c r="T12" s="3"/>
      <c r="U12" s="3"/>
      <c r="V12" s="5"/>
      <c r="W12" s="3">
        <f t="shared" si="0"/>
        <v>27</v>
      </c>
    </row>
    <row r="13" spans="1:24">
      <c r="A13" s="3">
        <v>223</v>
      </c>
      <c r="B13" s="3" t="s">
        <v>221</v>
      </c>
      <c r="C13" s="3" t="s">
        <v>222</v>
      </c>
      <c r="D13" s="5"/>
      <c r="E13" s="3">
        <v>1</v>
      </c>
      <c r="F13" s="5"/>
      <c r="G13" s="3"/>
      <c r="H13" s="3">
        <f>7+9</f>
        <v>16</v>
      </c>
      <c r="I13" s="3"/>
      <c r="J13" s="3">
        <f>5+6</f>
        <v>11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5"/>
      <c r="W13" s="3">
        <f t="shared" si="0"/>
        <v>27</v>
      </c>
    </row>
    <row r="14" spans="1:24" hidden="1">
      <c r="A14" s="3">
        <v>144</v>
      </c>
      <c r="B14" s="3" t="s">
        <v>196</v>
      </c>
      <c r="C14" s="3" t="s">
        <v>9</v>
      </c>
      <c r="D14" s="5"/>
      <c r="E14" s="3">
        <v>1</v>
      </c>
      <c r="F14" s="5"/>
      <c r="G14" s="3"/>
      <c r="H14" s="3">
        <f>4+8</f>
        <v>12</v>
      </c>
      <c r="I14" s="3">
        <f>9+6</f>
        <v>15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5"/>
      <c r="W14" s="3">
        <f t="shared" si="0"/>
        <v>27</v>
      </c>
      <c r="X14" s="11" t="s">
        <v>212</v>
      </c>
    </row>
    <row r="15" spans="1:24">
      <c r="A15" s="3">
        <v>241</v>
      </c>
      <c r="B15" s="3" t="s">
        <v>239</v>
      </c>
      <c r="C15" s="3" t="s">
        <v>184</v>
      </c>
      <c r="D15" s="5"/>
      <c r="E15" s="3">
        <v>2</v>
      </c>
      <c r="F15" s="5"/>
      <c r="G15" s="3"/>
      <c r="H15" s="3"/>
      <c r="I15" s="3"/>
      <c r="J15" s="3"/>
      <c r="K15" s="3"/>
      <c r="L15" s="3"/>
      <c r="M15" s="3"/>
      <c r="N15" s="3"/>
      <c r="O15" s="3"/>
      <c r="P15" s="3"/>
      <c r="Q15" s="3">
        <v>26</v>
      </c>
      <c r="R15" s="3"/>
      <c r="S15" s="3"/>
      <c r="T15" s="3"/>
      <c r="U15" s="3"/>
      <c r="V15" s="5"/>
      <c r="W15" s="3">
        <f t="shared" si="0"/>
        <v>26</v>
      </c>
    </row>
    <row r="16" spans="1:24">
      <c r="A16" s="3">
        <v>162</v>
      </c>
      <c r="B16" s="9" t="s">
        <v>217</v>
      </c>
      <c r="C16" s="3" t="s">
        <v>77</v>
      </c>
      <c r="D16" s="5"/>
      <c r="E16" s="3">
        <v>3</v>
      </c>
      <c r="F16" s="5"/>
      <c r="G16" s="3">
        <f>1+1+1</f>
        <v>3</v>
      </c>
      <c r="H16" s="3"/>
      <c r="I16" s="3">
        <f>3+3</f>
        <v>6</v>
      </c>
      <c r="J16" s="3"/>
      <c r="K16" s="3"/>
      <c r="L16" s="3"/>
      <c r="M16" s="3">
        <f>3+3</f>
        <v>6</v>
      </c>
      <c r="N16" s="3"/>
      <c r="O16" s="3">
        <v>1</v>
      </c>
      <c r="P16" s="3"/>
      <c r="Q16" s="3"/>
      <c r="R16" s="3"/>
      <c r="S16" s="3"/>
      <c r="T16" s="3"/>
      <c r="U16" s="3">
        <f>3+3+2</f>
        <v>8</v>
      </c>
      <c r="V16" s="5"/>
      <c r="W16" s="3">
        <f t="shared" si="0"/>
        <v>24</v>
      </c>
    </row>
    <row r="17" spans="1:24" hidden="1">
      <c r="A17" s="3">
        <v>240</v>
      </c>
      <c r="B17" s="9" t="s">
        <v>217</v>
      </c>
      <c r="C17" s="3" t="s">
        <v>226</v>
      </c>
      <c r="D17" s="5"/>
      <c r="E17" s="3">
        <f>1+1</f>
        <v>2</v>
      </c>
      <c r="F17" s="5"/>
      <c r="G17" s="3"/>
      <c r="H17" s="3"/>
      <c r="I17" s="3">
        <f>2+3</f>
        <v>5</v>
      </c>
      <c r="J17" s="3"/>
      <c r="K17" s="3"/>
      <c r="L17" s="3"/>
      <c r="M17" s="3"/>
      <c r="N17" s="3"/>
      <c r="O17" s="3"/>
      <c r="P17" s="3"/>
      <c r="Q17" s="3"/>
      <c r="R17" s="3"/>
      <c r="S17" s="3">
        <f>6+6+5</f>
        <v>17</v>
      </c>
      <c r="T17" s="3"/>
      <c r="U17" s="3"/>
      <c r="V17" s="5"/>
      <c r="W17" s="3">
        <f t="shared" si="0"/>
        <v>22</v>
      </c>
      <c r="X17" s="11" t="s">
        <v>212</v>
      </c>
    </row>
    <row r="18" spans="1:24">
      <c r="A18" s="3">
        <v>154</v>
      </c>
      <c r="B18" s="9" t="s">
        <v>210</v>
      </c>
      <c r="C18" s="3" t="s">
        <v>225</v>
      </c>
      <c r="D18" s="5"/>
      <c r="E18" s="3">
        <v>1</v>
      </c>
      <c r="F18" s="5"/>
      <c r="G18" s="3"/>
      <c r="H18" s="3"/>
      <c r="I18" s="3"/>
      <c r="J18" s="3"/>
      <c r="K18" s="3">
        <f>6+6</f>
        <v>12</v>
      </c>
      <c r="L18" s="3"/>
      <c r="M18" s="3"/>
      <c r="N18" s="3"/>
      <c r="O18" s="3"/>
      <c r="P18" s="3"/>
      <c r="Q18" s="3"/>
      <c r="R18" s="3"/>
      <c r="S18" s="3">
        <f>5+6</f>
        <v>11</v>
      </c>
      <c r="T18" s="3"/>
      <c r="U18" s="3"/>
      <c r="V18" s="5"/>
      <c r="W18" s="3">
        <f t="shared" si="0"/>
        <v>23</v>
      </c>
    </row>
    <row r="19" spans="1:24">
      <c r="A19" s="3">
        <v>376</v>
      </c>
      <c r="B19" s="3" t="s">
        <v>187</v>
      </c>
      <c r="C19" s="3" t="s">
        <v>188</v>
      </c>
      <c r="D19" s="5"/>
      <c r="E19" s="3">
        <v>1</v>
      </c>
      <c r="F19" s="5"/>
      <c r="G19" s="3"/>
      <c r="H19" s="3"/>
      <c r="I19" s="3"/>
      <c r="J19" s="3"/>
      <c r="K19" s="3">
        <f>5+5</f>
        <v>10</v>
      </c>
      <c r="L19" s="3"/>
      <c r="M19" s="3"/>
      <c r="N19" s="3"/>
      <c r="O19" s="3"/>
      <c r="P19" s="3"/>
      <c r="Q19" s="3"/>
      <c r="R19" s="3"/>
      <c r="S19" s="3">
        <f>7+5</f>
        <v>12</v>
      </c>
      <c r="T19" s="3"/>
      <c r="U19" s="3"/>
      <c r="V19" s="5"/>
      <c r="W19" s="3">
        <f t="shared" si="0"/>
        <v>22</v>
      </c>
    </row>
    <row r="20" spans="1:24">
      <c r="A20" s="3">
        <v>230</v>
      </c>
      <c r="B20" s="9" t="s">
        <v>227</v>
      </c>
      <c r="C20" s="3" t="s">
        <v>228</v>
      </c>
      <c r="D20" s="5"/>
      <c r="E20" s="3">
        <v>1</v>
      </c>
      <c r="F20" s="5"/>
      <c r="G20" s="3">
        <v>0</v>
      </c>
      <c r="H20" s="3"/>
      <c r="I20" s="3">
        <f>4+4</f>
        <v>8</v>
      </c>
      <c r="J20" s="3"/>
      <c r="K20" s="3"/>
      <c r="L20" s="3"/>
      <c r="M20" s="3">
        <f>4+5</f>
        <v>9</v>
      </c>
      <c r="N20" s="3"/>
      <c r="O20" s="3">
        <f>3+2</f>
        <v>5</v>
      </c>
      <c r="P20" s="3"/>
      <c r="Q20" s="3"/>
      <c r="R20" s="3"/>
      <c r="S20" s="3"/>
      <c r="T20" s="3"/>
      <c r="U20" s="3"/>
      <c r="V20" s="5"/>
      <c r="W20" s="3">
        <f t="shared" si="0"/>
        <v>22</v>
      </c>
      <c r="X20" s="14"/>
    </row>
    <row r="21" spans="1:24">
      <c r="A21" s="3">
        <v>150</v>
      </c>
      <c r="B21" s="3" t="s">
        <v>19</v>
      </c>
      <c r="C21" s="3" t="s">
        <v>20</v>
      </c>
      <c r="D21" s="5"/>
      <c r="E21" s="3">
        <v>3</v>
      </c>
      <c r="F21" s="5"/>
      <c r="G21" s="3"/>
      <c r="H21" s="3"/>
      <c r="I21" s="3"/>
      <c r="J21" s="3"/>
      <c r="K21" s="3"/>
      <c r="L21" s="3"/>
      <c r="M21" s="3"/>
      <c r="N21" s="3"/>
      <c r="O21" s="3">
        <v>22</v>
      </c>
      <c r="P21" s="3"/>
      <c r="Q21" s="3"/>
      <c r="R21" s="3"/>
      <c r="S21" s="3"/>
      <c r="T21" s="3"/>
      <c r="U21" s="3"/>
      <c r="V21" s="5"/>
      <c r="W21" s="3">
        <f t="shared" si="0"/>
        <v>22</v>
      </c>
    </row>
    <row r="22" spans="1:24">
      <c r="A22" s="3">
        <v>239</v>
      </c>
      <c r="B22" s="3" t="s">
        <v>148</v>
      </c>
      <c r="C22" s="3" t="s">
        <v>149</v>
      </c>
      <c r="D22" s="5"/>
      <c r="E22" s="3">
        <v>1</v>
      </c>
      <c r="F22" s="5"/>
      <c r="G22" s="3"/>
      <c r="H22" s="3"/>
      <c r="I22" s="3">
        <f>5+8</f>
        <v>13</v>
      </c>
      <c r="J22" s="3"/>
      <c r="K22" s="3">
        <f>4+4</f>
        <v>8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5"/>
      <c r="W22" s="3">
        <f t="shared" si="0"/>
        <v>21</v>
      </c>
    </row>
    <row r="23" spans="1:24">
      <c r="A23" s="3">
        <v>797</v>
      </c>
      <c r="B23" s="3" t="s">
        <v>40</v>
      </c>
      <c r="C23" s="3" t="s">
        <v>41</v>
      </c>
      <c r="D23" s="5"/>
      <c r="E23" s="3">
        <v>1</v>
      </c>
      <c r="F23" s="5"/>
      <c r="G23" s="3">
        <f>3+3+3</f>
        <v>9</v>
      </c>
      <c r="H23" s="3"/>
      <c r="I23" s="3"/>
      <c r="J23" s="3"/>
      <c r="K23" s="3"/>
      <c r="L23" s="3"/>
      <c r="M23" s="3"/>
      <c r="N23" s="3"/>
      <c r="O23" s="3">
        <f>1+1+1</f>
        <v>3</v>
      </c>
      <c r="P23" s="3"/>
      <c r="Q23" s="3"/>
      <c r="R23" s="3"/>
      <c r="S23" s="3"/>
      <c r="T23" s="3"/>
      <c r="U23" s="3">
        <f>2+2+3</f>
        <v>7</v>
      </c>
      <c r="V23" s="5"/>
      <c r="W23" s="3">
        <f t="shared" si="0"/>
        <v>19</v>
      </c>
    </row>
    <row r="24" spans="1:24">
      <c r="A24" s="3">
        <v>238</v>
      </c>
      <c r="B24" s="3" t="s">
        <v>217</v>
      </c>
      <c r="C24" s="3" t="s">
        <v>229</v>
      </c>
      <c r="D24" s="5"/>
      <c r="E24" s="3">
        <v>1</v>
      </c>
      <c r="F24" s="5"/>
      <c r="G24" s="3"/>
      <c r="H24" s="3"/>
      <c r="I24" s="3">
        <f>2+3+2</f>
        <v>7</v>
      </c>
      <c r="J24" s="3"/>
      <c r="K24" s="3">
        <f>4+3+4</f>
        <v>11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5"/>
      <c r="W24" s="3">
        <f t="shared" si="0"/>
        <v>18</v>
      </c>
    </row>
    <row r="25" spans="1:24">
      <c r="A25" s="3">
        <v>243</v>
      </c>
      <c r="B25" s="3" t="s">
        <v>19</v>
      </c>
      <c r="C25" s="3" t="s">
        <v>288</v>
      </c>
      <c r="D25" s="5"/>
      <c r="E25" s="3">
        <v>1</v>
      </c>
      <c r="F25" s="5"/>
      <c r="G25" s="3"/>
      <c r="H25" s="3"/>
      <c r="I25" s="3"/>
      <c r="J25" s="3"/>
      <c r="K25" s="3"/>
      <c r="L25" s="3"/>
      <c r="M25" s="3"/>
      <c r="N25" s="3">
        <v>13</v>
      </c>
      <c r="O25" s="3"/>
      <c r="P25" s="3"/>
      <c r="Q25" s="3"/>
      <c r="R25" s="3"/>
      <c r="S25" s="3"/>
      <c r="T25" s="3">
        <v>4</v>
      </c>
      <c r="U25" s="3"/>
      <c r="V25" s="5"/>
      <c r="W25" s="3">
        <f t="shared" si="0"/>
        <v>17</v>
      </c>
    </row>
    <row r="26" spans="1:24">
      <c r="A26" s="3">
        <v>211</v>
      </c>
      <c r="B26" s="3" t="s">
        <v>298</v>
      </c>
      <c r="C26" s="3" t="s">
        <v>130</v>
      </c>
      <c r="D26" s="5"/>
      <c r="E26" s="3">
        <v>2</v>
      </c>
      <c r="F26" s="5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>
        <v>17</v>
      </c>
      <c r="U26" s="3"/>
      <c r="V26" s="5"/>
      <c r="W26" s="3">
        <f t="shared" si="0"/>
        <v>17</v>
      </c>
    </row>
    <row r="27" spans="1:24">
      <c r="A27" s="3">
        <v>170</v>
      </c>
      <c r="B27" s="3" t="s">
        <v>40</v>
      </c>
      <c r="C27" s="3" t="s">
        <v>232</v>
      </c>
      <c r="D27" s="5"/>
      <c r="E27" s="3">
        <f>1+1</f>
        <v>2</v>
      </c>
      <c r="F27" s="5"/>
      <c r="G27" s="3"/>
      <c r="H27" s="3">
        <f>2+2+2</f>
        <v>6</v>
      </c>
      <c r="I27" s="3">
        <f>3+5+1+1</f>
        <v>10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5"/>
      <c r="W27" s="3">
        <f t="shared" si="0"/>
        <v>16</v>
      </c>
    </row>
    <row r="28" spans="1:24">
      <c r="A28" s="3">
        <v>242</v>
      </c>
      <c r="B28" s="3" t="s">
        <v>230</v>
      </c>
      <c r="C28" s="3" t="s">
        <v>231</v>
      </c>
      <c r="D28" s="5"/>
      <c r="E28" s="3">
        <v>1</v>
      </c>
      <c r="F28" s="5"/>
      <c r="G28" s="3"/>
      <c r="H28" s="3">
        <f>6+6</f>
        <v>12</v>
      </c>
      <c r="I28" s="3"/>
      <c r="J28" s="3">
        <f>2+2</f>
        <v>4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5"/>
      <c r="W28" s="3">
        <f t="shared" si="0"/>
        <v>16</v>
      </c>
    </row>
    <row r="29" spans="1:24">
      <c r="A29" s="3"/>
      <c r="B29" s="3" t="s">
        <v>230</v>
      </c>
      <c r="C29" s="3" t="s">
        <v>233</v>
      </c>
      <c r="D29" s="5"/>
      <c r="E29" s="3">
        <v>1</v>
      </c>
      <c r="F29" s="5"/>
      <c r="G29" s="3"/>
      <c r="H29" s="3">
        <f>8+7</f>
        <v>15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5"/>
      <c r="W29" s="3">
        <f t="shared" si="0"/>
        <v>15</v>
      </c>
    </row>
    <row r="30" spans="1:24">
      <c r="A30" s="3">
        <v>161</v>
      </c>
      <c r="B30" s="3" t="s">
        <v>185</v>
      </c>
      <c r="C30" s="3" t="s">
        <v>186</v>
      </c>
      <c r="D30" s="5"/>
      <c r="E30" s="3">
        <v>1</v>
      </c>
      <c r="F30" s="5"/>
      <c r="G30" s="3"/>
      <c r="H30" s="3"/>
      <c r="I30" s="3">
        <f>8+7</f>
        <v>15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5"/>
      <c r="W30" s="3">
        <f t="shared" si="0"/>
        <v>15</v>
      </c>
    </row>
    <row r="31" spans="1:24">
      <c r="A31" s="3">
        <v>228</v>
      </c>
      <c r="B31" s="3" t="s">
        <v>242</v>
      </c>
      <c r="C31" s="3" t="s">
        <v>98</v>
      </c>
      <c r="D31" s="5"/>
      <c r="E31" s="3">
        <v>1</v>
      </c>
      <c r="F31" s="5"/>
      <c r="G31" s="3"/>
      <c r="H31" s="3"/>
      <c r="I31" s="3"/>
      <c r="J31" s="3"/>
      <c r="K31" s="3"/>
      <c r="L31" s="3"/>
      <c r="M31" s="3"/>
      <c r="N31" s="3"/>
      <c r="O31" s="3"/>
      <c r="P31" s="3"/>
      <c r="Q31" s="3">
        <v>14</v>
      </c>
      <c r="R31" s="3"/>
      <c r="S31" s="3"/>
      <c r="T31" s="3"/>
      <c r="U31" s="3"/>
      <c r="V31" s="5"/>
      <c r="W31" s="3">
        <f t="shared" si="0"/>
        <v>14</v>
      </c>
    </row>
    <row r="32" spans="1:24">
      <c r="A32" s="3">
        <v>126</v>
      </c>
      <c r="B32" s="3" t="s">
        <v>223</v>
      </c>
      <c r="C32" s="3" t="s">
        <v>234</v>
      </c>
      <c r="D32" s="5"/>
      <c r="E32" s="3">
        <v>1</v>
      </c>
      <c r="F32" s="5"/>
      <c r="G32" s="3"/>
      <c r="H32" s="3"/>
      <c r="I32" s="3">
        <f>2+2</f>
        <v>4</v>
      </c>
      <c r="J32" s="3"/>
      <c r="K32" s="3"/>
      <c r="L32" s="3">
        <f>2+2</f>
        <v>4</v>
      </c>
      <c r="M32" s="3"/>
      <c r="N32" s="3"/>
      <c r="O32" s="3"/>
      <c r="P32" s="3"/>
      <c r="Q32" s="3"/>
      <c r="R32" s="3">
        <f>3+3</f>
        <v>6</v>
      </c>
      <c r="S32" s="3"/>
      <c r="T32" s="3"/>
      <c r="U32" s="3"/>
      <c r="V32" s="5"/>
      <c r="W32" s="3">
        <f t="shared" si="0"/>
        <v>14</v>
      </c>
    </row>
    <row r="33" spans="1:24">
      <c r="A33" s="3">
        <v>232</v>
      </c>
      <c r="B33" s="3" t="s">
        <v>171</v>
      </c>
      <c r="C33" s="3" t="s">
        <v>247</v>
      </c>
      <c r="D33" s="5"/>
      <c r="E33" s="3">
        <v>1</v>
      </c>
      <c r="F33" s="5"/>
      <c r="G33" s="3"/>
      <c r="H33" s="3">
        <v>8</v>
      </c>
      <c r="I33" s="3"/>
      <c r="J33" s="3"/>
      <c r="K33" s="3"/>
      <c r="L33" s="3">
        <v>5</v>
      </c>
      <c r="M33" s="3"/>
      <c r="N33" s="3"/>
      <c r="O33" s="3"/>
      <c r="P33" s="3"/>
      <c r="Q33" s="3"/>
      <c r="R33" s="3"/>
      <c r="S33" s="3"/>
      <c r="T33" s="3"/>
      <c r="U33" s="3"/>
      <c r="V33" s="5"/>
      <c r="W33" s="3">
        <f t="shared" si="0"/>
        <v>13</v>
      </c>
    </row>
    <row r="34" spans="1:24">
      <c r="A34" s="3">
        <v>395</v>
      </c>
      <c r="B34" s="3" t="s">
        <v>95</v>
      </c>
      <c r="C34" s="3" t="s">
        <v>96</v>
      </c>
      <c r="D34" s="5"/>
      <c r="E34" s="3">
        <v>2</v>
      </c>
      <c r="F34" s="5"/>
      <c r="G34" s="3"/>
      <c r="H34" s="3"/>
      <c r="I34" s="3">
        <v>13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5"/>
      <c r="W34" s="3">
        <f t="shared" ref="W34:W58" si="1">SUM(G34:U34)</f>
        <v>13</v>
      </c>
    </row>
    <row r="35" spans="1:24">
      <c r="A35" s="3">
        <v>208</v>
      </c>
      <c r="B35" s="3" t="s">
        <v>249</v>
      </c>
      <c r="C35" s="3" t="s">
        <v>194</v>
      </c>
      <c r="D35" s="5"/>
      <c r="E35" s="3">
        <v>1</v>
      </c>
      <c r="F35" s="5"/>
      <c r="G35" s="3"/>
      <c r="H35" s="3">
        <v>10</v>
      </c>
      <c r="I35" s="3"/>
      <c r="J35" s="3"/>
      <c r="K35" s="3"/>
      <c r="L35" s="3">
        <v>2</v>
      </c>
      <c r="M35" s="3"/>
      <c r="N35" s="3"/>
      <c r="O35" s="3"/>
      <c r="P35" s="3"/>
      <c r="Q35" s="3"/>
      <c r="R35" s="3"/>
      <c r="S35" s="3"/>
      <c r="T35" s="3"/>
      <c r="U35" s="3"/>
      <c r="V35" s="5"/>
      <c r="W35" s="3">
        <f t="shared" si="1"/>
        <v>12</v>
      </c>
    </row>
    <row r="36" spans="1:24">
      <c r="A36" s="3"/>
      <c r="B36" s="3" t="s">
        <v>235</v>
      </c>
      <c r="C36" s="3" t="s">
        <v>236</v>
      </c>
      <c r="D36" s="5"/>
      <c r="E36" s="3">
        <v>1</v>
      </c>
      <c r="F36" s="5"/>
      <c r="G36" s="3">
        <v>6</v>
      </c>
      <c r="H36" s="3"/>
      <c r="I36" s="3"/>
      <c r="J36" s="3"/>
      <c r="K36" s="3"/>
      <c r="L36" s="3"/>
      <c r="M36" s="3">
        <v>6</v>
      </c>
      <c r="N36" s="3"/>
      <c r="O36" s="3"/>
      <c r="P36" s="3"/>
      <c r="Q36" s="3"/>
      <c r="R36" s="3"/>
      <c r="S36" s="3"/>
      <c r="T36" s="3"/>
      <c r="U36" s="3"/>
      <c r="V36" s="5"/>
      <c r="W36" s="3">
        <f t="shared" si="1"/>
        <v>12</v>
      </c>
    </row>
    <row r="37" spans="1:24">
      <c r="A37" s="3">
        <v>128</v>
      </c>
      <c r="B37" s="3"/>
      <c r="C37" s="3" t="s">
        <v>197</v>
      </c>
      <c r="D37" s="5"/>
      <c r="E37" s="3">
        <v>1</v>
      </c>
      <c r="F37" s="5"/>
      <c r="G37" s="3"/>
      <c r="H37" s="3"/>
      <c r="I37" s="3"/>
      <c r="J37" s="3"/>
      <c r="K37" s="3"/>
      <c r="L37" s="3"/>
      <c r="M37" s="3"/>
      <c r="N37" s="3"/>
      <c r="O37" s="3"/>
      <c r="P37" s="3">
        <f>1+1+1</f>
        <v>3</v>
      </c>
      <c r="Q37" s="3"/>
      <c r="R37" s="3"/>
      <c r="S37" s="3"/>
      <c r="T37" s="3">
        <f>2+3+3</f>
        <v>8</v>
      </c>
      <c r="U37" s="3"/>
      <c r="V37" s="5"/>
      <c r="W37" s="3">
        <f t="shared" si="1"/>
        <v>11</v>
      </c>
    </row>
    <row r="38" spans="1:24">
      <c r="A38" s="3"/>
      <c r="B38" s="9" t="s">
        <v>237</v>
      </c>
      <c r="C38" s="3" t="s">
        <v>137</v>
      </c>
      <c r="D38" s="5"/>
      <c r="E38" s="3">
        <v>1</v>
      </c>
      <c r="F38" s="5"/>
      <c r="G38" s="3"/>
      <c r="H38" s="3"/>
      <c r="I38" s="3"/>
      <c r="J38" s="3">
        <f>6+5</f>
        <v>11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5"/>
      <c r="W38" s="3">
        <f t="shared" si="1"/>
        <v>11</v>
      </c>
    </row>
    <row r="39" spans="1:24">
      <c r="A39" s="3">
        <v>224</v>
      </c>
      <c r="B39" s="3" t="s">
        <v>223</v>
      </c>
      <c r="C39" s="3" t="s">
        <v>190</v>
      </c>
      <c r="D39" s="5"/>
      <c r="E39" s="3">
        <v>1</v>
      </c>
      <c r="F39" s="5"/>
      <c r="G39" s="3"/>
      <c r="H39" s="3">
        <f>5+5</f>
        <v>10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5"/>
      <c r="W39" s="3">
        <f t="shared" si="1"/>
        <v>10</v>
      </c>
    </row>
    <row r="40" spans="1:24">
      <c r="A40" s="3">
        <v>331</v>
      </c>
      <c r="B40" s="9" t="s">
        <v>210</v>
      </c>
      <c r="C40" s="3" t="s">
        <v>151</v>
      </c>
      <c r="D40" s="5"/>
      <c r="E40" s="3">
        <v>1</v>
      </c>
      <c r="F40" s="5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>
        <v>9</v>
      </c>
      <c r="T40" s="3"/>
      <c r="U40" s="3"/>
      <c r="V40" s="5"/>
      <c r="W40" s="3">
        <f t="shared" si="1"/>
        <v>9</v>
      </c>
    </row>
    <row r="41" spans="1:24">
      <c r="A41" s="3">
        <v>153</v>
      </c>
      <c r="B41" s="3" t="s">
        <v>76</v>
      </c>
      <c r="C41" s="3" t="s">
        <v>77</v>
      </c>
      <c r="D41" s="5"/>
      <c r="E41" s="3">
        <v>1</v>
      </c>
      <c r="F41" s="5"/>
      <c r="G41" s="3"/>
      <c r="H41" s="3"/>
      <c r="I41" s="3">
        <v>4</v>
      </c>
      <c r="J41" s="3"/>
      <c r="K41" s="3"/>
      <c r="L41" s="3"/>
      <c r="M41" s="3"/>
      <c r="N41" s="3"/>
      <c r="O41" s="3">
        <v>5</v>
      </c>
      <c r="P41" s="3"/>
      <c r="Q41" s="3"/>
      <c r="R41" s="3"/>
      <c r="S41" s="3"/>
      <c r="T41" s="3"/>
      <c r="U41" s="3"/>
      <c r="V41" s="5"/>
      <c r="W41" s="3">
        <f t="shared" si="1"/>
        <v>9</v>
      </c>
    </row>
    <row r="42" spans="1:24">
      <c r="A42" s="3">
        <v>210</v>
      </c>
      <c r="B42" s="3" t="s">
        <v>71</v>
      </c>
      <c r="C42" s="3" t="s">
        <v>72</v>
      </c>
      <c r="D42" s="5"/>
      <c r="E42" s="3">
        <v>1</v>
      </c>
      <c r="F42" s="5"/>
      <c r="G42" s="3"/>
      <c r="H42" s="3"/>
      <c r="I42" s="3">
        <f>4+4</f>
        <v>8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5"/>
      <c r="W42" s="3">
        <f t="shared" si="1"/>
        <v>8</v>
      </c>
    </row>
    <row r="43" spans="1:24">
      <c r="A43" s="3">
        <v>212</v>
      </c>
      <c r="B43" s="3" t="s">
        <v>240</v>
      </c>
      <c r="C43" s="3" t="s">
        <v>241</v>
      </c>
      <c r="D43" s="5"/>
      <c r="E43" s="3">
        <v>1</v>
      </c>
      <c r="F43" s="5"/>
      <c r="G43" s="3"/>
      <c r="H43" s="3">
        <v>0</v>
      </c>
      <c r="I43" s="3"/>
      <c r="J43" s="3"/>
      <c r="K43" s="3">
        <v>0</v>
      </c>
      <c r="L43" s="3"/>
      <c r="M43" s="3"/>
      <c r="N43" s="3"/>
      <c r="O43" s="3"/>
      <c r="P43" s="3"/>
      <c r="Q43" s="3"/>
      <c r="R43" s="3">
        <f>4+4</f>
        <v>8</v>
      </c>
      <c r="S43" s="3"/>
      <c r="T43" s="3"/>
      <c r="U43" s="3"/>
      <c r="V43" s="5"/>
      <c r="W43" s="3">
        <f t="shared" si="1"/>
        <v>8</v>
      </c>
    </row>
    <row r="44" spans="1:24">
      <c r="A44" s="3">
        <v>155</v>
      </c>
      <c r="B44" s="3" t="s">
        <v>235</v>
      </c>
      <c r="C44" s="3" t="s">
        <v>35</v>
      </c>
      <c r="D44" s="5"/>
      <c r="E44" s="3">
        <v>1</v>
      </c>
      <c r="F44" s="5"/>
      <c r="G44" s="3">
        <v>3</v>
      </c>
      <c r="H44" s="3"/>
      <c r="I44" s="3"/>
      <c r="J44" s="3"/>
      <c r="K44" s="3"/>
      <c r="L44" s="3"/>
      <c r="M44" s="3">
        <v>4</v>
      </c>
      <c r="N44" s="3"/>
      <c r="O44" s="3"/>
      <c r="P44" s="3"/>
      <c r="Q44" s="3"/>
      <c r="R44" s="3"/>
      <c r="S44" s="3"/>
      <c r="T44" s="3"/>
      <c r="U44" s="3"/>
      <c r="V44" s="5"/>
      <c r="W44" s="3">
        <f t="shared" si="1"/>
        <v>7</v>
      </c>
      <c r="X44" s="14"/>
    </row>
    <row r="45" spans="1:24">
      <c r="A45" s="3">
        <v>220</v>
      </c>
      <c r="B45" s="3" t="s">
        <v>215</v>
      </c>
      <c r="C45" s="3" t="s">
        <v>200</v>
      </c>
      <c r="D45" s="5"/>
      <c r="E45" s="3">
        <v>1</v>
      </c>
      <c r="F45" s="5"/>
      <c r="G45" s="3"/>
      <c r="H45" s="3">
        <f>3+3</f>
        <v>6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5"/>
      <c r="W45" s="3">
        <f t="shared" si="1"/>
        <v>6</v>
      </c>
    </row>
    <row r="46" spans="1:24">
      <c r="A46" s="3">
        <v>227</v>
      </c>
      <c r="B46" s="3" t="s">
        <v>45</v>
      </c>
      <c r="C46" s="3" t="s">
        <v>46</v>
      </c>
      <c r="D46" s="5"/>
      <c r="E46" s="3">
        <v>1</v>
      </c>
      <c r="F46" s="5"/>
      <c r="G46" s="3"/>
      <c r="H46" s="3"/>
      <c r="I46" s="3"/>
      <c r="J46" s="3"/>
      <c r="K46" s="3">
        <f>2+2+2</f>
        <v>6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5"/>
      <c r="W46" s="3">
        <f t="shared" si="1"/>
        <v>6</v>
      </c>
    </row>
    <row r="47" spans="1:24">
      <c r="A47" s="3">
        <v>235</v>
      </c>
      <c r="B47" s="3" t="s">
        <v>235</v>
      </c>
      <c r="C47" s="3" t="s">
        <v>28</v>
      </c>
      <c r="D47" s="5"/>
      <c r="E47" s="3">
        <v>1</v>
      </c>
      <c r="F47" s="5"/>
      <c r="G47" s="3">
        <v>4</v>
      </c>
      <c r="H47" s="3"/>
      <c r="I47" s="3"/>
      <c r="J47" s="3"/>
      <c r="K47" s="3"/>
      <c r="L47" s="3"/>
      <c r="M47" s="3">
        <v>2</v>
      </c>
      <c r="N47" s="3"/>
      <c r="O47" s="3"/>
      <c r="P47" s="3"/>
      <c r="Q47" s="3"/>
      <c r="R47" s="3"/>
      <c r="S47" s="3"/>
      <c r="T47" s="3"/>
      <c r="U47" s="3"/>
      <c r="V47" s="5"/>
      <c r="W47" s="3">
        <f t="shared" si="1"/>
        <v>6</v>
      </c>
    </row>
    <row r="48" spans="1:24">
      <c r="A48" s="3">
        <v>236</v>
      </c>
      <c r="B48" s="3" t="s">
        <v>277</v>
      </c>
      <c r="C48" s="3" t="s">
        <v>278</v>
      </c>
      <c r="D48" s="5"/>
      <c r="E48" s="3">
        <v>1</v>
      </c>
      <c r="F48" s="5"/>
      <c r="G48" s="3"/>
      <c r="H48" s="3">
        <v>6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5"/>
      <c r="W48" s="3">
        <f t="shared" si="1"/>
        <v>6</v>
      </c>
    </row>
    <row r="49" spans="1:23">
      <c r="A49" s="3">
        <v>103</v>
      </c>
      <c r="B49" s="3" t="s">
        <v>243</v>
      </c>
      <c r="C49" s="3" t="s">
        <v>244</v>
      </c>
      <c r="D49" s="5"/>
      <c r="E49" s="3">
        <v>1</v>
      </c>
      <c r="F49" s="5"/>
      <c r="G49" s="3">
        <v>5</v>
      </c>
      <c r="H49" s="3"/>
      <c r="I49" s="3"/>
      <c r="J49" s="3"/>
      <c r="K49" s="3"/>
      <c r="L49" s="3">
        <v>1</v>
      </c>
      <c r="M49" s="3"/>
      <c r="N49" s="3"/>
      <c r="O49" s="3"/>
      <c r="P49" s="3"/>
      <c r="Q49" s="3"/>
      <c r="R49" s="3"/>
      <c r="S49" s="3"/>
      <c r="T49" s="3"/>
      <c r="U49" s="3"/>
      <c r="V49" s="5"/>
      <c r="W49" s="3">
        <f t="shared" si="1"/>
        <v>6</v>
      </c>
    </row>
    <row r="50" spans="1:23">
      <c r="A50" s="3">
        <v>229</v>
      </c>
      <c r="B50" s="3" t="s">
        <v>245</v>
      </c>
      <c r="C50" s="3" t="s">
        <v>246</v>
      </c>
      <c r="D50" s="5"/>
      <c r="E50" s="3">
        <v>1</v>
      </c>
      <c r="F50" s="5"/>
      <c r="G50" s="3"/>
      <c r="H50" s="3"/>
      <c r="I50" s="3"/>
      <c r="J50" s="3"/>
      <c r="K50" s="3"/>
      <c r="L50" s="3"/>
      <c r="M50" s="3"/>
      <c r="N50" s="3"/>
      <c r="O50" s="3">
        <f>2+3</f>
        <v>5</v>
      </c>
      <c r="P50" s="3"/>
      <c r="Q50" s="3"/>
      <c r="R50" s="3"/>
      <c r="S50" s="3"/>
      <c r="T50" s="3"/>
      <c r="U50" s="3"/>
      <c r="V50" s="5"/>
      <c r="W50" s="3">
        <f t="shared" si="1"/>
        <v>5</v>
      </c>
    </row>
    <row r="51" spans="1:23">
      <c r="A51" s="3">
        <v>250</v>
      </c>
      <c r="B51" s="3" t="s">
        <v>179</v>
      </c>
      <c r="C51" s="3" t="s">
        <v>180</v>
      </c>
      <c r="D51" s="5"/>
      <c r="E51" s="3">
        <v>1</v>
      </c>
      <c r="F51" s="5"/>
      <c r="G51" s="3"/>
      <c r="H51" s="3"/>
      <c r="I51" s="3">
        <f>3+2</f>
        <v>5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5"/>
      <c r="W51" s="3">
        <f t="shared" si="1"/>
        <v>5</v>
      </c>
    </row>
    <row r="52" spans="1:23">
      <c r="A52" s="3">
        <v>218</v>
      </c>
      <c r="B52" s="3" t="s">
        <v>159</v>
      </c>
      <c r="C52" s="3" t="s">
        <v>160</v>
      </c>
      <c r="D52" s="5"/>
      <c r="E52" s="3">
        <v>1</v>
      </c>
      <c r="F52" s="5"/>
      <c r="G52" s="3"/>
      <c r="H52" s="3"/>
      <c r="I52" s="3"/>
      <c r="J52" s="3"/>
      <c r="K52" s="3"/>
      <c r="L52" s="3">
        <v>4</v>
      </c>
      <c r="M52" s="3"/>
      <c r="N52" s="3"/>
      <c r="O52" s="3"/>
      <c r="P52" s="3"/>
      <c r="Q52" s="3"/>
      <c r="R52" s="3"/>
      <c r="S52" s="3"/>
      <c r="T52" s="3"/>
      <c r="U52" s="3"/>
      <c r="V52" s="5"/>
      <c r="W52" s="3">
        <f t="shared" si="1"/>
        <v>4</v>
      </c>
    </row>
    <row r="53" spans="1:23">
      <c r="A53" s="3">
        <v>57</v>
      </c>
      <c r="B53" s="3" t="s">
        <v>42</v>
      </c>
      <c r="C53" s="3" t="s">
        <v>43</v>
      </c>
      <c r="D53" s="5"/>
      <c r="E53" s="3">
        <v>1</v>
      </c>
      <c r="F53" s="5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>
        <f>1+1+1</f>
        <v>3</v>
      </c>
      <c r="V53" s="5"/>
      <c r="W53" s="3">
        <f t="shared" si="1"/>
        <v>3</v>
      </c>
    </row>
    <row r="54" spans="1:23">
      <c r="A54" s="3">
        <v>221</v>
      </c>
      <c r="B54" s="3" t="s">
        <v>42</v>
      </c>
      <c r="C54" s="3"/>
      <c r="D54" s="5"/>
      <c r="E54" s="3">
        <v>1</v>
      </c>
      <c r="F54" s="5"/>
      <c r="G54" s="3"/>
      <c r="H54" s="3"/>
      <c r="I54" s="3"/>
      <c r="J54" s="3"/>
      <c r="K54" s="3"/>
      <c r="L54" s="3"/>
      <c r="M54" s="3"/>
      <c r="N54" s="3"/>
      <c r="O54" s="3"/>
      <c r="P54" s="3"/>
      <c r="Q54" s="3">
        <f>1+1+1</f>
        <v>3</v>
      </c>
      <c r="R54" s="3"/>
      <c r="S54" s="3"/>
      <c r="T54" s="3"/>
      <c r="U54" s="3"/>
      <c r="V54" s="5"/>
      <c r="W54" s="3">
        <f t="shared" si="1"/>
        <v>3</v>
      </c>
    </row>
    <row r="55" spans="1:23">
      <c r="A55" s="3">
        <v>237</v>
      </c>
      <c r="B55" s="3" t="s">
        <v>285</v>
      </c>
      <c r="C55" s="3" t="s">
        <v>286</v>
      </c>
      <c r="D55" s="5"/>
      <c r="E55" s="3">
        <v>1</v>
      </c>
      <c r="F55" s="5"/>
      <c r="G55" s="3"/>
      <c r="H55" s="3"/>
      <c r="I55" s="3"/>
      <c r="J55" s="3"/>
      <c r="K55" s="3"/>
      <c r="L55" s="3"/>
      <c r="M55" s="3"/>
      <c r="N55" s="3"/>
      <c r="O55" s="3"/>
      <c r="P55" s="3"/>
      <c r="Q55" s="3">
        <v>2</v>
      </c>
      <c r="R55" s="3"/>
      <c r="S55" s="3"/>
      <c r="T55" s="3"/>
      <c r="U55" s="3"/>
      <c r="V55" s="5"/>
      <c r="W55" s="3">
        <f t="shared" si="1"/>
        <v>2</v>
      </c>
    </row>
    <row r="56" spans="1:23">
      <c r="A56" s="3"/>
      <c r="B56" s="3" t="s">
        <v>245</v>
      </c>
      <c r="C56" s="3" t="s">
        <v>248</v>
      </c>
      <c r="D56" s="5"/>
      <c r="E56" s="3">
        <v>1</v>
      </c>
      <c r="F56" s="5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>
        <v>2</v>
      </c>
      <c r="T56" s="3"/>
      <c r="U56" s="3"/>
      <c r="V56" s="5"/>
      <c r="W56" s="3">
        <f t="shared" si="1"/>
        <v>2</v>
      </c>
    </row>
    <row r="57" spans="1:23">
      <c r="A57" s="3">
        <v>216</v>
      </c>
      <c r="B57" s="3" t="s">
        <v>280</v>
      </c>
      <c r="C57" s="3" t="s">
        <v>287</v>
      </c>
      <c r="D57" s="5"/>
      <c r="E57" s="3">
        <v>1</v>
      </c>
      <c r="F57" s="5"/>
      <c r="G57" s="3"/>
      <c r="H57" s="3"/>
      <c r="I57" s="3"/>
      <c r="J57" s="3"/>
      <c r="K57" s="3"/>
      <c r="L57" s="3">
        <v>2</v>
      </c>
      <c r="M57" s="3"/>
      <c r="N57" s="3"/>
      <c r="O57" s="3"/>
      <c r="P57" s="3"/>
      <c r="Q57" s="3"/>
      <c r="R57" s="3"/>
      <c r="S57" s="3"/>
      <c r="T57" s="3"/>
      <c r="U57" s="3"/>
      <c r="V57" s="5"/>
      <c r="W57" s="3">
        <f t="shared" si="1"/>
        <v>2</v>
      </c>
    </row>
    <row r="58" spans="1:23">
      <c r="A58" s="3">
        <v>256</v>
      </c>
      <c r="B58" s="3" t="s">
        <v>136</v>
      </c>
      <c r="C58" s="3" t="s">
        <v>137</v>
      </c>
      <c r="D58" s="5"/>
      <c r="E58" s="3">
        <v>1</v>
      </c>
      <c r="F58" s="5"/>
      <c r="G58" s="3"/>
      <c r="H58" s="3"/>
      <c r="I58" s="3"/>
      <c r="J58" s="3"/>
      <c r="K58" s="3"/>
      <c r="L58" s="3">
        <v>2</v>
      </c>
      <c r="M58" s="3"/>
      <c r="N58" s="3"/>
      <c r="O58" s="3"/>
      <c r="P58" s="3"/>
      <c r="Q58" s="3"/>
      <c r="R58" s="3"/>
      <c r="S58" s="3"/>
      <c r="T58" s="3"/>
      <c r="U58" s="3"/>
      <c r="V58" s="5"/>
      <c r="W58" s="3">
        <f t="shared" si="1"/>
        <v>2</v>
      </c>
    </row>
    <row r="59" spans="1:23">
      <c r="A59" s="3">
        <v>334</v>
      </c>
      <c r="B59" s="3" t="s">
        <v>171</v>
      </c>
      <c r="C59" s="3" t="s">
        <v>299</v>
      </c>
      <c r="D59" s="5"/>
      <c r="E59" s="3">
        <v>1</v>
      </c>
      <c r="F59" s="5"/>
      <c r="G59" s="3"/>
      <c r="H59" s="3">
        <v>14</v>
      </c>
      <c r="I59" s="3">
        <v>6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5"/>
      <c r="W59" s="3"/>
    </row>
  </sheetData>
  <sortState ref="B2:W59">
    <sortCondition descending="1" ref="W2:W59"/>
  </sortState>
  <pageMargins left="0.7" right="0.7" top="0.75" bottom="0.75" header="0.3" footer="0.3"/>
  <pageSetup scale="53" fitToHeight="0" orientation="landscape" r:id="rId1"/>
  <headerFooter>
    <oddHeader>&amp;C&amp;"-,Bold"&amp;UAll Age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WT 13 Under</vt:lpstr>
      <vt:lpstr>WT 19 Over</vt:lpstr>
      <vt:lpstr>Green Horse</vt:lpstr>
      <vt:lpstr>AMA Select</vt:lpstr>
      <vt:lpstr>Novice Youth</vt:lpstr>
      <vt:lpstr>Youth</vt:lpstr>
      <vt:lpstr>Nov AMA</vt:lpstr>
      <vt:lpstr>AMA</vt:lpstr>
      <vt:lpstr>All Age</vt:lpstr>
      <vt:lpstr>VolRHA Open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Rachael Snow</dc:creator>
  <cp:lastModifiedBy>Owner</cp:lastModifiedBy>
  <cp:revision/>
  <cp:lastPrinted>2018-09-18T20:11:39Z</cp:lastPrinted>
  <dcterms:created xsi:type="dcterms:W3CDTF">2018-02-03T16:42:31Z</dcterms:created>
  <dcterms:modified xsi:type="dcterms:W3CDTF">2018-11-29T22:20:31Z</dcterms:modified>
</cp:coreProperties>
</file>