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 Biegaj\Documents\Ausvac Mining PL Website 28 04 2020 Plus\PP updated all 10 2020 Plus\05 10 2020\18 10 2020\"/>
    </mc:Choice>
  </mc:AlternateContent>
  <xr:revisionPtr revIDLastSave="0" documentId="13_ncr:1_{0719DA15-4A56-4682-876E-8E1639B943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8 10 2020 Ni, Au price" sheetId="3" r:id="rId1"/>
  </sheets>
  <calcPr calcId="181029"/>
</workbook>
</file>

<file path=xl/calcChain.xml><?xml version="1.0" encoding="utf-8"?>
<calcChain xmlns="http://schemas.openxmlformats.org/spreadsheetml/2006/main">
  <c r="G18" i="3" l="1"/>
  <c r="M52" i="3" l="1"/>
  <c r="I52" i="3" l="1"/>
  <c r="I53" i="3"/>
  <c r="I54" i="3"/>
  <c r="I55" i="3"/>
  <c r="I56" i="3"/>
  <c r="I57" i="3"/>
  <c r="I58" i="3"/>
  <c r="G52" i="3"/>
  <c r="G53" i="3"/>
  <c r="G54" i="3"/>
  <c r="G55" i="3"/>
  <c r="G56" i="3"/>
  <c r="G57" i="3"/>
  <c r="G58" i="3"/>
  <c r="G51" i="3"/>
  <c r="E52" i="3"/>
  <c r="E53" i="3"/>
  <c r="E54" i="3"/>
  <c r="E55" i="3"/>
  <c r="E56" i="3"/>
  <c r="E57" i="3"/>
  <c r="E58" i="3"/>
  <c r="I50" i="3"/>
  <c r="G50" i="3"/>
  <c r="E50" i="3"/>
  <c r="I51" i="3"/>
  <c r="E51" i="3"/>
  <c r="C52" i="3"/>
  <c r="C53" i="3"/>
  <c r="C54" i="3"/>
  <c r="C55" i="3"/>
  <c r="C56" i="3"/>
  <c r="C57" i="3"/>
  <c r="C58" i="3"/>
  <c r="C51" i="3"/>
  <c r="C50" i="3"/>
  <c r="D40" i="3"/>
  <c r="M35" i="3"/>
  <c r="B61" i="3" l="1"/>
  <c r="D27" i="3"/>
  <c r="C34" i="3"/>
  <c r="F27" i="3" l="1"/>
  <c r="H27" i="3"/>
  <c r="J27" i="3"/>
  <c r="Q7" i="3" l="1"/>
  <c r="L58" i="3" l="1"/>
  <c r="L69" i="3"/>
  <c r="B58" i="3"/>
  <c r="B69" i="3"/>
  <c r="B62" i="3"/>
  <c r="B63" i="3"/>
  <c r="B64" i="3"/>
  <c r="B65" i="3"/>
  <c r="B66" i="3"/>
  <c r="B67" i="3"/>
  <c r="B68" i="3"/>
  <c r="B51" i="3"/>
  <c r="B52" i="3"/>
  <c r="B53" i="3"/>
  <c r="B54" i="3"/>
  <c r="B55" i="3"/>
  <c r="B56" i="3"/>
  <c r="B57" i="3"/>
  <c r="B50" i="3"/>
  <c r="L62" i="3" l="1"/>
  <c r="L63" i="3"/>
  <c r="L64" i="3"/>
  <c r="L65" i="3"/>
  <c r="L66" i="3"/>
  <c r="L67" i="3"/>
  <c r="L68" i="3"/>
  <c r="L61" i="3"/>
  <c r="L52" i="3"/>
  <c r="L53" i="3"/>
  <c r="L54" i="3"/>
  <c r="L55" i="3"/>
  <c r="L56" i="3"/>
  <c r="L57" i="3"/>
  <c r="L51" i="3"/>
  <c r="L50" i="3"/>
  <c r="S6" i="3" l="1"/>
  <c r="G20" i="3"/>
  <c r="Q18" i="3"/>
  <c r="C27" i="3"/>
  <c r="E27" i="3"/>
  <c r="G27" i="3"/>
  <c r="I27" i="3"/>
  <c r="M27" i="3"/>
  <c r="N27" i="3" s="1"/>
  <c r="O27" i="3"/>
  <c r="P27" i="3" s="1"/>
  <c r="Q27" i="3"/>
  <c r="R27" i="3" s="1"/>
  <c r="S27" i="3"/>
  <c r="T27" i="3" s="1"/>
  <c r="C29" i="3"/>
  <c r="M29" i="3"/>
  <c r="G33" i="3"/>
  <c r="I33" i="3"/>
  <c r="S34" i="3" l="1"/>
  <c r="T34" i="3" s="1"/>
  <c r="M34" i="3"/>
  <c r="N34" i="3" s="1"/>
  <c r="E33" i="3"/>
  <c r="E35" i="3" s="1"/>
  <c r="F33" i="3"/>
  <c r="J33" i="3"/>
  <c r="D33" i="3"/>
  <c r="H33" i="3"/>
  <c r="M36" i="3"/>
  <c r="O34" i="3"/>
  <c r="Q34" i="3"/>
  <c r="C33" i="3"/>
  <c r="C35" i="3" s="1"/>
  <c r="I35" i="3"/>
  <c r="G35" i="3"/>
  <c r="M53" i="3" l="1"/>
  <c r="M54" i="3"/>
  <c r="M55" i="3"/>
  <c r="M58" i="3"/>
  <c r="M51" i="3"/>
  <c r="M50" i="3"/>
  <c r="M56" i="3"/>
  <c r="M57" i="3"/>
  <c r="M39" i="3"/>
  <c r="N39" i="3" s="1"/>
  <c r="G40" i="3"/>
  <c r="G41" i="3"/>
  <c r="G39" i="3"/>
  <c r="G42" i="3"/>
  <c r="G46" i="3"/>
  <c r="G47" i="3"/>
  <c r="G43" i="3"/>
  <c r="G44" i="3"/>
  <c r="G45" i="3"/>
  <c r="C45" i="3"/>
  <c r="C46" i="3"/>
  <c r="C47" i="3"/>
  <c r="C40" i="3"/>
  <c r="C39" i="3"/>
  <c r="D39" i="3" s="1"/>
  <c r="C41" i="3"/>
  <c r="C42" i="3"/>
  <c r="C43" i="3"/>
  <c r="C44" i="3"/>
  <c r="S36" i="3"/>
  <c r="I47" i="3"/>
  <c r="I39" i="3"/>
  <c r="I40" i="3"/>
  <c r="J40" i="3" s="1"/>
  <c r="I41" i="3"/>
  <c r="J41" i="3" s="1"/>
  <c r="I42" i="3"/>
  <c r="I45" i="3"/>
  <c r="I43" i="3"/>
  <c r="I46" i="3"/>
  <c r="I44" i="3"/>
  <c r="E40" i="3"/>
  <c r="E41" i="3"/>
  <c r="F41" i="3" s="1"/>
  <c r="E42" i="3"/>
  <c r="F42" i="3" s="1"/>
  <c r="E39" i="3"/>
  <c r="E43" i="3"/>
  <c r="F43" i="3" s="1"/>
  <c r="E47" i="3"/>
  <c r="E44" i="3"/>
  <c r="E46" i="3"/>
  <c r="F46" i="3" s="1"/>
  <c r="E45" i="3"/>
  <c r="J46" i="3"/>
  <c r="J44" i="3"/>
  <c r="J39" i="3"/>
  <c r="J42" i="3"/>
  <c r="F44" i="3"/>
  <c r="F45" i="3"/>
  <c r="F40" i="3"/>
  <c r="F47" i="3"/>
  <c r="Q36" i="3"/>
  <c r="R34" i="3"/>
  <c r="M47" i="3"/>
  <c r="N47" i="3" s="1"/>
  <c r="M40" i="3"/>
  <c r="N40" i="3" s="1"/>
  <c r="M46" i="3"/>
  <c r="M41" i="3"/>
  <c r="N41" i="3" s="1"/>
  <c r="M44" i="3"/>
  <c r="N44" i="3" s="1"/>
  <c r="M42" i="3"/>
  <c r="M45" i="3"/>
  <c r="N45" i="3" s="1"/>
  <c r="M43" i="3"/>
  <c r="N43" i="3" s="1"/>
  <c r="H55" i="3"/>
  <c r="D58" i="3"/>
  <c r="S42" i="3"/>
  <c r="T42" i="3" s="1"/>
  <c r="O36" i="3"/>
  <c r="O43" i="3" s="1"/>
  <c r="P43" i="3" s="1"/>
  <c r="P34" i="3"/>
  <c r="J47" i="3"/>
  <c r="J43" i="3"/>
  <c r="J45" i="3"/>
  <c r="H44" i="3"/>
  <c r="S46" i="3"/>
  <c r="T46" i="3" s="1"/>
  <c r="S45" i="3"/>
  <c r="T45" i="3" s="1"/>
  <c r="N42" i="3"/>
  <c r="S43" i="3"/>
  <c r="T43" i="3" s="1"/>
  <c r="S41" i="3"/>
  <c r="T41" i="3" s="1"/>
  <c r="S47" i="3"/>
  <c r="T47" i="3" s="1"/>
  <c r="S40" i="3"/>
  <c r="T40" i="3" s="1"/>
  <c r="S44" i="3"/>
  <c r="T44" i="3" s="1"/>
  <c r="N46" i="3"/>
  <c r="O39" i="3"/>
  <c r="P39" i="3" s="1"/>
  <c r="Q45" i="3"/>
  <c r="R45" i="3" s="1"/>
  <c r="Q46" i="3"/>
  <c r="R46" i="3" s="1"/>
  <c r="Q41" i="3"/>
  <c r="R41" i="3" s="1"/>
  <c r="Q42" i="3"/>
  <c r="R42" i="3" s="1"/>
  <c r="Q44" i="3"/>
  <c r="R44" i="3" s="1"/>
  <c r="Q40" i="3"/>
  <c r="R40" i="3" s="1"/>
  <c r="Q43" i="3"/>
  <c r="R43" i="3" s="1"/>
  <c r="M61" i="3" l="1"/>
  <c r="N61" i="3" s="1"/>
  <c r="O46" i="3"/>
  <c r="P46" i="3" s="1"/>
  <c r="Q55" i="3"/>
  <c r="Q56" i="3"/>
  <c r="Q57" i="3"/>
  <c r="Q53" i="3"/>
  <c r="Q58" i="3"/>
  <c r="Q39" i="3"/>
  <c r="R39" i="3" s="1"/>
  <c r="Q51" i="3"/>
  <c r="Q50" i="3"/>
  <c r="Q54" i="3"/>
  <c r="Q52" i="3"/>
  <c r="S55" i="3"/>
  <c r="T55" i="3" s="1"/>
  <c r="S56" i="3"/>
  <c r="T56" i="3" s="1"/>
  <c r="S57" i="3"/>
  <c r="T57" i="3" s="1"/>
  <c r="S39" i="3"/>
  <c r="T39" i="3" s="1"/>
  <c r="S54" i="3"/>
  <c r="S65" i="3" s="1"/>
  <c r="T65" i="3" s="1"/>
  <c r="S58" i="3"/>
  <c r="T58" i="3" s="1"/>
  <c r="S52" i="3"/>
  <c r="S51" i="3"/>
  <c r="S50" i="3"/>
  <c r="S53" i="3"/>
  <c r="T53" i="3" s="1"/>
  <c r="O53" i="3"/>
  <c r="O54" i="3"/>
  <c r="O55" i="3"/>
  <c r="O56" i="3"/>
  <c r="O50" i="3"/>
  <c r="O52" i="3"/>
  <c r="O57" i="3"/>
  <c r="O45" i="3"/>
  <c r="P45" i="3" s="1"/>
  <c r="O58" i="3"/>
  <c r="O51" i="3"/>
  <c r="O40" i="3"/>
  <c r="P40" i="3" s="1"/>
  <c r="F58" i="3"/>
  <c r="D47" i="3"/>
  <c r="N51" i="3"/>
  <c r="M62" i="3"/>
  <c r="N62" i="3" s="1"/>
  <c r="N53" i="3"/>
  <c r="M64" i="3"/>
  <c r="N64" i="3" s="1"/>
  <c r="S66" i="3"/>
  <c r="T66" i="3" s="1"/>
  <c r="M68" i="3"/>
  <c r="N68" i="3" s="1"/>
  <c r="N57" i="3"/>
  <c r="T51" i="3"/>
  <c r="M67" i="3"/>
  <c r="N67" i="3" s="1"/>
  <c r="N56" i="3"/>
  <c r="T52" i="3"/>
  <c r="S63" i="3"/>
  <c r="T63" i="3" s="1"/>
  <c r="M69" i="3"/>
  <c r="N69" i="3" s="1"/>
  <c r="N58" i="3"/>
  <c r="O47" i="3"/>
  <c r="P47" i="3" s="1"/>
  <c r="O44" i="3"/>
  <c r="P44" i="3" s="1"/>
  <c r="T50" i="3"/>
  <c r="M65" i="3"/>
  <c r="N65" i="3" s="1"/>
  <c r="N54" i="3"/>
  <c r="N52" i="3"/>
  <c r="M63" i="3"/>
  <c r="N63" i="3" s="1"/>
  <c r="Q47" i="3"/>
  <c r="R47" i="3" s="1"/>
  <c r="O42" i="3"/>
  <c r="P42" i="3" s="1"/>
  <c r="O41" i="3"/>
  <c r="P41" i="3" s="1"/>
  <c r="N50" i="3"/>
  <c r="S64" i="3"/>
  <c r="T64" i="3" s="1"/>
  <c r="M66" i="3"/>
  <c r="N66" i="3" s="1"/>
  <c r="N55" i="3"/>
  <c r="G66" i="3"/>
  <c r="H66" i="3" s="1"/>
  <c r="J55" i="3"/>
  <c r="I64" i="3"/>
  <c r="J64" i="3" s="1"/>
  <c r="I65" i="3"/>
  <c r="J65" i="3" s="1"/>
  <c r="I68" i="3"/>
  <c r="J68" i="3" s="1"/>
  <c r="D54" i="3"/>
  <c r="D43" i="3"/>
  <c r="H43" i="3"/>
  <c r="H47" i="3"/>
  <c r="D57" i="3"/>
  <c r="D46" i="3"/>
  <c r="H42" i="3"/>
  <c r="H41" i="3"/>
  <c r="F54" i="3"/>
  <c r="H45" i="3"/>
  <c r="D50" i="3"/>
  <c r="F39" i="3"/>
  <c r="F53" i="3"/>
  <c r="F56" i="3"/>
  <c r="F55" i="3"/>
  <c r="D55" i="3"/>
  <c r="D44" i="3"/>
  <c r="H46" i="3"/>
  <c r="H40" i="3"/>
  <c r="D56" i="3"/>
  <c r="D45" i="3"/>
  <c r="H39" i="3"/>
  <c r="D52" i="3"/>
  <c r="D41" i="3"/>
  <c r="F57" i="3"/>
  <c r="F51" i="3"/>
  <c r="D51" i="3"/>
  <c r="F52" i="3"/>
  <c r="D53" i="3"/>
  <c r="D42" i="3"/>
  <c r="C69" i="3"/>
  <c r="D69" i="3" s="1"/>
  <c r="S69" i="3" l="1"/>
  <c r="T69" i="3" s="1"/>
  <c r="T54" i="3"/>
  <c r="S61" i="3"/>
  <c r="T61" i="3" s="1"/>
  <c r="S62" i="3"/>
  <c r="T62" i="3" s="1"/>
  <c r="S67" i="3"/>
  <c r="T67" i="3" s="1"/>
  <c r="S68" i="3"/>
  <c r="T68" i="3" s="1"/>
  <c r="F50" i="3"/>
  <c r="E69" i="3"/>
  <c r="F69" i="3" s="1"/>
  <c r="Q61" i="3"/>
  <c r="R61" i="3" s="1"/>
  <c r="R50" i="3"/>
  <c r="Q63" i="3"/>
  <c r="R63" i="3" s="1"/>
  <c r="R52" i="3"/>
  <c r="O63" i="3"/>
  <c r="P63" i="3" s="1"/>
  <c r="P52" i="3"/>
  <c r="O62" i="3"/>
  <c r="P62" i="3" s="1"/>
  <c r="P51" i="3"/>
  <c r="Q69" i="3"/>
  <c r="R69" i="3" s="1"/>
  <c r="R58" i="3"/>
  <c r="Q62" i="3"/>
  <c r="R62" i="3" s="1"/>
  <c r="R51" i="3"/>
  <c r="O68" i="3"/>
  <c r="P68" i="3" s="1"/>
  <c r="P57" i="3"/>
  <c r="Q66" i="3"/>
  <c r="R66" i="3" s="1"/>
  <c r="R55" i="3"/>
  <c r="O67" i="3"/>
  <c r="P67" i="3" s="1"/>
  <c r="P56" i="3"/>
  <c r="O69" i="3"/>
  <c r="P69" i="3" s="1"/>
  <c r="P58" i="3"/>
  <c r="O61" i="3"/>
  <c r="P61" i="3" s="1"/>
  <c r="P50" i="3"/>
  <c r="Q65" i="3"/>
  <c r="R65" i="3" s="1"/>
  <c r="R54" i="3"/>
  <c r="O66" i="3"/>
  <c r="P66" i="3" s="1"/>
  <c r="P55" i="3"/>
  <c r="Q68" i="3"/>
  <c r="R68" i="3" s="1"/>
  <c r="R57" i="3"/>
  <c r="O65" i="3"/>
  <c r="P65" i="3" s="1"/>
  <c r="P54" i="3"/>
  <c r="Q67" i="3"/>
  <c r="R67" i="3" s="1"/>
  <c r="R56" i="3"/>
  <c r="Q64" i="3"/>
  <c r="R64" i="3" s="1"/>
  <c r="R53" i="3"/>
  <c r="O64" i="3"/>
  <c r="P64" i="3" s="1"/>
  <c r="P53" i="3"/>
  <c r="E65" i="3"/>
  <c r="F65" i="3" s="1"/>
  <c r="J57" i="3"/>
  <c r="I66" i="3"/>
  <c r="J66" i="3" s="1"/>
  <c r="E64" i="3"/>
  <c r="F64" i="3" s="1"/>
  <c r="E66" i="3"/>
  <c r="F66" i="3" s="1"/>
  <c r="C67" i="3"/>
  <c r="D67" i="3" s="1"/>
  <c r="C68" i="3"/>
  <c r="D68" i="3" s="1"/>
  <c r="E67" i="3"/>
  <c r="F67" i="3" s="1"/>
  <c r="J53" i="3"/>
  <c r="C61" i="3"/>
  <c r="D61" i="3" s="1"/>
  <c r="J54" i="3"/>
  <c r="C65" i="3"/>
  <c r="D65" i="3" s="1"/>
  <c r="C64" i="3"/>
  <c r="D64" i="3" s="1"/>
  <c r="E63" i="3"/>
  <c r="F63" i="3" s="1"/>
  <c r="E68" i="3"/>
  <c r="F68" i="3" s="1"/>
  <c r="I62" i="3"/>
  <c r="J62" i="3" s="1"/>
  <c r="J51" i="3"/>
  <c r="G68" i="3"/>
  <c r="H68" i="3" s="1"/>
  <c r="H57" i="3"/>
  <c r="G67" i="3"/>
  <c r="H67" i="3" s="1"/>
  <c r="H56" i="3"/>
  <c r="G69" i="3"/>
  <c r="H69" i="3" s="1"/>
  <c r="H58" i="3"/>
  <c r="I63" i="3"/>
  <c r="J63" i="3" s="1"/>
  <c r="J52" i="3"/>
  <c r="E62" i="3"/>
  <c r="F62" i="3" s="1"/>
  <c r="J56" i="3"/>
  <c r="I67" i="3"/>
  <c r="J67" i="3" s="1"/>
  <c r="G63" i="3"/>
  <c r="H63" i="3" s="1"/>
  <c r="H52" i="3"/>
  <c r="G65" i="3"/>
  <c r="H65" i="3" s="1"/>
  <c r="H54" i="3"/>
  <c r="G61" i="3"/>
  <c r="H61" i="3" s="1"/>
  <c r="H50" i="3"/>
  <c r="C66" i="3"/>
  <c r="D66" i="3" s="1"/>
  <c r="I61" i="3"/>
  <c r="J61" i="3" s="1"/>
  <c r="J50" i="3"/>
  <c r="I69" i="3"/>
  <c r="J69" i="3" s="1"/>
  <c r="J58" i="3"/>
  <c r="C62" i="3"/>
  <c r="D62" i="3" s="1"/>
  <c r="C63" i="3"/>
  <c r="D63" i="3" s="1"/>
  <c r="G62" i="3"/>
  <c r="H62" i="3" s="1"/>
  <c r="H51" i="3"/>
  <c r="G64" i="3"/>
  <c r="H64" i="3" s="1"/>
  <c r="H53" i="3"/>
  <c r="E61" i="3" l="1"/>
  <c r="F61" i="3" s="1"/>
</calcChain>
</file>

<file path=xl/sharedStrings.xml><?xml version="1.0" encoding="utf-8"?>
<sst xmlns="http://schemas.openxmlformats.org/spreadsheetml/2006/main" count="141" uniqueCount="75">
  <si>
    <t>Mill recovery</t>
  </si>
  <si>
    <t>Loading and trucking to surface</t>
  </si>
  <si>
    <t>Carting to the mill</t>
  </si>
  <si>
    <t>Milling</t>
  </si>
  <si>
    <t>Length</t>
  </si>
  <si>
    <t>Width</t>
  </si>
  <si>
    <t>SG</t>
  </si>
  <si>
    <t>Nickel</t>
  </si>
  <si>
    <t>Gold</t>
  </si>
  <si>
    <t>Nickel price US$/t</t>
  </si>
  <si>
    <t xml:space="preserve">g/ounce </t>
  </si>
  <si>
    <t>Gold price US$/oz and per g</t>
  </si>
  <si>
    <t>Grade g/t:</t>
  </si>
  <si>
    <t>Nickel Mine A Calculation</t>
  </si>
  <si>
    <t>Gold Mine B Calculation</t>
  </si>
  <si>
    <t>Gold credit to Mine B</t>
  </si>
  <si>
    <t>Total $/t:</t>
  </si>
  <si>
    <t>Thickness of floor material, m</t>
  </si>
  <si>
    <t>Gold bars transportation and refinery @ Aus$/oz</t>
  </si>
  <si>
    <t>(Variable costs only)</t>
  </si>
  <si>
    <t>Exchange rate  Aus$/US$</t>
  </si>
  <si>
    <t>Exchange rate Aus$/US$</t>
  </si>
  <si>
    <t>www.ausvacmining.com.au</t>
  </si>
  <si>
    <t>Ausvac Mining Pty Ltd website:</t>
  </si>
  <si>
    <t>Mine B costs Aus$/t:</t>
  </si>
  <si>
    <t>Mine A costs Aus$/t:</t>
  </si>
  <si>
    <t xml:space="preserve">  never to be recovered by conventional machines </t>
  </si>
  <si>
    <r>
      <t xml:space="preserve">* It is common that up to </t>
    </r>
    <r>
      <rPr>
        <b/>
        <sz val="14"/>
        <color rgb="FF00B0F0"/>
        <rFont val="Arial"/>
        <family val="2"/>
      </rPr>
      <t xml:space="preserve">0.5 m thick </t>
    </r>
    <r>
      <rPr>
        <b/>
        <sz val="14"/>
        <rFont val="Arial"/>
        <family val="2"/>
      </rPr>
      <t xml:space="preserve">of already broken ore is left behind on ore drives floors  </t>
    </r>
  </si>
  <si>
    <r>
      <t xml:space="preserve">   the grades of vacuumed ore are </t>
    </r>
    <r>
      <rPr>
        <b/>
        <u/>
        <sz val="14"/>
        <color rgb="FFFF0000"/>
        <rFont val="Arial"/>
        <family val="2"/>
      </rPr>
      <t>much higher than</t>
    </r>
    <r>
      <rPr>
        <b/>
        <sz val="14"/>
        <rFont val="Arial"/>
        <family val="2"/>
      </rPr>
      <t xml:space="preserve"> those mined from the stopes and ore drives</t>
    </r>
  </si>
  <si>
    <r>
      <t>* Due to</t>
    </r>
    <r>
      <rPr>
        <b/>
        <sz val="14"/>
        <color rgb="FF00B0F0"/>
        <rFont val="Arial"/>
        <family val="2"/>
      </rPr>
      <t xml:space="preserve"> </t>
    </r>
    <r>
      <rPr>
        <b/>
        <sz val="14"/>
        <color rgb="FF00B050"/>
        <rFont val="Arial"/>
        <family val="2"/>
      </rPr>
      <t>"milling"</t>
    </r>
    <r>
      <rPr>
        <b/>
        <sz val="14"/>
        <color rgb="FF00B0F0"/>
        <rFont val="Arial"/>
        <family val="2"/>
      </rPr>
      <t xml:space="preserve"> </t>
    </r>
    <r>
      <rPr>
        <b/>
        <sz val="14"/>
        <rFont val="Arial"/>
        <family val="2"/>
      </rPr>
      <t>action of conventional LHDs and scrapers on mine floors, water and gravity force,</t>
    </r>
  </si>
  <si>
    <t>Revenue calculations:</t>
  </si>
  <si>
    <r>
      <t>Total vacuumed 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of mine floor</t>
    </r>
  </si>
  <si>
    <r>
      <t>Ni T/floor m</t>
    </r>
    <r>
      <rPr>
        <b/>
        <vertAlign val="superscript"/>
        <sz val="10"/>
        <rFont val="Arial"/>
        <family val="2"/>
      </rPr>
      <t>2</t>
    </r>
  </si>
  <si>
    <t>Vacuumed Nickel Revenue calculations:</t>
  </si>
  <si>
    <t>X Level Ore Drive</t>
  </si>
  <si>
    <t>Y Level Ore Drive</t>
  </si>
  <si>
    <r>
      <t>Au Oz/m</t>
    </r>
    <r>
      <rPr>
        <b/>
        <vertAlign val="superscript"/>
        <sz val="10"/>
        <rFont val="Arial"/>
        <family val="2"/>
      </rPr>
      <t>2</t>
    </r>
  </si>
  <si>
    <r>
      <t xml:space="preserve">X Level Au ore T &amp; </t>
    </r>
    <r>
      <rPr>
        <b/>
        <sz val="12"/>
        <color rgb="FF00B050"/>
        <rFont val="Arial"/>
        <family val="2"/>
      </rPr>
      <t>T/m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</si>
  <si>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r>
      <t>Aus$/m</t>
    </r>
    <r>
      <rPr>
        <b/>
        <vertAlign val="superscript"/>
        <sz val="10"/>
        <rFont val="Arial"/>
        <family val="2"/>
      </rPr>
      <t>2</t>
    </r>
  </si>
  <si>
    <t xml:space="preserve">Western Australia State Gold Revenue  </t>
  </si>
  <si>
    <t>Total Oz</t>
  </si>
  <si>
    <t xml:space="preserve">Total vacuumed Au Ore Tonnes </t>
  </si>
  <si>
    <r>
      <t xml:space="preserve">Y Level Au Ore T </t>
    </r>
    <r>
      <rPr>
        <b/>
        <sz val="12"/>
        <color rgb="FF00B050"/>
        <rFont val="Arial"/>
        <family val="2"/>
      </rPr>
      <t>&amp;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00B050"/>
        <rFont val="Arial"/>
        <family val="2"/>
      </rPr>
      <t>T/m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</si>
  <si>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t>Value in Aus$</t>
  </si>
  <si>
    <t xml:space="preserve">Total Ni Ore Tonnes vacuumed </t>
  </si>
  <si>
    <r>
      <t xml:space="preserve">Ni Ore grade %, Ni T vacuumed @ 65 % Credit </t>
    </r>
    <r>
      <rPr>
        <b/>
        <sz val="12"/>
        <color rgb="FF00B050"/>
        <rFont val="Arial"/>
        <family val="2"/>
      </rPr>
      <t>&amp;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00B050"/>
        <rFont val="Arial"/>
        <family val="2"/>
      </rPr>
      <t>Ni T/m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</si>
  <si>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t xml:space="preserve">Tot Ni T </t>
  </si>
  <si>
    <t>Ni Ore grade %:</t>
  </si>
  <si>
    <r>
      <t xml:space="preserve">Y Level Ni Ore T </t>
    </r>
    <r>
      <rPr>
        <b/>
        <sz val="12"/>
        <color rgb="FF00B050"/>
        <rFont val="Arial"/>
        <family val="2"/>
      </rPr>
      <t>&amp; Ore T/m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</si>
  <si>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r>
      <t xml:space="preserve">X Level Ni Ore T </t>
    </r>
    <r>
      <rPr>
        <b/>
        <sz val="12"/>
        <color rgb="FF00B050"/>
        <rFont val="Arial"/>
        <family val="2"/>
      </rPr>
      <t>&amp; Ore T/m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</si>
  <si>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r>
      <rPr>
        <b/>
        <u/>
        <sz val="12"/>
        <rFont val="Arial"/>
        <family val="2"/>
      </rPr>
      <t>Value of:</t>
    </r>
    <r>
      <rPr>
        <b/>
        <sz val="12"/>
        <rFont val="Arial"/>
        <family val="2"/>
      </rPr>
      <t xml:space="preserve"> Vacuumed Ni T in Aus$ </t>
    </r>
    <r>
      <rPr>
        <b/>
        <sz val="12"/>
        <color rgb="FF00B050"/>
        <rFont val="Arial"/>
        <family val="2"/>
      </rPr>
      <t>&amp; Aus$/m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</si>
  <si>
    <r>
      <t xml:space="preserve">Extra Revenue of: </t>
    </r>
    <r>
      <rPr>
        <b/>
        <sz val="16"/>
        <color rgb="FFFF0000"/>
        <rFont val="Arial"/>
        <family val="2"/>
      </rPr>
      <t xml:space="preserve">Vacuumed Ni T in Aus$ </t>
    </r>
    <r>
      <rPr>
        <b/>
        <i/>
        <sz val="16"/>
        <color rgb="FFFF0000"/>
        <rFont val="Arial"/>
        <family val="2"/>
      </rPr>
      <t>(after Mine A costs deduction)</t>
    </r>
  </si>
  <si>
    <t>Ni Ore Grade %:</t>
  </si>
  <si>
    <t>Total Aus$/t:</t>
  </si>
  <si>
    <t>Ni credit to Mine A by Roaster/Refinery</t>
  </si>
  <si>
    <t xml:space="preserve">* Toll Ni Concentrate roasting/refining </t>
  </si>
  <si>
    <r>
      <t xml:space="preserve">      in April 2001 - </t>
    </r>
    <r>
      <rPr>
        <b/>
        <i/>
        <sz val="12"/>
        <rFont val="Arial"/>
        <family val="2"/>
      </rPr>
      <t>Slides 7 &amp; 8</t>
    </r>
    <r>
      <rPr>
        <b/>
        <i/>
        <sz val="12"/>
        <color rgb="FF00B0F0"/>
        <rFont val="Arial"/>
        <family val="2"/>
      </rPr>
      <t xml:space="preserve"> (Hence low "milling"/grade enchancement </t>
    </r>
    <r>
      <rPr>
        <b/>
        <i/>
        <u/>
        <sz val="12"/>
        <color theme="1"/>
        <rFont val="Arial"/>
        <family val="2"/>
      </rPr>
      <t>in a new in-stope decline)</t>
    </r>
  </si>
  <si>
    <r>
      <t xml:space="preserve">    * Refer to </t>
    </r>
    <r>
      <rPr>
        <b/>
        <sz val="12"/>
        <rFont val="Arial"/>
        <family val="2"/>
      </rPr>
      <t>40.02 g/t of Au</t>
    </r>
    <r>
      <rPr>
        <b/>
        <sz val="12"/>
        <color rgb="FF00B0F0"/>
        <rFont val="Arial"/>
        <family val="2"/>
      </rPr>
      <t xml:space="preserve"> vacuum floor sampling conducted by Kris Biegaj in a new in-stope decline    </t>
    </r>
  </si>
  <si>
    <r>
      <rPr>
        <b/>
        <u/>
        <sz val="12"/>
        <rFont val="Arial"/>
        <family val="2"/>
      </rPr>
      <t>Value of:</t>
    </r>
    <r>
      <rPr>
        <b/>
        <sz val="12"/>
        <rFont val="Arial"/>
        <family val="2"/>
      </rPr>
      <t xml:space="preserve"> Vacuumed Au Ounces in Aus$ </t>
    </r>
    <r>
      <rPr>
        <b/>
        <sz val="12"/>
        <color rgb="FF00B050"/>
        <rFont val="Arial"/>
        <family val="2"/>
      </rPr>
      <t>and Aus$/m</t>
    </r>
    <r>
      <rPr>
        <b/>
        <vertAlign val="super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of mine floor</t>
    </r>
    <r>
      <rPr>
        <b/>
        <vertAlign val="superscript"/>
        <sz val="12"/>
        <color rgb="FF00B050"/>
        <rFont val="Arial"/>
        <family val="2"/>
      </rPr>
      <t xml:space="preserve">  </t>
    </r>
  </si>
  <si>
    <r>
      <t xml:space="preserve">Total vacuumed Au Ounces with Mine B 100% Credit </t>
    </r>
    <r>
      <rPr>
        <b/>
        <sz val="12"/>
        <color rgb="FF00B050"/>
        <rFont val="Arial"/>
        <family val="2"/>
      </rPr>
      <t>&amp; Au Oz/m</t>
    </r>
    <r>
      <rPr>
        <b/>
        <vertAlign val="superscript"/>
        <sz val="12"/>
        <color rgb="FF00B050"/>
        <rFont val="Arial"/>
        <family val="2"/>
      </rPr>
      <t xml:space="preserve">2 </t>
    </r>
    <r>
      <rPr>
        <b/>
        <sz val="12"/>
        <color rgb="FF00B050"/>
        <rFont val="Arial"/>
        <family val="2"/>
      </rPr>
      <t>of mine floor</t>
    </r>
  </si>
  <si>
    <r>
      <rPr>
        <b/>
        <u/>
        <sz val="12"/>
        <color rgb="FFFF0000"/>
        <rFont val="Arial"/>
        <family val="2"/>
      </rPr>
      <t xml:space="preserve">Extra Revenue of: </t>
    </r>
    <r>
      <rPr>
        <b/>
        <sz val="12"/>
        <color rgb="FFFF0000"/>
        <rFont val="Arial"/>
        <family val="2"/>
      </rPr>
      <t xml:space="preserve">Vacuumed/recovered Au Ounces in Aus$ at Mine B costs </t>
    </r>
    <r>
      <rPr>
        <b/>
        <i/>
        <sz val="12"/>
        <color rgb="FFFF0000"/>
        <rFont val="Arial"/>
        <family val="2"/>
      </rPr>
      <t>(with deducted State gold revenue charges and gold refining costs)</t>
    </r>
  </si>
  <si>
    <r>
      <t>* Much higher grades were sampled on stopes' and drives' floors in 2010/11</t>
    </r>
    <r>
      <rPr>
        <sz val="14"/>
        <color rgb="FFFF0000"/>
        <rFont val="Arial"/>
        <family val="2"/>
      </rPr>
      <t xml:space="preserve"> </t>
    </r>
    <r>
      <rPr>
        <b/>
        <i/>
        <sz val="14"/>
        <color rgb="FFFF0000"/>
        <rFont val="Arial"/>
        <family val="2"/>
      </rPr>
      <t>(i.e. &gt;&gt;&gt; 40 g/t)</t>
    </r>
  </si>
  <si>
    <r>
      <t xml:space="preserve">Extra Revenue from </t>
    </r>
    <r>
      <rPr>
        <b/>
        <sz val="40"/>
        <color rgb="FF0070C0"/>
        <rFont val="Arial"/>
        <family val="2"/>
      </rPr>
      <t>Nickel</t>
    </r>
    <r>
      <rPr>
        <b/>
        <sz val="40"/>
        <color rgb="FF00B050"/>
        <rFont val="Arial"/>
        <family val="2"/>
      </rPr>
      <t xml:space="preserve"> &amp; </t>
    </r>
    <r>
      <rPr>
        <b/>
        <sz val="40"/>
        <color rgb="FFFFFF00"/>
        <rFont val="Arial"/>
        <family val="2"/>
      </rPr>
      <t>Gold</t>
    </r>
    <r>
      <rPr>
        <b/>
        <sz val="40"/>
        <color rgb="FF00B050"/>
        <rFont val="Arial"/>
        <family val="2"/>
      </rPr>
      <t xml:space="preserve"> </t>
    </r>
    <r>
      <rPr>
        <b/>
        <sz val="40"/>
        <color rgb="FFFF0000"/>
        <rFont val="Arial"/>
        <family val="2"/>
      </rPr>
      <t xml:space="preserve">currently left behind </t>
    </r>
    <r>
      <rPr>
        <b/>
        <sz val="40"/>
        <color rgb="FF00B050"/>
        <rFont val="Arial"/>
        <family val="2"/>
      </rPr>
      <t xml:space="preserve">recovered from mine floors with vacuuming  </t>
    </r>
  </si>
  <si>
    <t>Vacuuming Costs @ 2,000 t/month recovery rate</t>
  </si>
  <si>
    <t>Vacuuming Cost @ 2,000 t/month recovery rate</t>
  </si>
  <si>
    <t xml:space="preserve">* Additional revenue from by-product metals and silver not included </t>
  </si>
  <si>
    <t xml:space="preserve">* Additional revenue from by-product silver and metals not included </t>
  </si>
  <si>
    <t xml:space="preserve"> </t>
  </si>
  <si>
    <r>
      <t xml:space="preserve">  from underground mine floors </t>
    </r>
    <r>
      <rPr>
        <b/>
        <sz val="14"/>
        <color rgb="FF00B0F0"/>
        <rFont val="Arial"/>
        <family val="2"/>
      </rPr>
      <t xml:space="preserve">or </t>
    </r>
    <r>
      <rPr>
        <b/>
        <u/>
        <sz val="14"/>
        <color rgb="FFFF0000"/>
        <rFont val="Arial"/>
        <family val="2"/>
      </rPr>
      <t>80 t/day with &gt;2,000 t/month on two-shifts arrangement</t>
    </r>
  </si>
  <si>
    <r>
      <t xml:space="preserve">* Ausvac Mining P/L can now vacuum/recover </t>
    </r>
    <r>
      <rPr>
        <b/>
        <sz val="14"/>
        <color rgb="FFFF0000"/>
        <rFont val="Arial"/>
        <family val="2"/>
      </rPr>
      <t xml:space="preserve">40 tonnes/shift with two </t>
    </r>
    <r>
      <rPr>
        <b/>
        <i/>
        <sz val="14"/>
        <color rgb="FFFF0000"/>
        <rFont val="Arial"/>
        <family val="2"/>
      </rPr>
      <t>(2)</t>
    </r>
    <r>
      <rPr>
        <b/>
        <sz val="14"/>
        <color rgb="FFFF0000"/>
        <rFont val="Arial"/>
        <family val="2"/>
      </rPr>
      <t xml:space="preserve"> Operators </t>
    </r>
  </si>
  <si>
    <r>
      <t xml:space="preserve">*8.6% + Nickel ore vacuumed in stopes and ore drives in 2003 in Western Australia </t>
    </r>
    <r>
      <rPr>
        <b/>
        <i/>
        <sz val="14"/>
        <color rgb="FFFF0000"/>
        <rFont val="Arial"/>
        <family val="2"/>
      </rPr>
      <t xml:space="preserve">(WA) </t>
    </r>
    <r>
      <rPr>
        <b/>
        <sz val="14"/>
        <color rgb="FFFF0000"/>
        <rFont val="Arial"/>
        <family val="2"/>
      </rPr>
      <t>by Ausvac Mining PL</t>
    </r>
  </si>
  <si>
    <t>18 10 2020</t>
  </si>
  <si>
    <t>* Vacuuming Costs calculated at 2,000 t/month productivity with two-shifts vacuuming at 80% equipment/working places availabilty</t>
  </si>
  <si>
    <t xml:space="preserve">  (with only 80 % equipment and workplaces availability)</t>
  </si>
  <si>
    <t>*0.5 m thick mine floor material vacuumed on a nickel mine in WA in 2003 by Ausvac Mining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</si>
</sst>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0.0"/>
    <numFmt numFmtId="168" formatCode="0.0%"/>
    <numFmt numFmtId="169" formatCode="#,##0.00_ ;\-#,##0.00\ "/>
    <numFmt numFmtId="170" formatCode="#,##0_ ;\-#,##0\ "/>
    <numFmt numFmtId="171" formatCode="0.000"/>
    <numFmt numFmtId="172" formatCode="#,##0.0_ ;\-#,##0.0\ "/>
  </numFmts>
  <fonts count="70" x14ac:knownFonts="1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04"/>
    </font>
    <font>
      <b/>
      <sz val="12"/>
      <color rgb="FFFF0000"/>
      <name val="Arial"/>
      <family val="2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  <family val="2"/>
    </font>
    <font>
      <b/>
      <sz val="14"/>
      <color theme="10"/>
      <name val="Arial"/>
      <family val="2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i/>
      <sz val="14"/>
      <color rgb="FF00B0F0"/>
      <name val="Arial"/>
      <family val="2"/>
    </font>
    <font>
      <b/>
      <sz val="14"/>
      <color rgb="FF00B0F0"/>
      <name val="Arial"/>
      <family val="2"/>
    </font>
    <font>
      <b/>
      <sz val="24"/>
      <name val="Arial"/>
      <family val="2"/>
    </font>
    <font>
      <b/>
      <sz val="14"/>
      <color rgb="FF0070C0"/>
      <name val="Arial"/>
      <family val="2"/>
    </font>
    <font>
      <b/>
      <sz val="14"/>
      <color rgb="FF00B050"/>
      <name val="Arial"/>
      <family val="2"/>
    </font>
    <font>
      <b/>
      <u/>
      <sz val="14"/>
      <color rgb="FFFF0000"/>
      <name val="Arial"/>
      <family val="2"/>
    </font>
    <font>
      <b/>
      <sz val="10"/>
      <name val="Arial"/>
      <family val="2"/>
    </font>
    <font>
      <b/>
      <sz val="12"/>
      <color rgb="FF00B0F0"/>
      <name val="Arial"/>
      <family val="2"/>
    </font>
    <font>
      <b/>
      <i/>
      <sz val="12"/>
      <color rgb="FF00B0F0"/>
      <name val="Arial"/>
      <family val="2"/>
    </font>
    <font>
      <b/>
      <i/>
      <u/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4"/>
      <color rgb="FFFF000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rgb="FF00B050"/>
      <name val="Arial"/>
      <family val="2"/>
    </font>
    <font>
      <b/>
      <vertAlign val="superscript"/>
      <sz val="12"/>
      <color rgb="FF00B050"/>
      <name val="Arial"/>
      <family val="2"/>
    </font>
    <font>
      <b/>
      <sz val="16"/>
      <name val="Arial"/>
      <family val="2"/>
      <charset val="204"/>
    </font>
    <font>
      <b/>
      <sz val="16"/>
      <color theme="3"/>
      <name val="Arial"/>
      <family val="2"/>
    </font>
    <font>
      <b/>
      <u/>
      <sz val="16"/>
      <name val="Arial"/>
      <family val="2"/>
      <charset val="204"/>
    </font>
    <font>
      <b/>
      <u/>
      <sz val="16"/>
      <color rgb="FFFF0000"/>
      <name val="Arial"/>
      <family val="2"/>
    </font>
    <font>
      <b/>
      <i/>
      <sz val="12"/>
      <color rgb="FFFF0000"/>
      <name val="Arial"/>
      <family val="2"/>
    </font>
    <font>
      <b/>
      <u/>
      <sz val="12"/>
      <color rgb="FF0070C0"/>
      <name val="Arial"/>
      <family val="2"/>
      <charset val="204"/>
    </font>
    <font>
      <b/>
      <i/>
      <sz val="12"/>
      <color rgb="FF0070C0"/>
      <name val="Arial"/>
      <family val="2"/>
      <charset val="204"/>
    </font>
    <font>
      <b/>
      <sz val="12"/>
      <color theme="1"/>
      <name val="Arial"/>
      <family val="2"/>
    </font>
    <font>
      <b/>
      <u/>
      <sz val="12"/>
      <color theme="4"/>
      <name val="Arial"/>
      <family val="2"/>
      <charset val="204"/>
    </font>
    <font>
      <b/>
      <i/>
      <sz val="12"/>
      <color theme="4"/>
      <name val="Arial"/>
      <family val="2"/>
    </font>
    <font>
      <sz val="10"/>
      <color theme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/>
      <name val="Arial"/>
      <family val="2"/>
    </font>
    <font>
      <b/>
      <sz val="14"/>
      <color theme="4"/>
      <name val="Arial"/>
      <family val="2"/>
    </font>
    <font>
      <b/>
      <u/>
      <sz val="1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2"/>
      <color rgb="FF0070C0"/>
      <name val="Arial"/>
      <family val="2"/>
    </font>
    <font>
      <b/>
      <sz val="14"/>
      <color rgb="FF7030A0"/>
      <name val="Arial"/>
      <family val="2"/>
    </font>
    <font>
      <b/>
      <sz val="40"/>
      <color rgb="FF00B050"/>
      <name val="Arial"/>
      <family val="2"/>
    </font>
    <font>
      <b/>
      <u/>
      <sz val="14"/>
      <color rgb="FF0070C0"/>
      <name val="Arial"/>
      <family val="2"/>
    </font>
    <font>
      <sz val="10"/>
      <color rgb="FF0070C0"/>
      <name val="Arial"/>
      <family val="2"/>
    </font>
    <font>
      <b/>
      <u/>
      <sz val="12"/>
      <color rgb="FFFF0000"/>
      <name val="Arial"/>
      <family val="2"/>
    </font>
    <font>
      <b/>
      <sz val="40"/>
      <color rgb="FF0070C0"/>
      <name val="Arial"/>
      <family val="2"/>
    </font>
    <font>
      <b/>
      <sz val="40"/>
      <color rgb="FFFFFF00"/>
      <name val="Arial"/>
      <family val="2"/>
    </font>
    <font>
      <b/>
      <i/>
      <sz val="10"/>
      <color rgb="FFFF0000"/>
      <name val="Arial"/>
      <family val="2"/>
    </font>
    <font>
      <b/>
      <sz val="4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</fills>
  <borders count="8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0" fillId="0" borderId="0" xfId="0" applyNumberFormat="1"/>
    <xf numFmtId="166" fontId="0" fillId="0" borderId="0" xfId="1" applyNumberFormat="1" applyFont="1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0" fillId="0" borderId="0" xfId="0" applyNumberFormat="1" applyBorder="1"/>
    <xf numFmtId="9" fontId="0" fillId="0" borderId="0" xfId="0" applyNumberFormat="1" applyBorder="1"/>
    <xf numFmtId="167" fontId="0" fillId="0" borderId="0" xfId="0" applyNumberFormat="1" applyBorder="1"/>
    <xf numFmtId="16" fontId="0" fillId="0" borderId="0" xfId="0" applyNumberFormat="1" applyBorder="1"/>
    <xf numFmtId="167" fontId="3" fillId="0" borderId="0" xfId="0" applyNumberFormat="1" applyFont="1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1" xfId="0" applyBorder="1"/>
    <xf numFmtId="0" fontId="0" fillId="0" borderId="8" xfId="0" applyBorder="1"/>
    <xf numFmtId="0" fontId="0" fillId="0" borderId="5" xfId="0" applyNumberFormat="1" applyBorder="1"/>
    <xf numFmtId="43" fontId="3" fillId="0" borderId="3" xfId="0" applyNumberFormat="1" applyFont="1" applyBorder="1"/>
    <xf numFmtId="0" fontId="6" fillId="0" borderId="0" xfId="0" applyFont="1"/>
    <xf numFmtId="0" fontId="7" fillId="0" borderId="2" xfId="0" applyFont="1" applyBorder="1"/>
    <xf numFmtId="0" fontId="3" fillId="0" borderId="9" xfId="0" applyFont="1" applyBorder="1"/>
    <xf numFmtId="0" fontId="5" fillId="0" borderId="5" xfId="0" applyFont="1" applyBorder="1"/>
    <xf numFmtId="167" fontId="9" fillId="0" borderId="0" xfId="0" applyNumberFormat="1" applyFont="1" applyBorder="1"/>
    <xf numFmtId="0" fontId="9" fillId="0" borderId="0" xfId="0" applyFont="1" applyBorder="1"/>
    <xf numFmtId="0" fontId="9" fillId="0" borderId="2" xfId="0" applyFont="1" applyBorder="1"/>
    <xf numFmtId="166" fontId="0" fillId="0" borderId="0" xfId="1" applyNumberFormat="1" applyFont="1" applyBorder="1" applyAlignment="1">
      <alignment horizontal="left" indent="1"/>
    </xf>
    <xf numFmtId="166" fontId="0" fillId="0" borderId="3" xfId="1" applyNumberFormat="1" applyFont="1" applyBorder="1" applyAlignment="1">
      <alignment horizontal="left" indent="1"/>
    </xf>
    <xf numFmtId="0" fontId="0" fillId="0" borderId="11" xfId="0" applyNumberFormat="1" applyBorder="1"/>
    <xf numFmtId="0" fontId="0" fillId="0" borderId="11" xfId="0" applyBorder="1"/>
    <xf numFmtId="0" fontId="3" fillId="0" borderId="10" xfId="0" applyFont="1" applyBorder="1"/>
    <xf numFmtId="167" fontId="0" fillId="0" borderId="11" xfId="0" applyNumberFormat="1" applyBorder="1"/>
    <xf numFmtId="166" fontId="3" fillId="0" borderId="3" xfId="1" applyNumberFormat="1" applyFont="1" applyBorder="1"/>
    <xf numFmtId="169" fontId="11" fillId="0" borderId="0" xfId="1" applyNumberFormat="1" applyFont="1" applyBorder="1" applyAlignment="1">
      <alignment horizontal="left"/>
    </xf>
    <xf numFmtId="0" fontId="13" fillId="0" borderId="3" xfId="0" applyFont="1" applyBorder="1"/>
    <xf numFmtId="0" fontId="14" fillId="0" borderId="0" xfId="0" applyFont="1"/>
    <xf numFmtId="0" fontId="15" fillId="0" borderId="0" xfId="0" applyFont="1"/>
    <xf numFmtId="0" fontId="16" fillId="0" borderId="3" xfId="0" applyFont="1" applyBorder="1"/>
    <xf numFmtId="10" fontId="17" fillId="0" borderId="2" xfId="0" applyNumberFormat="1" applyFont="1" applyBorder="1"/>
    <xf numFmtId="2" fontId="12" fillId="0" borderId="0" xfId="0" applyNumberFormat="1" applyFont="1" applyBorder="1" applyAlignment="1">
      <alignment horizontal="right"/>
    </xf>
    <xf numFmtId="0" fontId="19" fillId="0" borderId="4" xfId="0" applyFont="1" applyBorder="1"/>
    <xf numFmtId="0" fontId="19" fillId="0" borderId="5" xfId="0" applyNumberFormat="1" applyFont="1" applyBorder="1"/>
    <xf numFmtId="0" fontId="19" fillId="0" borderId="5" xfId="0" applyFont="1" applyBorder="1"/>
    <xf numFmtId="167" fontId="19" fillId="0" borderId="5" xfId="0" applyNumberFormat="1" applyFont="1" applyBorder="1"/>
    <xf numFmtId="165" fontId="20" fillId="0" borderId="2" xfId="1" applyNumberFormat="1" applyFont="1" applyBorder="1"/>
    <xf numFmtId="0" fontId="21" fillId="0" borderId="0" xfId="2"/>
    <xf numFmtId="0" fontId="22" fillId="0" borderId="0" xfId="2" applyFont="1"/>
    <xf numFmtId="0" fontId="23" fillId="3" borderId="1" xfId="0" applyFont="1" applyFill="1" applyBorder="1"/>
    <xf numFmtId="0" fontId="23" fillId="4" borderId="1" xfId="0" applyFont="1" applyFill="1" applyBorder="1"/>
    <xf numFmtId="0" fontId="24" fillId="0" borderId="0" xfId="0" applyFont="1"/>
    <xf numFmtId="0" fontId="1" fillId="0" borderId="0" xfId="0" applyFont="1"/>
    <xf numFmtId="2" fontId="27" fillId="0" borderId="0" xfId="0" applyNumberFormat="1" applyFont="1" applyAlignment="1">
      <alignment horizontal="center" vertical="center"/>
    </xf>
    <xf numFmtId="0" fontId="28" fillId="3" borderId="2" xfId="0" applyFont="1" applyFill="1" applyBorder="1"/>
    <xf numFmtId="0" fontId="28" fillId="0" borderId="0" xfId="0" applyFont="1"/>
    <xf numFmtId="168" fontId="28" fillId="3" borderId="0" xfId="0" applyNumberFormat="1" applyFont="1" applyFill="1" applyBorder="1"/>
    <xf numFmtId="0" fontId="28" fillId="5" borderId="0" xfId="0" applyNumberFormat="1" applyFont="1" applyFill="1" applyBorder="1"/>
    <xf numFmtId="0" fontId="0" fillId="2" borderId="0" xfId="0" applyFill="1" applyBorder="1"/>
    <xf numFmtId="0" fontId="0" fillId="5" borderId="0" xfId="0" applyFill="1"/>
    <xf numFmtId="0" fontId="32" fillId="0" borderId="0" xfId="0" applyFont="1"/>
    <xf numFmtId="0" fontId="25" fillId="0" borderId="0" xfId="0" applyFont="1"/>
    <xf numFmtId="0" fontId="33" fillId="0" borderId="0" xfId="0" applyFont="1"/>
    <xf numFmtId="170" fontId="18" fillId="0" borderId="0" xfId="1" applyNumberFormat="1" applyFont="1" applyBorder="1" applyAlignment="1">
      <alignment horizontal="left"/>
    </xf>
    <xf numFmtId="0" fontId="13" fillId="0" borderId="0" xfId="0" applyFont="1" applyBorder="1"/>
    <xf numFmtId="0" fontId="16" fillId="0" borderId="2" xfId="0" applyFont="1" applyBorder="1"/>
    <xf numFmtId="0" fontId="11" fillId="0" borderId="4" xfId="0" applyFont="1" applyBorder="1"/>
    <xf numFmtId="166" fontId="11" fillId="0" borderId="5" xfId="1" applyNumberFormat="1" applyFont="1" applyBorder="1"/>
    <xf numFmtId="0" fontId="0" fillId="8" borderId="15" xfId="0" applyFill="1" applyBorder="1"/>
    <xf numFmtId="0" fontId="31" fillId="5" borderId="0" xfId="0" applyNumberFormat="1" applyFont="1" applyFill="1" applyBorder="1" applyAlignment="1">
      <alignment horizontal="center"/>
    </xf>
    <xf numFmtId="16" fontId="0" fillId="0" borderId="2" xfId="0" applyNumberFormat="1" applyBorder="1"/>
    <xf numFmtId="0" fontId="9" fillId="8" borderId="15" xfId="0" applyNumberFormat="1" applyFont="1" applyFill="1" applyBorder="1"/>
    <xf numFmtId="0" fontId="0" fillId="5" borderId="15" xfId="0" applyFill="1" applyBorder="1"/>
    <xf numFmtId="0" fontId="9" fillId="5" borderId="15" xfId="0" applyNumberFormat="1" applyFont="1" applyFill="1" applyBorder="1" applyAlignment="1">
      <alignment horizontal="right"/>
    </xf>
    <xf numFmtId="167" fontId="9" fillId="0" borderId="19" xfId="0" applyNumberFormat="1" applyFont="1" applyBorder="1"/>
    <xf numFmtId="166" fontId="3" fillId="0" borderId="20" xfId="1" applyNumberFormat="1" applyFont="1" applyBorder="1"/>
    <xf numFmtId="0" fontId="31" fillId="5" borderId="22" xfId="0" applyNumberFormat="1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22" xfId="0" applyNumberFormat="1" applyBorder="1"/>
    <xf numFmtId="167" fontId="31" fillId="0" borderId="19" xfId="0" applyNumberFormat="1" applyFont="1" applyBorder="1"/>
    <xf numFmtId="171" fontId="31" fillId="7" borderId="23" xfId="0" applyNumberFormat="1" applyFont="1" applyFill="1" applyBorder="1"/>
    <xf numFmtId="171" fontId="31" fillId="7" borderId="24" xfId="0" applyNumberFormat="1" applyFont="1" applyFill="1" applyBorder="1"/>
    <xf numFmtId="172" fontId="31" fillId="0" borderId="15" xfId="1" applyNumberFormat="1" applyFont="1" applyBorder="1"/>
    <xf numFmtId="166" fontId="31" fillId="0" borderId="19" xfId="1" applyNumberFormat="1" applyFont="1" applyBorder="1"/>
    <xf numFmtId="171" fontId="1" fillId="0" borderId="14" xfId="0" applyNumberFormat="1" applyFont="1" applyBorder="1"/>
    <xf numFmtId="166" fontId="1" fillId="0" borderId="26" xfId="1" applyNumberFormat="1" applyFont="1" applyBorder="1"/>
    <xf numFmtId="0" fontId="0" fillId="5" borderId="0" xfId="0" applyFill="1" applyBorder="1"/>
    <xf numFmtId="167" fontId="0" fillId="5" borderId="0" xfId="0" applyNumberFormat="1" applyFill="1" applyBorder="1"/>
    <xf numFmtId="167" fontId="3" fillId="0" borderId="18" xfId="0" applyNumberFormat="1" applyFont="1" applyBorder="1"/>
    <xf numFmtId="0" fontId="0" fillId="5" borderId="17" xfId="0" applyFill="1" applyBorder="1"/>
    <xf numFmtId="0" fontId="31" fillId="5" borderId="11" xfId="0" applyNumberFormat="1" applyFont="1" applyFill="1" applyBorder="1" applyAlignment="1">
      <alignment horizontal="center"/>
    </xf>
    <xf numFmtId="0" fontId="0" fillId="5" borderId="11" xfId="0" applyFill="1" applyBorder="1"/>
    <xf numFmtId="16" fontId="0" fillId="5" borderId="11" xfId="0" applyNumberFormat="1" applyFill="1" applyBorder="1"/>
    <xf numFmtId="0" fontId="31" fillId="5" borderId="12" xfId="0" applyNumberFormat="1" applyFont="1" applyFill="1" applyBorder="1" applyAlignment="1">
      <alignment horizontal="center"/>
    </xf>
    <xf numFmtId="0" fontId="0" fillId="8" borderId="17" xfId="0" applyFill="1" applyBorder="1"/>
    <xf numFmtId="0" fontId="3" fillId="5" borderId="30" xfId="1" applyNumberFormat="1" applyFont="1" applyFill="1" applyBorder="1"/>
    <xf numFmtId="0" fontId="7" fillId="0" borderId="10" xfId="0" applyFont="1" applyBorder="1"/>
    <xf numFmtId="0" fontId="0" fillId="0" borderId="31" xfId="0" applyBorder="1"/>
    <xf numFmtId="0" fontId="0" fillId="0" borderId="32" xfId="0" applyNumberFormat="1" applyBorder="1"/>
    <xf numFmtId="0" fontId="0" fillId="0" borderId="32" xfId="0" applyBorder="1"/>
    <xf numFmtId="10" fontId="31" fillId="7" borderId="4" xfId="0" applyNumberFormat="1" applyFont="1" applyFill="1" applyBorder="1"/>
    <xf numFmtId="167" fontId="1" fillId="0" borderId="19" xfId="0" applyNumberFormat="1" applyFont="1" applyBorder="1"/>
    <xf numFmtId="171" fontId="1" fillId="0" borderId="15" xfId="0" applyNumberFormat="1" applyFont="1" applyBorder="1"/>
    <xf numFmtId="0" fontId="31" fillId="5" borderId="33" xfId="0" applyNumberFormat="1" applyFont="1" applyFill="1" applyBorder="1" applyAlignment="1">
      <alignment horizontal="center"/>
    </xf>
    <xf numFmtId="166" fontId="1" fillId="0" borderId="19" xfId="1" applyNumberFormat="1" applyFont="1" applyBorder="1"/>
    <xf numFmtId="166" fontId="1" fillId="0" borderId="18" xfId="1" applyNumberFormat="1" applyFont="1" applyBorder="1"/>
    <xf numFmtId="166" fontId="1" fillId="0" borderId="25" xfId="1" applyNumberFormat="1" applyFont="1" applyBorder="1"/>
    <xf numFmtId="0" fontId="0" fillId="0" borderId="18" xfId="0" applyBorder="1"/>
    <xf numFmtId="166" fontId="1" fillId="0" borderId="17" xfId="1" applyNumberFormat="1" applyFont="1" applyBorder="1"/>
    <xf numFmtId="166" fontId="1" fillId="0" borderId="15" xfId="1" applyNumberFormat="1" applyFont="1" applyBorder="1"/>
    <xf numFmtId="170" fontId="1" fillId="0" borderId="25" xfId="1" applyNumberFormat="1" applyFont="1" applyBorder="1"/>
    <xf numFmtId="170" fontId="1" fillId="0" borderId="26" xfId="1" applyNumberFormat="1" applyFont="1" applyBorder="1"/>
    <xf numFmtId="0" fontId="31" fillId="0" borderId="2" xfId="0" applyFont="1" applyBorder="1"/>
    <xf numFmtId="9" fontId="31" fillId="0" borderId="0" xfId="0" applyNumberFormat="1" applyFont="1" applyBorder="1"/>
    <xf numFmtId="0" fontId="31" fillId="0" borderId="0" xfId="0" applyNumberFormat="1" applyFont="1" applyBorder="1"/>
    <xf numFmtId="0" fontId="31" fillId="0" borderId="0" xfId="0" applyFont="1" applyBorder="1"/>
    <xf numFmtId="167" fontId="31" fillId="0" borderId="0" xfId="0" applyNumberFormat="1" applyFont="1" applyBorder="1"/>
    <xf numFmtId="0" fontId="42" fillId="0" borderId="2" xfId="0" applyFont="1" applyBorder="1"/>
    <xf numFmtId="170" fontId="43" fillId="0" borderId="0" xfId="1" applyNumberFormat="1" applyFont="1" applyBorder="1" applyAlignment="1">
      <alignment horizontal="left"/>
    </xf>
    <xf numFmtId="0" fontId="44" fillId="0" borderId="2" xfId="0" applyFont="1" applyBorder="1"/>
    <xf numFmtId="0" fontId="45" fillId="0" borderId="2" xfId="0" applyFont="1" applyBorder="1"/>
    <xf numFmtId="166" fontId="31" fillId="0" borderId="28" xfId="1" applyNumberFormat="1" applyFont="1" applyBorder="1"/>
    <xf numFmtId="172" fontId="31" fillId="0" borderId="26" xfId="1" applyNumberFormat="1" applyFont="1" applyBorder="1"/>
    <xf numFmtId="0" fontId="31" fillId="0" borderId="0" xfId="0" applyFont="1"/>
    <xf numFmtId="0" fontId="31" fillId="0" borderId="4" xfId="0" applyFont="1" applyBorder="1"/>
    <xf numFmtId="0" fontId="31" fillId="0" borderId="5" xfId="0" applyNumberFormat="1" applyFont="1" applyBorder="1"/>
    <xf numFmtId="0" fontId="31" fillId="0" borderId="5" xfId="0" applyFont="1" applyBorder="1"/>
    <xf numFmtId="2" fontId="12" fillId="0" borderId="5" xfId="0" applyNumberFormat="1" applyFont="1" applyBorder="1"/>
    <xf numFmtId="0" fontId="8" fillId="0" borderId="0" xfId="0" applyFont="1" applyBorder="1"/>
    <xf numFmtId="167" fontId="8" fillId="0" borderId="11" xfId="0" applyNumberFormat="1" applyFont="1" applyBorder="1"/>
    <xf numFmtId="0" fontId="3" fillId="0" borderId="31" xfId="0" applyFont="1" applyBorder="1"/>
    <xf numFmtId="167" fontId="8" fillId="0" borderId="0" xfId="0" applyNumberFormat="1" applyFont="1" applyBorder="1"/>
    <xf numFmtId="43" fontId="3" fillId="0" borderId="0" xfId="0" applyNumberFormat="1" applyFont="1" applyBorder="1"/>
    <xf numFmtId="0" fontId="16" fillId="0" borderId="0" xfId="0" applyFont="1" applyBorder="1"/>
    <xf numFmtId="0" fontId="0" fillId="0" borderId="17" xfId="0" applyBorder="1"/>
    <xf numFmtId="0" fontId="0" fillId="0" borderId="15" xfId="0" applyBorder="1"/>
    <xf numFmtId="0" fontId="9" fillId="0" borderId="15" xfId="0" applyNumberFormat="1" applyFont="1" applyBorder="1"/>
    <xf numFmtId="169" fontId="3" fillId="7" borderId="16" xfId="1" applyNumberFormat="1" applyFont="1" applyFill="1" applyBorder="1"/>
    <xf numFmtId="167" fontId="0" fillId="0" borderId="38" xfId="0" applyNumberFormat="1" applyBorder="1"/>
    <xf numFmtId="167" fontId="3" fillId="0" borderId="8" xfId="0" applyNumberFormat="1" applyFont="1" applyBorder="1"/>
    <xf numFmtId="165" fontId="31" fillId="7" borderId="4" xfId="1" applyNumberFormat="1" applyFont="1" applyFill="1" applyBorder="1"/>
    <xf numFmtId="165" fontId="20" fillId="0" borderId="39" xfId="1" applyNumberFormat="1" applyFont="1" applyBorder="1"/>
    <xf numFmtId="165" fontId="0" fillId="0" borderId="19" xfId="1" applyNumberFormat="1" applyFont="1" applyBorder="1"/>
    <xf numFmtId="169" fontId="0" fillId="0" borderId="15" xfId="1" applyNumberFormat="1" applyFont="1" applyBorder="1"/>
    <xf numFmtId="165" fontId="31" fillId="7" borderId="29" xfId="1" applyNumberFormat="1" applyFont="1" applyFill="1" applyBorder="1"/>
    <xf numFmtId="165" fontId="0" fillId="0" borderId="18" xfId="1" applyNumberFormat="1" applyFont="1" applyBorder="1"/>
    <xf numFmtId="169" fontId="0" fillId="0" borderId="17" xfId="1" applyNumberFormat="1" applyFont="1" applyBorder="1"/>
    <xf numFmtId="166" fontId="0" fillId="0" borderId="19" xfId="1" applyNumberFormat="1" applyFont="1" applyBorder="1" applyAlignment="1">
      <alignment horizontal="left" indent="1"/>
    </xf>
    <xf numFmtId="166" fontId="12" fillId="0" borderId="18" xfId="1" applyNumberFormat="1" applyFont="1" applyBorder="1" applyAlignment="1">
      <alignment horizontal="left" indent="1"/>
    </xf>
    <xf numFmtId="166" fontId="12" fillId="0" borderId="17" xfId="1" applyNumberFormat="1" applyFont="1" applyBorder="1" applyAlignment="1">
      <alignment horizontal="left" indent="1"/>
    </xf>
    <xf numFmtId="166" fontId="12" fillId="0" borderId="19" xfId="1" applyNumberFormat="1" applyFont="1" applyBorder="1" applyAlignment="1">
      <alignment horizontal="left" indent="1"/>
    </xf>
    <xf numFmtId="166" fontId="12" fillId="0" borderId="15" xfId="1" applyNumberFormat="1" applyFont="1" applyBorder="1" applyAlignment="1">
      <alignment horizontal="left" indent="1"/>
    </xf>
    <xf numFmtId="0" fontId="10" fillId="0" borderId="2" xfId="0" applyFont="1" applyBorder="1"/>
    <xf numFmtId="166" fontId="12" fillId="0" borderId="35" xfId="1" applyNumberFormat="1" applyFont="1" applyBorder="1" applyAlignment="1">
      <alignment horizontal="left" indent="1"/>
    </xf>
    <xf numFmtId="166" fontId="12" fillId="0" borderId="28" xfId="1" applyNumberFormat="1" applyFont="1" applyBorder="1" applyAlignment="1">
      <alignment horizontal="left" indent="1"/>
    </xf>
    <xf numFmtId="166" fontId="12" fillId="0" borderId="25" xfId="1" applyNumberFormat="1" applyFont="1" applyBorder="1" applyAlignment="1">
      <alignment horizontal="left" indent="1"/>
    </xf>
    <xf numFmtId="166" fontId="12" fillId="0" borderId="26" xfId="1" applyNumberFormat="1" applyFont="1" applyBorder="1" applyAlignment="1">
      <alignment horizontal="left" indent="1"/>
    </xf>
    <xf numFmtId="0" fontId="0" fillId="0" borderId="45" xfId="0" applyBorder="1"/>
    <xf numFmtId="0" fontId="28" fillId="3" borderId="0" xfId="0" applyNumberFormat="1" applyFont="1" applyFill="1" applyBorder="1"/>
    <xf numFmtId="0" fontId="47" fillId="0" borderId="2" xfId="0" applyFont="1" applyBorder="1"/>
    <xf numFmtId="0" fontId="47" fillId="0" borderId="10" xfId="0" applyFont="1" applyBorder="1"/>
    <xf numFmtId="0" fontId="31" fillId="0" borderId="40" xfId="0" applyFont="1" applyBorder="1" applyAlignment="1">
      <alignment horizontal="center"/>
    </xf>
    <xf numFmtId="165" fontId="0" fillId="0" borderId="35" xfId="1" applyNumberFormat="1" applyFont="1" applyBorder="1"/>
    <xf numFmtId="165" fontId="0" fillId="0" borderId="28" xfId="1" applyNumberFormat="1" applyFont="1" applyBorder="1"/>
    <xf numFmtId="165" fontId="31" fillId="7" borderId="36" xfId="1" applyNumberFormat="1" applyFont="1" applyFill="1" applyBorder="1"/>
    <xf numFmtId="169" fontId="0" fillId="0" borderId="25" xfId="1" applyNumberFormat="1" applyFont="1" applyBorder="1"/>
    <xf numFmtId="169" fontId="0" fillId="0" borderId="26" xfId="1" applyNumberFormat="1" applyFont="1" applyBorder="1"/>
    <xf numFmtId="0" fontId="31" fillId="0" borderId="46" xfId="0" applyFont="1" applyBorder="1" applyAlignment="1">
      <alignment horizontal="center"/>
    </xf>
    <xf numFmtId="0" fontId="7" fillId="0" borderId="47" xfId="0" applyNumberFormat="1" applyFont="1" applyBorder="1"/>
    <xf numFmtId="0" fontId="0" fillId="0" borderId="48" xfId="0" applyNumberFormat="1" applyBorder="1"/>
    <xf numFmtId="166" fontId="11" fillId="0" borderId="49" xfId="1" applyNumberFormat="1" applyFont="1" applyBorder="1"/>
    <xf numFmtId="166" fontId="11" fillId="0" borderId="50" xfId="1" applyNumberFormat="1" applyFont="1" applyBorder="1"/>
    <xf numFmtId="167" fontId="3" fillId="0" borderId="51" xfId="0" applyNumberFormat="1" applyFont="1" applyBorder="1"/>
    <xf numFmtId="0" fontId="0" fillId="0" borderId="48" xfId="0" applyBorder="1"/>
    <xf numFmtId="0" fontId="0" fillId="0" borderId="52" xfId="0" applyBorder="1"/>
    <xf numFmtId="167" fontId="3" fillId="0" borderId="52" xfId="0" applyNumberFormat="1" applyFont="1" applyBorder="1"/>
    <xf numFmtId="167" fontId="48" fillId="0" borderId="19" xfId="0" applyNumberFormat="1" applyFont="1" applyBorder="1"/>
    <xf numFmtId="167" fontId="0" fillId="0" borderId="53" xfId="0" applyNumberFormat="1" applyBorder="1"/>
    <xf numFmtId="0" fontId="0" fillId="0" borderId="35" xfId="0" applyBorder="1"/>
    <xf numFmtId="0" fontId="0" fillId="0" borderId="28" xfId="0" applyBorder="1"/>
    <xf numFmtId="0" fontId="48" fillId="0" borderId="28" xfId="0" applyFont="1" applyBorder="1"/>
    <xf numFmtId="166" fontId="3" fillId="0" borderId="54" xfId="1" applyNumberFormat="1" applyFont="1" applyBorder="1"/>
    <xf numFmtId="0" fontId="9" fillId="0" borderId="28" xfId="0" applyFont="1" applyBorder="1"/>
    <xf numFmtId="167" fontId="3" fillId="0" borderId="25" xfId="0" applyNumberFormat="1" applyFont="1" applyBorder="1"/>
    <xf numFmtId="167" fontId="31" fillId="0" borderId="26" xfId="0" applyNumberFormat="1" applyFont="1" applyBorder="1"/>
    <xf numFmtId="167" fontId="9" fillId="0" borderId="26" xfId="0" applyNumberFormat="1" applyFont="1" applyBorder="1"/>
    <xf numFmtId="169" fontId="3" fillId="7" borderId="27" xfId="1" applyNumberFormat="1" applyFont="1" applyFill="1" applyBorder="1"/>
    <xf numFmtId="167" fontId="0" fillId="0" borderId="26" xfId="0" applyNumberFormat="1" applyBorder="1"/>
    <xf numFmtId="0" fontId="0" fillId="0" borderId="25" xfId="0" applyBorder="1"/>
    <xf numFmtId="0" fontId="0" fillId="0" borderId="26" xfId="0" applyBorder="1"/>
    <xf numFmtId="0" fontId="9" fillId="0" borderId="26" xfId="0" applyFont="1" applyBorder="1"/>
    <xf numFmtId="0" fontId="0" fillId="0" borderId="55" xfId="0" applyBorder="1"/>
    <xf numFmtId="0" fontId="0" fillId="0" borderId="56" xfId="0" applyBorder="1"/>
    <xf numFmtId="0" fontId="48" fillId="0" borderId="56" xfId="0" applyNumberFormat="1" applyFont="1" applyBorder="1"/>
    <xf numFmtId="166" fontId="3" fillId="0" borderId="57" xfId="1" applyNumberFormat="1" applyFont="1" applyBorder="1"/>
    <xf numFmtId="0" fontId="48" fillId="0" borderId="28" xfId="0" applyNumberFormat="1" applyFont="1" applyBorder="1"/>
    <xf numFmtId="0" fontId="9" fillId="0" borderId="28" xfId="0" applyNumberFormat="1" applyFont="1" applyBorder="1"/>
    <xf numFmtId="167" fontId="0" fillId="0" borderId="48" xfId="0" applyNumberFormat="1" applyBorder="1"/>
    <xf numFmtId="0" fontId="0" fillId="0" borderId="51" xfId="0" applyNumberFormat="1" applyBorder="1"/>
    <xf numFmtId="166" fontId="0" fillId="0" borderId="18" xfId="1" applyNumberFormat="1" applyFont="1" applyBorder="1" applyAlignment="1">
      <alignment horizontal="left" indent="1"/>
    </xf>
    <xf numFmtId="0" fontId="0" fillId="0" borderId="58" xfId="0" applyBorder="1"/>
    <xf numFmtId="166" fontId="0" fillId="0" borderId="17" xfId="1" applyNumberFormat="1" applyFont="1" applyBorder="1" applyAlignment="1">
      <alignment horizontal="left" indent="1"/>
    </xf>
    <xf numFmtId="166" fontId="0" fillId="0" borderId="15" xfId="1" applyNumberFormat="1" applyFont="1" applyBorder="1" applyAlignment="1">
      <alignment horizontal="left" indent="1"/>
    </xf>
    <xf numFmtId="0" fontId="48" fillId="0" borderId="2" xfId="0" applyFont="1" applyBorder="1"/>
    <xf numFmtId="169" fontId="12" fillId="7" borderId="37" xfId="1" applyNumberFormat="1" applyFont="1" applyFill="1" applyBorder="1"/>
    <xf numFmtId="169" fontId="12" fillId="7" borderId="24" xfId="1" applyNumberFormat="1" applyFont="1" applyFill="1" applyBorder="1"/>
    <xf numFmtId="167" fontId="0" fillId="0" borderId="22" xfId="0" applyNumberFormat="1" applyBorder="1"/>
    <xf numFmtId="9" fontId="31" fillId="7" borderId="27" xfId="0" applyNumberFormat="1" applyFont="1" applyFill="1" applyBorder="1" applyAlignment="1">
      <alignment horizontal="center"/>
    </xf>
    <xf numFmtId="9" fontId="31" fillId="7" borderId="16" xfId="0" applyNumberFormat="1" applyFont="1" applyFill="1" applyBorder="1" applyAlignment="1">
      <alignment horizontal="center"/>
    </xf>
    <xf numFmtId="9" fontId="31" fillId="7" borderId="60" xfId="0" applyNumberFormat="1" applyFont="1" applyFill="1" applyBorder="1" applyAlignment="1">
      <alignment horizontal="center"/>
    </xf>
    <xf numFmtId="9" fontId="31" fillId="7" borderId="6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26" xfId="1" applyNumberFormat="1" applyFont="1" applyBorder="1" applyAlignment="1">
      <alignment horizontal="left" indent="1"/>
    </xf>
    <xf numFmtId="166" fontId="0" fillId="0" borderId="25" xfId="1" applyNumberFormat="1" applyFont="1" applyBorder="1" applyAlignment="1">
      <alignment horizontal="left" indent="1"/>
    </xf>
    <xf numFmtId="166" fontId="7" fillId="0" borderId="29" xfId="1" applyNumberFormat="1" applyFont="1" applyBorder="1" applyAlignment="1">
      <alignment horizontal="left" indent="1"/>
    </xf>
    <xf numFmtId="166" fontId="7" fillId="7" borderId="37" xfId="1" applyNumberFormat="1" applyFont="1" applyFill="1" applyBorder="1" applyAlignment="1">
      <alignment horizontal="left" indent="1"/>
    </xf>
    <xf numFmtId="166" fontId="7" fillId="7" borderId="24" xfId="1" applyNumberFormat="1" applyFont="1" applyFill="1" applyBorder="1" applyAlignment="1">
      <alignment horizontal="left" indent="1"/>
    </xf>
    <xf numFmtId="0" fontId="31" fillId="0" borderId="59" xfId="0" applyNumberFormat="1" applyFont="1" applyBorder="1" applyAlignment="1">
      <alignment horizontal="center"/>
    </xf>
    <xf numFmtId="165" fontId="49" fillId="9" borderId="34" xfId="1" applyNumberFormat="1" applyFont="1" applyFill="1" applyBorder="1"/>
    <xf numFmtId="166" fontId="7" fillId="9" borderId="41" xfId="1" applyNumberFormat="1" applyFont="1" applyFill="1" applyBorder="1" applyAlignment="1">
      <alignment horizontal="left" indent="1"/>
    </xf>
    <xf numFmtId="166" fontId="7" fillId="9" borderId="42" xfId="1" applyNumberFormat="1" applyFont="1" applyFill="1" applyBorder="1" applyAlignment="1">
      <alignment horizontal="left" indent="1"/>
    </xf>
    <xf numFmtId="166" fontId="7" fillId="9" borderId="43" xfId="1" applyNumberFormat="1" applyFont="1" applyFill="1" applyBorder="1" applyAlignment="1">
      <alignment horizontal="left" indent="1"/>
    </xf>
    <xf numFmtId="166" fontId="7" fillId="9" borderId="44" xfId="1" applyNumberFormat="1" applyFont="1" applyFill="1" applyBorder="1" applyAlignment="1">
      <alignment horizontal="left" indent="1"/>
    </xf>
    <xf numFmtId="0" fontId="50" fillId="0" borderId="10" xfId="0" applyFont="1" applyBorder="1"/>
    <xf numFmtId="0" fontId="51" fillId="0" borderId="2" xfId="0" applyFont="1" applyBorder="1"/>
    <xf numFmtId="167" fontId="51" fillId="0" borderId="19" xfId="0" applyNumberFormat="1" applyFont="1" applyBorder="1"/>
    <xf numFmtId="0" fontId="50" fillId="0" borderId="2" xfId="0" applyFont="1" applyBorder="1"/>
    <xf numFmtId="167" fontId="51" fillId="0" borderId="19" xfId="0" applyNumberFormat="1" applyFont="1" applyBorder="1" applyAlignment="1">
      <alignment horizontal="right"/>
    </xf>
    <xf numFmtId="167" fontId="31" fillId="0" borderId="65" xfId="0" applyNumberFormat="1" applyFont="1" applyBorder="1"/>
    <xf numFmtId="167" fontId="3" fillId="8" borderId="25" xfId="0" applyNumberFormat="1" applyFont="1" applyFill="1" applyBorder="1"/>
    <xf numFmtId="167" fontId="0" fillId="8" borderId="26" xfId="0" applyNumberFormat="1" applyFill="1" applyBorder="1"/>
    <xf numFmtId="167" fontId="51" fillId="8" borderId="26" xfId="0" applyNumberFormat="1" applyFont="1" applyFill="1" applyBorder="1"/>
    <xf numFmtId="0" fontId="0" fillId="8" borderId="25" xfId="0" applyFill="1" applyBorder="1"/>
    <xf numFmtId="0" fontId="0" fillId="0" borderId="19" xfId="0" applyBorder="1"/>
    <xf numFmtId="0" fontId="0" fillId="8" borderId="26" xfId="0" applyFill="1" applyBorder="1"/>
    <xf numFmtId="0" fontId="51" fillId="0" borderId="19" xfId="0" applyFont="1" applyBorder="1"/>
    <xf numFmtId="0" fontId="51" fillId="8" borderId="26" xfId="0" applyFont="1" applyFill="1" applyBorder="1"/>
    <xf numFmtId="0" fontId="51" fillId="0" borderId="28" xfId="0" applyNumberFormat="1" applyFont="1" applyBorder="1"/>
    <xf numFmtId="0" fontId="3" fillId="0" borderId="4" xfId="0" applyFont="1" applyBorder="1"/>
    <xf numFmtId="166" fontId="3" fillId="0" borderId="29" xfId="1" applyNumberFormat="1" applyFont="1" applyBorder="1"/>
    <xf numFmtId="0" fontId="3" fillId="6" borderId="37" xfId="1" applyNumberFormat="1" applyFont="1" applyFill="1" applyBorder="1"/>
    <xf numFmtId="166" fontId="3" fillId="0" borderId="36" xfId="1" applyNumberFormat="1" applyFont="1" applyBorder="1"/>
    <xf numFmtId="0" fontId="3" fillId="6" borderId="24" xfId="1" applyNumberFormat="1" applyFont="1" applyFill="1" applyBorder="1"/>
    <xf numFmtId="0" fontId="51" fillId="0" borderId="28" xfId="0" applyFont="1" applyBorder="1" applyAlignment="1">
      <alignment horizontal="right"/>
    </xf>
    <xf numFmtId="167" fontId="3" fillId="5" borderId="25" xfId="0" applyNumberFormat="1" applyFont="1" applyFill="1" applyBorder="1"/>
    <xf numFmtId="167" fontId="0" fillId="5" borderId="26" xfId="0" applyNumberFormat="1" applyFill="1" applyBorder="1"/>
    <xf numFmtId="0" fontId="52" fillId="5" borderId="26" xfId="0" applyNumberFormat="1" applyFont="1" applyFill="1" applyBorder="1"/>
    <xf numFmtId="0" fontId="0" fillId="5" borderId="25" xfId="0" applyFill="1" applyBorder="1"/>
    <xf numFmtId="0" fontId="0" fillId="5" borderId="26" xfId="0" applyFill="1" applyBorder="1"/>
    <xf numFmtId="0" fontId="51" fillId="5" borderId="26" xfId="0" applyFont="1" applyFill="1" applyBorder="1" applyAlignment="1">
      <alignment horizontal="right"/>
    </xf>
    <xf numFmtId="0" fontId="51" fillId="0" borderId="28" xfId="0" applyNumberFormat="1" applyFont="1" applyBorder="1" applyAlignment="1">
      <alignment horizontal="right"/>
    </xf>
    <xf numFmtId="0" fontId="31" fillId="5" borderId="63" xfId="0" applyNumberFormat="1" applyFont="1" applyFill="1" applyBorder="1" applyAlignment="1">
      <alignment horizontal="center"/>
    </xf>
    <xf numFmtId="10" fontId="17" fillId="0" borderId="39" xfId="0" applyNumberFormat="1" applyFont="1" applyBorder="1"/>
    <xf numFmtId="10" fontId="17" fillId="0" borderId="67" xfId="0" applyNumberFormat="1" applyFont="1" applyBorder="1"/>
    <xf numFmtId="166" fontId="3" fillId="0" borderId="68" xfId="1" applyNumberFormat="1" applyFont="1" applyBorder="1"/>
    <xf numFmtId="0" fontId="3" fillId="6" borderId="60" xfId="1" applyNumberFormat="1" applyFont="1" applyFill="1" applyBorder="1"/>
    <xf numFmtId="166" fontId="11" fillId="0" borderId="69" xfId="1" applyNumberFormat="1" applyFont="1" applyBorder="1"/>
    <xf numFmtId="166" fontId="3" fillId="0" borderId="69" xfId="1" applyNumberFormat="1" applyFont="1" applyBorder="1"/>
    <xf numFmtId="0" fontId="3" fillId="6" borderId="64" xfId="1" applyNumberFormat="1" applyFont="1" applyFill="1" applyBorder="1"/>
    <xf numFmtId="0" fontId="0" fillId="0" borderId="71" xfId="0" applyBorder="1"/>
    <xf numFmtId="0" fontId="0" fillId="0" borderId="70" xfId="0" applyBorder="1" applyAlignment="1">
      <alignment horizontal="center"/>
    </xf>
    <xf numFmtId="1" fontId="7" fillId="0" borderId="72" xfId="0" applyNumberFormat="1" applyFont="1" applyBorder="1" applyAlignment="1">
      <alignment horizontal="right"/>
    </xf>
    <xf numFmtId="0" fontId="31" fillId="5" borderId="73" xfId="0" applyNumberFormat="1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166" fontId="11" fillId="0" borderId="68" xfId="1" applyNumberFormat="1" applyFont="1" applyBorder="1"/>
    <xf numFmtId="0" fontId="3" fillId="5" borderId="60" xfId="1" applyNumberFormat="1" applyFont="1" applyFill="1" applyBorder="1"/>
    <xf numFmtId="0" fontId="31" fillId="5" borderId="64" xfId="0" applyNumberFormat="1" applyFont="1" applyFill="1" applyBorder="1" applyAlignment="1">
      <alignment horizontal="center"/>
    </xf>
    <xf numFmtId="9" fontId="2" fillId="0" borderId="62" xfId="0" applyNumberFormat="1" applyFont="1" applyBorder="1"/>
    <xf numFmtId="9" fontId="31" fillId="7" borderId="66" xfId="0" applyNumberFormat="1" applyFont="1" applyFill="1" applyBorder="1" applyAlignment="1">
      <alignment horizontal="center"/>
    </xf>
    <xf numFmtId="9" fontId="31" fillId="7" borderId="75" xfId="0" applyNumberFormat="1" applyFont="1" applyFill="1" applyBorder="1" applyAlignment="1">
      <alignment horizontal="center"/>
    </xf>
    <xf numFmtId="0" fontId="55" fillId="0" borderId="2" xfId="0" applyFont="1" applyBorder="1"/>
    <xf numFmtId="9" fontId="55" fillId="0" borderId="0" xfId="0" applyNumberFormat="1" applyFont="1" applyBorder="1"/>
    <xf numFmtId="167" fontId="1" fillId="0" borderId="45" xfId="0" applyNumberFormat="1" applyFont="1" applyBorder="1"/>
    <xf numFmtId="166" fontId="0" fillId="0" borderId="59" xfId="1" applyNumberFormat="1" applyFont="1" applyBorder="1"/>
    <xf numFmtId="166" fontId="0" fillId="0" borderId="76" xfId="1" applyNumberFormat="1" applyFont="1" applyBorder="1"/>
    <xf numFmtId="0" fontId="56" fillId="0" borderId="0" xfId="0" applyFont="1"/>
    <xf numFmtId="0" fontId="60" fillId="0" borderId="2" xfId="0" applyFont="1" applyBorder="1" applyAlignment="1">
      <alignment horizontal="center"/>
    </xf>
    <xf numFmtId="0" fontId="29" fillId="0" borderId="0" xfId="0" applyFont="1"/>
    <xf numFmtId="0" fontId="61" fillId="0" borderId="0" xfId="0" applyFont="1"/>
    <xf numFmtId="166" fontId="1" fillId="0" borderId="68" xfId="1" applyNumberFormat="1" applyFont="1" applyBorder="1"/>
    <xf numFmtId="167" fontId="1" fillId="0" borderId="21" xfId="0" applyNumberFormat="1" applyFont="1" applyBorder="1"/>
    <xf numFmtId="171" fontId="1" fillId="0" borderId="13" xfId="0" applyNumberFormat="1" applyFont="1" applyBorder="1"/>
    <xf numFmtId="171" fontId="1" fillId="0" borderId="74" xfId="0" applyNumberFormat="1" applyFont="1" applyBorder="1"/>
    <xf numFmtId="167" fontId="31" fillId="7" borderId="29" xfId="0" applyNumberFormat="1" applyFont="1" applyFill="1" applyBorder="1"/>
    <xf numFmtId="10" fontId="7" fillId="7" borderId="77" xfId="0" applyNumberFormat="1" applyFont="1" applyFill="1" applyBorder="1"/>
    <xf numFmtId="166" fontId="7" fillId="5" borderId="29" xfId="1" applyNumberFormat="1" applyFont="1" applyFill="1" applyBorder="1"/>
    <xf numFmtId="170" fontId="7" fillId="7" borderId="37" xfId="1" applyNumberFormat="1" applyFont="1" applyFill="1" applyBorder="1"/>
    <xf numFmtId="166" fontId="7" fillId="7" borderId="37" xfId="1" applyNumberFormat="1" applyFont="1" applyFill="1" applyBorder="1"/>
    <xf numFmtId="166" fontId="7" fillId="7" borderId="24" xfId="1" applyNumberFormat="1" applyFont="1" applyFill="1" applyBorder="1"/>
    <xf numFmtId="10" fontId="49" fillId="7" borderId="34" xfId="0" applyNumberFormat="1" applyFont="1" applyFill="1" applyBorder="1"/>
    <xf numFmtId="166" fontId="7" fillId="7" borderId="29" xfId="1" applyNumberFormat="1" applyFont="1" applyFill="1" applyBorder="1"/>
    <xf numFmtId="172" fontId="7" fillId="7" borderId="37" xfId="1" applyNumberFormat="1" applyFont="1" applyFill="1" applyBorder="1"/>
    <xf numFmtId="166" fontId="7" fillId="7" borderId="36" xfId="1" applyNumberFormat="1" applyFont="1" applyFill="1" applyBorder="1"/>
    <xf numFmtId="172" fontId="7" fillId="7" borderId="24" xfId="1" applyNumberFormat="1" applyFont="1" applyFill="1" applyBorder="1"/>
    <xf numFmtId="0" fontId="62" fillId="0" borderId="0" xfId="0" applyFont="1"/>
    <xf numFmtId="0" fontId="63" fillId="0" borderId="0" xfId="2" applyFont="1"/>
    <xf numFmtId="0" fontId="64" fillId="0" borderId="0" xfId="0" applyNumberFormat="1" applyFont="1"/>
    <xf numFmtId="0" fontId="64" fillId="0" borderId="0" xfId="0" applyFont="1"/>
    <xf numFmtId="167" fontId="68" fillId="0" borderId="0" xfId="0" applyNumberFormat="1" applyFont="1" applyBorder="1"/>
    <xf numFmtId="9" fontId="31" fillId="7" borderId="53" xfId="0" applyNumberFormat="1" applyFont="1" applyFill="1" applyBorder="1" applyAlignment="1">
      <alignment horizontal="center"/>
    </xf>
    <xf numFmtId="0" fontId="31" fillId="0" borderId="40" xfId="0" applyNumberFormat="1" applyFont="1" applyBorder="1" applyAlignment="1">
      <alignment horizontal="center"/>
    </xf>
    <xf numFmtId="9" fontId="2" fillId="0" borderId="40" xfId="0" applyNumberFormat="1" applyFont="1" applyBorder="1" applyAlignment="1">
      <alignment horizontal="center"/>
    </xf>
    <xf numFmtId="9" fontId="31" fillId="7" borderId="22" xfId="0" applyNumberFormat="1" applyFont="1" applyFill="1" applyBorder="1"/>
    <xf numFmtId="9" fontId="31" fillId="7" borderId="78" xfId="0" applyNumberFormat="1" applyFont="1" applyFill="1" applyBorder="1"/>
    <xf numFmtId="9" fontId="2" fillId="0" borderId="46" xfId="0" applyNumberFormat="1" applyFont="1" applyBorder="1" applyAlignment="1">
      <alignment horizontal="center"/>
    </xf>
    <xf numFmtId="0" fontId="31" fillId="5" borderId="79" xfId="0" applyNumberFormat="1" applyFont="1" applyFill="1" applyBorder="1" applyAlignment="1">
      <alignment horizontal="center"/>
    </xf>
    <xf numFmtId="0" fontId="31" fillId="5" borderId="3" xfId="0" applyNumberFormat="1" applyFont="1" applyFill="1" applyBorder="1" applyAlignment="1">
      <alignment horizontal="center"/>
    </xf>
    <xf numFmtId="9" fontId="2" fillId="0" borderId="1" xfId="0" applyNumberFormat="1" applyFont="1" applyBorder="1"/>
    <xf numFmtId="0" fontId="31" fillId="5" borderId="80" xfId="0" applyNumberFormat="1" applyFont="1" applyFill="1" applyBorder="1" applyAlignment="1">
      <alignment horizontal="center"/>
    </xf>
    <xf numFmtId="0" fontId="0" fillId="0" borderId="81" xfId="0" applyNumberFormat="1" applyBorder="1"/>
    <xf numFmtId="0" fontId="53" fillId="5" borderId="80" xfId="0" applyNumberFormat="1" applyFont="1" applyFill="1" applyBorder="1" applyAlignment="1">
      <alignment horizontal="center"/>
    </xf>
    <xf numFmtId="0" fontId="53" fillId="5" borderId="33" xfId="0" applyNumberFormat="1" applyFont="1" applyFill="1" applyBorder="1" applyAlignment="1">
      <alignment horizontal="center"/>
    </xf>
    <xf numFmtId="0" fontId="54" fillId="5" borderId="1" xfId="0" applyFont="1" applyFill="1" applyBorder="1"/>
    <xf numFmtId="0" fontId="31" fillId="0" borderId="46" xfId="0" applyNumberFormat="1" applyFont="1" applyBorder="1" applyAlignment="1">
      <alignment horizontal="center"/>
    </xf>
    <xf numFmtId="166" fontId="0" fillId="0" borderId="79" xfId="1" applyNumberFormat="1" applyFont="1" applyBorder="1"/>
    <xf numFmtId="166" fontId="0" fillId="0" borderId="1" xfId="1" applyNumberFormat="1" applyFont="1" applyBorder="1"/>
    <xf numFmtId="166" fontId="0" fillId="0" borderId="8" xfId="1" applyNumberFormat="1" applyFont="1" applyBorder="1"/>
    <xf numFmtId="0" fontId="31" fillId="0" borderId="65" xfId="0" applyNumberFormat="1" applyFont="1" applyBorder="1" applyAlignment="1">
      <alignment horizontal="center"/>
    </xf>
    <xf numFmtId="0" fontId="31" fillId="0" borderId="6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33"/>
      <color rgb="FF66FF33"/>
      <color rgb="FF99FF66"/>
      <color rgb="FF588824"/>
      <color rgb="FF92D050"/>
      <color rgb="FFBAE18F"/>
      <color rgb="FF004821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svacmining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88"/>
  <sheetViews>
    <sheetView tabSelected="1" topLeftCell="J1" workbookViewId="0">
      <selection activeCell="R85" sqref="R85"/>
    </sheetView>
  </sheetViews>
  <sheetFormatPr defaultRowHeight="12.75" x14ac:dyDescent="0.2"/>
  <cols>
    <col min="1" max="1" width="1.28515625" customWidth="1"/>
    <col min="2" max="2" width="44.7109375" customWidth="1"/>
    <col min="3" max="3" width="18.7109375" style="2" customWidth="1"/>
    <col min="4" max="4" width="14.28515625" style="2" customWidth="1"/>
    <col min="5" max="5" width="16.85546875" customWidth="1"/>
    <col min="6" max="6" width="14.42578125" customWidth="1"/>
    <col min="7" max="7" width="16.7109375" customWidth="1"/>
    <col min="8" max="8" width="14.42578125" customWidth="1"/>
    <col min="9" max="9" width="15.85546875" customWidth="1"/>
    <col min="10" max="10" width="13.7109375" customWidth="1"/>
    <col min="11" max="11" width="26.42578125" customWidth="1"/>
    <col min="12" max="12" width="42.7109375" customWidth="1"/>
    <col min="13" max="13" width="19" customWidth="1"/>
    <col min="14" max="14" width="15.5703125" customWidth="1"/>
    <col min="15" max="15" width="19" customWidth="1"/>
    <col min="16" max="16" width="18" customWidth="1"/>
    <col min="17" max="17" width="20.5703125" customWidth="1"/>
    <col min="18" max="18" width="17.7109375" customWidth="1"/>
    <col min="19" max="19" width="19.85546875" customWidth="1"/>
    <col min="20" max="20" width="17" customWidth="1"/>
    <col min="21" max="21" width="11.140625" customWidth="1"/>
    <col min="22" max="25" width="9.140625" hidden="1" customWidth="1"/>
    <col min="26" max="32" width="0" hidden="1" customWidth="1"/>
  </cols>
  <sheetData>
    <row r="1" spans="2:20" ht="48.75" customHeight="1" x14ac:dyDescent="0.7">
      <c r="B1" s="297" t="s">
        <v>62</v>
      </c>
    </row>
    <row r="2" spans="2:20" ht="39" customHeight="1" thickBot="1" x14ac:dyDescent="0.25"/>
    <row r="3" spans="2:20" ht="30.75" thickTop="1" x14ac:dyDescent="0.4">
      <c r="B3" s="18"/>
      <c r="C3" s="20"/>
      <c r="D3" s="20"/>
      <c r="E3" s="53" t="s">
        <v>7</v>
      </c>
      <c r="F3" s="53"/>
      <c r="G3" s="20"/>
      <c r="H3" s="20"/>
      <c r="I3" s="21"/>
      <c r="J3" s="6"/>
      <c r="K3" s="56" t="s">
        <v>71</v>
      </c>
      <c r="L3" s="18"/>
      <c r="M3" s="20"/>
      <c r="N3" s="20"/>
      <c r="O3" s="52" t="s">
        <v>8</v>
      </c>
      <c r="P3" s="52"/>
      <c r="Q3" s="20"/>
      <c r="R3" s="20"/>
      <c r="S3" s="21"/>
      <c r="T3" s="6"/>
    </row>
    <row r="4" spans="2:20" ht="18.75" thickBot="1" x14ac:dyDescent="0.3">
      <c r="B4" s="15"/>
      <c r="C4" s="27" t="s">
        <v>13</v>
      </c>
      <c r="D4" s="27"/>
      <c r="E4" s="16"/>
      <c r="F4" s="16"/>
      <c r="G4" s="16"/>
      <c r="H4" s="16"/>
      <c r="I4" s="17"/>
      <c r="J4" s="6"/>
      <c r="K4" s="4"/>
      <c r="L4" s="15"/>
      <c r="M4" s="27" t="s">
        <v>14</v>
      </c>
      <c r="N4" s="27"/>
      <c r="O4" s="16"/>
      <c r="P4" s="16"/>
      <c r="Q4" s="16"/>
      <c r="R4" s="16"/>
      <c r="S4" s="17"/>
      <c r="T4" s="6"/>
    </row>
    <row r="5" spans="2:20" ht="13.5" thickTop="1" x14ac:dyDescent="0.2">
      <c r="B5" s="18"/>
      <c r="C5" s="19"/>
      <c r="D5" s="7"/>
      <c r="E5" s="6"/>
      <c r="F5" s="6"/>
      <c r="G5" s="20"/>
      <c r="H5" s="20"/>
      <c r="I5" s="21"/>
      <c r="J5" s="6"/>
      <c r="K5" s="4"/>
      <c r="L5" s="12"/>
      <c r="M5" s="6"/>
      <c r="N5" s="6"/>
      <c r="Q5" s="6"/>
      <c r="R5" s="6"/>
      <c r="S5" s="13"/>
      <c r="T5" s="6"/>
    </row>
    <row r="6" spans="2:20" ht="20.25" x14ac:dyDescent="0.3">
      <c r="B6" s="120" t="s">
        <v>9</v>
      </c>
      <c r="C6" s="7"/>
      <c r="D6" s="7"/>
      <c r="E6" s="6"/>
      <c r="F6" s="6"/>
      <c r="G6" s="121">
        <v>15603</v>
      </c>
      <c r="H6" s="66"/>
      <c r="I6" s="13"/>
      <c r="J6" s="6"/>
      <c r="K6" s="4"/>
      <c r="L6" s="120" t="s">
        <v>11</v>
      </c>
      <c r="M6" s="7"/>
      <c r="N6" s="7"/>
      <c r="Q6" s="38">
        <v>1900.7</v>
      </c>
      <c r="R6" s="38"/>
      <c r="S6" s="23">
        <f>Q6/Q10</f>
        <v>61.108924002991202</v>
      </c>
      <c r="T6" s="135"/>
    </row>
    <row r="7" spans="2:20" x14ac:dyDescent="0.2">
      <c r="B7" s="115" t="s">
        <v>20</v>
      </c>
      <c r="C7" s="7"/>
      <c r="D7" s="7"/>
      <c r="E7" s="6"/>
      <c r="F7" s="6"/>
      <c r="G7" s="44">
        <v>0.71</v>
      </c>
      <c r="H7" s="44"/>
      <c r="I7" s="13"/>
      <c r="J7" s="6"/>
      <c r="K7" s="4"/>
      <c r="L7" s="115" t="s">
        <v>21</v>
      </c>
      <c r="M7" s="117"/>
      <c r="N7" s="117"/>
      <c r="O7" s="126"/>
      <c r="P7" s="126"/>
      <c r="Q7" s="44">
        <f>G7</f>
        <v>0.71</v>
      </c>
      <c r="R7" s="44"/>
      <c r="S7" s="13"/>
      <c r="T7" s="6"/>
    </row>
    <row r="8" spans="2:20" x14ac:dyDescent="0.2">
      <c r="B8" s="273" t="s">
        <v>54</v>
      </c>
      <c r="C8" s="7"/>
      <c r="D8" s="7"/>
      <c r="E8" s="6"/>
      <c r="F8" s="6"/>
      <c r="G8" s="274">
        <v>0.65</v>
      </c>
      <c r="H8" s="8"/>
      <c r="I8" s="39"/>
      <c r="J8" s="67"/>
      <c r="K8" s="4"/>
      <c r="L8" s="115" t="s">
        <v>15</v>
      </c>
      <c r="M8" s="117"/>
      <c r="N8" s="117"/>
      <c r="O8" s="126"/>
      <c r="P8" s="126"/>
      <c r="Q8" s="116">
        <v>1</v>
      </c>
      <c r="R8" s="116"/>
      <c r="S8" s="13"/>
      <c r="T8" s="6"/>
    </row>
    <row r="9" spans="2:20" x14ac:dyDescent="0.2">
      <c r="B9" s="115" t="s">
        <v>0</v>
      </c>
      <c r="C9" s="7"/>
      <c r="D9" s="7"/>
      <c r="E9" s="6"/>
      <c r="F9" s="6"/>
      <c r="G9" s="116">
        <v>0.85</v>
      </c>
      <c r="H9" s="8"/>
      <c r="I9" s="13"/>
      <c r="J9" s="6"/>
      <c r="K9" s="4"/>
      <c r="L9" s="115" t="s">
        <v>0</v>
      </c>
      <c r="M9" s="117"/>
      <c r="N9" s="117"/>
      <c r="O9" s="126"/>
      <c r="P9" s="126"/>
      <c r="Q9" s="116">
        <v>0.95</v>
      </c>
      <c r="R9" s="116"/>
      <c r="S9" s="13"/>
      <c r="T9" s="6"/>
    </row>
    <row r="10" spans="2:20" ht="13.5" thickBot="1" x14ac:dyDescent="0.25">
      <c r="B10" s="15"/>
      <c r="C10" s="22"/>
      <c r="D10" s="22"/>
      <c r="E10" s="16"/>
      <c r="F10" s="16"/>
      <c r="G10" s="16"/>
      <c r="H10" s="16"/>
      <c r="I10" s="17"/>
      <c r="J10" s="6"/>
      <c r="K10" s="4"/>
      <c r="L10" s="127" t="s">
        <v>10</v>
      </c>
      <c r="M10" s="128"/>
      <c r="N10" s="128"/>
      <c r="O10" s="129"/>
      <c r="P10" s="129"/>
      <c r="Q10" s="130">
        <v>31.103476799999999</v>
      </c>
      <c r="R10" s="130"/>
      <c r="S10" s="17"/>
      <c r="T10" s="6"/>
    </row>
    <row r="11" spans="2:20" ht="21" thickTop="1" x14ac:dyDescent="0.3">
      <c r="B11" s="122" t="s">
        <v>25</v>
      </c>
      <c r="C11" s="7"/>
      <c r="D11" s="7"/>
      <c r="E11" s="6"/>
      <c r="F11" s="6"/>
      <c r="G11" s="6"/>
      <c r="H11" s="6"/>
      <c r="I11" s="13"/>
      <c r="J11" s="6"/>
      <c r="K11" s="4"/>
      <c r="L11" s="122" t="s">
        <v>24</v>
      </c>
      <c r="M11" s="7"/>
      <c r="N11" s="7"/>
      <c r="Q11" s="6"/>
      <c r="R11" s="6"/>
      <c r="S11" s="13"/>
      <c r="T11" s="6"/>
    </row>
    <row r="12" spans="2:20" x14ac:dyDescent="0.2">
      <c r="B12" s="12"/>
      <c r="C12" s="7"/>
      <c r="D12" s="7"/>
      <c r="E12" s="6"/>
      <c r="F12" s="6"/>
      <c r="G12" s="6"/>
      <c r="H12" s="6"/>
      <c r="I12" s="13"/>
      <c r="J12" s="6"/>
      <c r="K12" s="4"/>
      <c r="L12" s="12"/>
      <c r="M12" s="7"/>
      <c r="N12" s="7"/>
      <c r="Q12" s="6"/>
      <c r="R12" s="6"/>
      <c r="S12" s="13"/>
      <c r="T12" s="6"/>
    </row>
    <row r="13" spans="2:20" x14ac:dyDescent="0.2">
      <c r="B13" s="115" t="s">
        <v>1</v>
      </c>
      <c r="C13" s="117"/>
      <c r="D13" s="117"/>
      <c r="E13" s="118"/>
      <c r="F13" s="118"/>
      <c r="G13" s="119">
        <v>8</v>
      </c>
      <c r="H13" s="9"/>
      <c r="I13" s="13"/>
      <c r="J13" s="6"/>
      <c r="K13" s="4"/>
      <c r="L13" s="115" t="s">
        <v>1</v>
      </c>
      <c r="M13" s="117"/>
      <c r="N13" s="117"/>
      <c r="O13" s="126"/>
      <c r="P13" s="126"/>
      <c r="Q13" s="119">
        <v>8</v>
      </c>
      <c r="R13" s="119"/>
      <c r="S13" s="13"/>
      <c r="T13" s="6"/>
    </row>
    <row r="14" spans="2:20" x14ac:dyDescent="0.2">
      <c r="B14" s="115" t="s">
        <v>2</v>
      </c>
      <c r="C14" s="117"/>
      <c r="D14" s="117"/>
      <c r="E14" s="118"/>
      <c r="F14" s="118"/>
      <c r="G14" s="119">
        <v>6</v>
      </c>
      <c r="H14" s="9"/>
      <c r="I14" s="13"/>
      <c r="J14" s="6"/>
      <c r="K14" s="4"/>
      <c r="L14" s="115" t="s">
        <v>2</v>
      </c>
      <c r="M14" s="117"/>
      <c r="N14" s="117"/>
      <c r="O14" s="126"/>
      <c r="P14" s="126"/>
      <c r="Q14" s="119">
        <v>3</v>
      </c>
      <c r="R14" s="119"/>
      <c r="S14" s="13"/>
      <c r="T14" s="6"/>
    </row>
    <row r="15" spans="2:20" x14ac:dyDescent="0.2">
      <c r="B15" s="115" t="s">
        <v>3</v>
      </c>
      <c r="C15" s="117"/>
      <c r="D15" s="117"/>
      <c r="E15" s="118"/>
      <c r="F15" s="118"/>
      <c r="G15" s="119">
        <v>15</v>
      </c>
      <c r="H15" s="42" t="s">
        <v>19</v>
      </c>
      <c r="I15" s="42"/>
      <c r="J15" s="68"/>
      <c r="K15" s="4"/>
      <c r="L15" s="115" t="s">
        <v>3</v>
      </c>
      <c r="M15" s="117"/>
      <c r="N15" s="117"/>
      <c r="O15" s="126"/>
      <c r="P15" s="126"/>
      <c r="Q15" s="119">
        <v>15</v>
      </c>
      <c r="R15" s="42" t="s">
        <v>19</v>
      </c>
      <c r="S15" s="160"/>
      <c r="T15" s="136"/>
    </row>
    <row r="16" spans="2:20" x14ac:dyDescent="0.2">
      <c r="B16" s="115"/>
      <c r="C16" s="117"/>
      <c r="D16" s="117"/>
      <c r="E16" s="118"/>
      <c r="F16" s="118"/>
      <c r="G16" s="119"/>
      <c r="H16" s="9"/>
      <c r="I16" s="13"/>
      <c r="J16" s="12"/>
      <c r="K16" s="4"/>
      <c r="L16" s="115"/>
      <c r="M16" s="117"/>
      <c r="N16" s="117"/>
      <c r="O16" s="126"/>
      <c r="P16" s="126"/>
      <c r="Q16" s="119"/>
      <c r="R16" s="119"/>
      <c r="S16" s="13"/>
      <c r="T16" s="6"/>
    </row>
    <row r="17" spans="2:20" ht="13.5" thickBot="1" x14ac:dyDescent="0.25">
      <c r="B17" s="115" t="s">
        <v>63</v>
      </c>
      <c r="C17" s="117"/>
      <c r="D17" s="117"/>
      <c r="E17" s="118"/>
      <c r="F17" s="118"/>
      <c r="G17" s="231">
        <v>128</v>
      </c>
      <c r="H17" s="301"/>
      <c r="I17" s="13"/>
      <c r="J17" s="12"/>
      <c r="K17" s="4"/>
      <c r="L17" s="115" t="s">
        <v>64</v>
      </c>
      <c r="M17" s="117"/>
      <c r="N17" s="117"/>
      <c r="O17" s="126"/>
      <c r="P17" s="126"/>
      <c r="Q17" s="119">
        <v>128</v>
      </c>
      <c r="R17" s="301"/>
      <c r="S17" s="13"/>
      <c r="T17" s="6"/>
    </row>
    <row r="18" spans="2:20" ht="15" x14ac:dyDescent="0.2">
      <c r="B18" s="12"/>
      <c r="C18" s="7"/>
      <c r="D18" s="7"/>
      <c r="E18" s="6"/>
      <c r="F18" s="6"/>
      <c r="G18" s="132">
        <f>SUM(G13:G17)</f>
        <v>157</v>
      </c>
      <c r="H18" s="9"/>
      <c r="I18" s="13"/>
      <c r="J18" s="12"/>
      <c r="K18" s="4"/>
      <c r="L18" s="115"/>
      <c r="M18" s="117"/>
      <c r="N18" s="117"/>
      <c r="O18" s="131" t="s">
        <v>16</v>
      </c>
      <c r="P18" s="131"/>
      <c r="Q18" s="132">
        <f>SUM(Q13:Q17)</f>
        <v>154</v>
      </c>
      <c r="R18" s="134"/>
      <c r="S18" s="13"/>
      <c r="T18" s="6"/>
    </row>
    <row r="19" spans="2:20" ht="18" x14ac:dyDescent="0.25">
      <c r="B19" s="12"/>
      <c r="C19" s="7"/>
      <c r="D19" s="7"/>
      <c r="E19" s="6"/>
      <c r="F19" s="6"/>
      <c r="G19" s="9"/>
      <c r="H19" s="9"/>
      <c r="I19" s="13"/>
      <c r="J19" s="12"/>
      <c r="K19" s="4"/>
      <c r="L19" s="57" t="s">
        <v>39</v>
      </c>
      <c r="M19" s="161"/>
      <c r="N19" s="60"/>
      <c r="O19" s="58"/>
      <c r="P19" s="58"/>
      <c r="Q19" s="59">
        <v>2.5000000000000001E-2</v>
      </c>
      <c r="R19" s="59"/>
      <c r="S19" s="13"/>
      <c r="T19" s="6"/>
    </row>
    <row r="20" spans="2:20" ht="15.75" thickBot="1" x14ac:dyDescent="0.25">
      <c r="B20" s="73"/>
      <c r="C20" s="10"/>
      <c r="D20" s="10"/>
      <c r="E20" s="29" t="s">
        <v>53</v>
      </c>
      <c r="F20" s="29"/>
      <c r="G20" s="28">
        <f>SUM(G13:G17)</f>
        <v>157</v>
      </c>
      <c r="H20" s="28"/>
      <c r="I20" s="13"/>
      <c r="J20" s="12"/>
      <c r="K20" s="4"/>
      <c r="L20" s="45" t="s">
        <v>18</v>
      </c>
      <c r="M20" s="46"/>
      <c r="N20" s="46"/>
      <c r="O20" s="47"/>
      <c r="P20" s="47"/>
      <c r="Q20" s="48">
        <v>22</v>
      </c>
      <c r="R20" s="48"/>
      <c r="S20" s="17"/>
      <c r="T20" s="6"/>
    </row>
    <row r="21" spans="2:20" ht="17.25" thickTop="1" thickBot="1" x14ac:dyDescent="0.3">
      <c r="B21" s="35" t="s">
        <v>33</v>
      </c>
      <c r="C21" s="81"/>
      <c r="D21" s="79"/>
      <c r="E21" s="80"/>
      <c r="F21" s="79"/>
      <c r="G21" s="80"/>
      <c r="H21" s="79"/>
      <c r="I21" s="80"/>
      <c r="J21" s="72"/>
      <c r="K21" s="4"/>
      <c r="L21" s="133" t="s">
        <v>30</v>
      </c>
      <c r="M21" s="101"/>
      <c r="N21" s="101"/>
      <c r="O21" s="102"/>
      <c r="P21" s="102"/>
      <c r="Q21" s="102"/>
      <c r="R21" s="102"/>
      <c r="S21" s="102"/>
      <c r="T21" s="6"/>
    </row>
    <row r="22" spans="2:20" ht="17.25" thickTop="1" thickBot="1" x14ac:dyDescent="0.3">
      <c r="B22" s="226" t="s">
        <v>34</v>
      </c>
      <c r="C22" s="33"/>
      <c r="D22" s="93"/>
      <c r="E22" s="94"/>
      <c r="F22" s="93"/>
      <c r="G22" s="95"/>
      <c r="H22" s="93"/>
      <c r="I22" s="94"/>
      <c r="J22" s="96"/>
      <c r="K22" s="4"/>
      <c r="L22" s="162" t="s">
        <v>34</v>
      </c>
      <c r="M22" s="7"/>
      <c r="N22" s="7"/>
      <c r="Q22" s="10"/>
      <c r="R22" s="10"/>
      <c r="S22" s="20"/>
      <c r="T22" s="21"/>
    </row>
    <row r="23" spans="2:20" ht="15.75" x14ac:dyDescent="0.25">
      <c r="B23" s="115" t="s">
        <v>6</v>
      </c>
      <c r="C23" s="91">
        <v>3</v>
      </c>
      <c r="D23" s="232"/>
      <c r="E23" s="110"/>
      <c r="F23" s="235"/>
      <c r="G23" s="110"/>
      <c r="H23" s="235"/>
      <c r="I23" s="181"/>
      <c r="J23" s="97"/>
      <c r="K23" s="4"/>
      <c r="L23" s="115" t="s">
        <v>6</v>
      </c>
      <c r="M23" s="91">
        <v>2.5</v>
      </c>
      <c r="N23" s="186"/>
      <c r="O23" s="181"/>
      <c r="P23" s="191"/>
      <c r="Q23" s="181"/>
      <c r="R23" s="191"/>
      <c r="S23" s="194"/>
      <c r="T23" s="137"/>
    </row>
    <row r="24" spans="2:20" x14ac:dyDescent="0.2">
      <c r="B24" s="115" t="s">
        <v>4</v>
      </c>
      <c r="C24" s="82">
        <v>140</v>
      </c>
      <c r="D24" s="233"/>
      <c r="E24" s="236"/>
      <c r="F24" s="237"/>
      <c r="G24" s="236"/>
      <c r="H24" s="237"/>
      <c r="I24" s="182"/>
      <c r="J24" s="71"/>
      <c r="K24" s="4"/>
      <c r="L24" s="115" t="s">
        <v>4</v>
      </c>
      <c r="M24" s="82">
        <v>140</v>
      </c>
      <c r="N24" s="187"/>
      <c r="O24" s="182"/>
      <c r="P24" s="192"/>
      <c r="Q24" s="182"/>
      <c r="R24" s="192"/>
      <c r="S24" s="195"/>
      <c r="T24" s="138"/>
    </row>
    <row r="25" spans="2:20" x14ac:dyDescent="0.2">
      <c r="B25" s="115" t="s">
        <v>5</v>
      </c>
      <c r="C25" s="82">
        <v>4</v>
      </c>
      <c r="D25" s="233"/>
      <c r="E25" s="236"/>
      <c r="F25" s="237"/>
      <c r="G25" s="236"/>
      <c r="H25" s="237"/>
      <c r="I25" s="182"/>
      <c r="J25" s="71"/>
      <c r="K25" s="4"/>
      <c r="L25" s="115" t="s">
        <v>5</v>
      </c>
      <c r="M25" s="82">
        <v>4</v>
      </c>
      <c r="N25" s="187"/>
      <c r="O25" s="182"/>
      <c r="P25" s="192"/>
      <c r="Q25" s="182"/>
      <c r="R25" s="192"/>
      <c r="S25" s="195"/>
      <c r="T25" s="138"/>
    </row>
    <row r="26" spans="2:20" ht="15" x14ac:dyDescent="0.2">
      <c r="B26" s="227" t="s">
        <v>17</v>
      </c>
      <c r="C26" s="228">
        <v>0.1</v>
      </c>
      <c r="D26" s="234"/>
      <c r="E26" s="238">
        <v>0.2</v>
      </c>
      <c r="F26" s="239"/>
      <c r="G26" s="238">
        <v>0.3</v>
      </c>
      <c r="H26" s="239"/>
      <c r="I26" s="240">
        <v>0.4</v>
      </c>
      <c r="J26" s="74"/>
      <c r="K26" s="5"/>
      <c r="L26" s="206" t="s">
        <v>17</v>
      </c>
      <c r="M26" s="179">
        <v>0.1</v>
      </c>
      <c r="N26" s="188"/>
      <c r="O26" s="183">
        <v>0.2</v>
      </c>
      <c r="P26" s="193"/>
      <c r="Q26" s="183">
        <v>0.3</v>
      </c>
      <c r="R26" s="193"/>
      <c r="S26" s="196">
        <v>0.4</v>
      </c>
      <c r="T26" s="139"/>
    </row>
    <row r="27" spans="2:20" ht="19.5" thickBot="1" x14ac:dyDescent="0.3">
      <c r="B27" s="241" t="s">
        <v>49</v>
      </c>
      <c r="C27" s="242">
        <f>$C$23*$C$24*$C$25*C26</f>
        <v>168</v>
      </c>
      <c r="D27" s="243">
        <f>$C$23*$C$24*$C$25*$C26/($C$24*$C$25)</f>
        <v>0.3</v>
      </c>
      <c r="E27" s="242">
        <f>$C$23*$C$24*$C$25*E26</f>
        <v>336</v>
      </c>
      <c r="F27" s="243">
        <f>$C$23*$C$24*$C$25*E$26/($C$24*$C$25)</f>
        <v>0.6</v>
      </c>
      <c r="G27" s="242">
        <f>$C$23*$C$24*$C$25*G26</f>
        <v>504</v>
      </c>
      <c r="H27" s="243">
        <f>$C$23*$C$24*$C$25*G$26/($C$24*$C$25)</f>
        <v>0.9</v>
      </c>
      <c r="I27" s="244">
        <f>$C$23*$C$24*$C$25*I26</f>
        <v>672</v>
      </c>
      <c r="J27" s="245">
        <f>$C$23*$C$24*$C$25*I$26/($C$24*$C$25)</f>
        <v>1.2</v>
      </c>
      <c r="K27" s="4"/>
      <c r="L27" s="26" t="s">
        <v>37</v>
      </c>
      <c r="M27" s="78">
        <f>$M$23*$M$24*$M$25*M26</f>
        <v>140</v>
      </c>
      <c r="N27" s="189">
        <f>M27/($M$24*$M$25)</f>
        <v>0.25</v>
      </c>
      <c r="O27" s="184">
        <f>$M$23*$M$24*$M$25*O26</f>
        <v>280</v>
      </c>
      <c r="P27" s="189">
        <f>O27/($M$24*$M$25)</f>
        <v>0.5</v>
      </c>
      <c r="Q27" s="184">
        <f>$M$23*$M$24*$M$25*Q26</f>
        <v>420</v>
      </c>
      <c r="R27" s="189">
        <f>Q27/($M$24*$M$25)</f>
        <v>0.75</v>
      </c>
      <c r="S27" s="197">
        <f>$M$23*$M$24*$M$25*S26</f>
        <v>560</v>
      </c>
      <c r="T27" s="140">
        <f>S27/($M$24*$M$25)</f>
        <v>1</v>
      </c>
    </row>
    <row r="28" spans="2:20" ht="17.25" thickTop="1" thickBot="1" x14ac:dyDescent="0.3">
      <c r="B28" s="229" t="s">
        <v>35</v>
      </c>
      <c r="C28" s="9"/>
      <c r="D28" s="254"/>
      <c r="E28" s="89"/>
      <c r="F28" s="254"/>
      <c r="G28" s="90"/>
      <c r="H28" s="254"/>
      <c r="I28" s="90"/>
      <c r="J28" s="106"/>
      <c r="K28" s="4"/>
      <c r="L28" s="163" t="s">
        <v>35</v>
      </c>
      <c r="M28" s="209"/>
      <c r="N28" s="180"/>
      <c r="O28" s="34"/>
      <c r="P28" s="176"/>
      <c r="Q28" s="36"/>
      <c r="R28" s="200"/>
      <c r="S28" s="36"/>
      <c r="T28" s="141"/>
    </row>
    <row r="29" spans="2:20" ht="15.75" x14ac:dyDescent="0.25">
      <c r="B29" s="115" t="s">
        <v>6</v>
      </c>
      <c r="C29" s="91">
        <f>C23</f>
        <v>3</v>
      </c>
      <c r="D29" s="247"/>
      <c r="E29" s="181"/>
      <c r="F29" s="250"/>
      <c r="G29" s="181"/>
      <c r="H29" s="250"/>
      <c r="I29" s="181"/>
      <c r="J29" s="92"/>
      <c r="K29" s="4"/>
      <c r="L29" s="115" t="s">
        <v>6</v>
      </c>
      <c r="M29" s="91">
        <f>M23</f>
        <v>2.5</v>
      </c>
      <c r="N29" s="186"/>
      <c r="O29" s="181"/>
      <c r="P29" s="191"/>
      <c r="Q29" s="181"/>
      <c r="R29" s="191"/>
      <c r="S29" s="181"/>
      <c r="T29" s="137"/>
    </row>
    <row r="30" spans="2:20" x14ac:dyDescent="0.2">
      <c r="B30" s="115" t="s">
        <v>4</v>
      </c>
      <c r="C30" s="82">
        <v>200</v>
      </c>
      <c r="D30" s="248"/>
      <c r="E30" s="182"/>
      <c r="F30" s="251"/>
      <c r="G30" s="182"/>
      <c r="H30" s="251"/>
      <c r="I30" s="182"/>
      <c r="J30" s="75"/>
      <c r="K30" s="4"/>
      <c r="L30" s="115" t="s">
        <v>4</v>
      </c>
      <c r="M30" s="82">
        <v>200</v>
      </c>
      <c r="N30" s="190"/>
      <c r="O30" s="182"/>
      <c r="P30" s="192"/>
      <c r="Q30" s="182"/>
      <c r="R30" s="192"/>
      <c r="S30" s="182"/>
      <c r="T30" s="138"/>
    </row>
    <row r="31" spans="2:20" x14ac:dyDescent="0.2">
      <c r="B31" s="115" t="s">
        <v>5</v>
      </c>
      <c r="C31" s="82">
        <v>4</v>
      </c>
      <c r="D31" s="248"/>
      <c r="E31" s="182"/>
      <c r="F31" s="251"/>
      <c r="G31" s="182"/>
      <c r="H31" s="251"/>
      <c r="I31" s="182"/>
      <c r="J31" s="75"/>
      <c r="K31" s="4"/>
      <c r="L31" s="115" t="s">
        <v>5</v>
      </c>
      <c r="M31" s="82">
        <v>4</v>
      </c>
      <c r="N31" s="190"/>
      <c r="O31" s="182"/>
      <c r="P31" s="192"/>
      <c r="Q31" s="182"/>
      <c r="R31" s="192"/>
      <c r="S31" s="182"/>
      <c r="T31" s="138"/>
    </row>
    <row r="32" spans="2:20" ht="15" x14ac:dyDescent="0.2">
      <c r="B32" s="227" t="s">
        <v>17</v>
      </c>
      <c r="C32" s="230">
        <v>0.1</v>
      </c>
      <c r="D32" s="249"/>
      <c r="E32" s="246">
        <v>0.2</v>
      </c>
      <c r="F32" s="252"/>
      <c r="G32" s="246">
        <v>0.3</v>
      </c>
      <c r="H32" s="252"/>
      <c r="I32" s="253">
        <v>0.4</v>
      </c>
      <c r="J32" s="76"/>
      <c r="K32" s="5"/>
      <c r="L32" s="206" t="s">
        <v>17</v>
      </c>
      <c r="M32" s="179">
        <v>0.1</v>
      </c>
      <c r="N32" s="188"/>
      <c r="O32" s="183">
        <v>0.2</v>
      </c>
      <c r="P32" s="193"/>
      <c r="Q32" s="183">
        <v>0.3</v>
      </c>
      <c r="R32" s="193"/>
      <c r="S32" s="198">
        <v>0.4</v>
      </c>
      <c r="T32" s="139"/>
    </row>
    <row r="33" spans="2:22" ht="19.5" thickBot="1" x14ac:dyDescent="0.3">
      <c r="B33" s="241" t="s">
        <v>48</v>
      </c>
      <c r="C33" s="257">
        <f>$C$29*$C$30*$C$31*C32</f>
        <v>240</v>
      </c>
      <c r="D33" s="258">
        <f>$C$29*$C$30*$C$31*C$32/($C$30*$C$31)</f>
        <v>0.3</v>
      </c>
      <c r="E33" s="260">
        <f>$C$29*$C$30*$C$31*E32</f>
        <v>480</v>
      </c>
      <c r="F33" s="258">
        <f>$C$29*$C$30*$C$31*E$32/($C$30*$C$31)</f>
        <v>0.6</v>
      </c>
      <c r="G33" s="260">
        <f>$C$29*$C$30*$C$31*G32</f>
        <v>720</v>
      </c>
      <c r="H33" s="258">
        <f>$C$29*$C$30*$C$31*G$32/($C$30*$C$31)</f>
        <v>0.9</v>
      </c>
      <c r="I33" s="260">
        <f>$C$29*$C$30*$C$31*I32</f>
        <v>960</v>
      </c>
      <c r="J33" s="261">
        <f>$C$29*$C$30*$C$31*I$32/($C$30*$C$31)</f>
        <v>1.2</v>
      </c>
      <c r="K33" s="5"/>
      <c r="L33" s="30"/>
      <c r="M33" s="77"/>
      <c r="N33" s="188"/>
      <c r="O33" s="185"/>
      <c r="P33" s="193"/>
      <c r="Q33" s="185"/>
      <c r="R33" s="193"/>
      <c r="S33" s="199"/>
      <c r="T33" s="139"/>
    </row>
    <row r="34" spans="2:22" ht="20.25" thickTop="1" thickBot="1" x14ac:dyDescent="0.3">
      <c r="B34" s="25" t="s">
        <v>31</v>
      </c>
      <c r="C34" s="264">
        <f>(C24+C30)*C31</f>
        <v>1360</v>
      </c>
      <c r="D34" s="265"/>
      <c r="E34" s="266"/>
      <c r="F34" s="265"/>
      <c r="G34" s="266"/>
      <c r="H34" s="265"/>
      <c r="I34" s="263"/>
      <c r="J34" s="262"/>
      <c r="K34" s="4"/>
      <c r="L34" s="26" t="s">
        <v>42</v>
      </c>
      <c r="M34" s="78">
        <f>$M$29*$M$30*$M$31*M$32</f>
        <v>200</v>
      </c>
      <c r="N34" s="189">
        <f>M34/($M$30*$M$31)</f>
        <v>0.25</v>
      </c>
      <c r="O34" s="184">
        <f>$M$29*$M$30*$M$31*O32</f>
        <v>400</v>
      </c>
      <c r="P34" s="189">
        <f>O34/($M$30*$M$31)</f>
        <v>0.5</v>
      </c>
      <c r="Q34" s="184">
        <f>$M$29*$M$30*$M$31*Q32</f>
        <v>600</v>
      </c>
      <c r="R34" s="189">
        <f>Q34/($M$30*$M$31)</f>
        <v>0.75</v>
      </c>
      <c r="S34" s="184">
        <f>$M$29*$M$30*$M$31*S32</f>
        <v>800</v>
      </c>
      <c r="T34" s="140">
        <f>S34/($M$30*$M$31)</f>
        <v>1</v>
      </c>
    </row>
    <row r="35" spans="2:22" ht="19.5" thickBot="1" x14ac:dyDescent="0.3">
      <c r="B35" s="69" t="s">
        <v>44</v>
      </c>
      <c r="C35" s="267">
        <f>C27+C33</f>
        <v>408</v>
      </c>
      <c r="D35" s="268"/>
      <c r="E35" s="267">
        <f>E27+E33</f>
        <v>816</v>
      </c>
      <c r="F35" s="268"/>
      <c r="G35" s="267">
        <f>G27+G33</f>
        <v>1224</v>
      </c>
      <c r="H35" s="268"/>
      <c r="I35" s="259">
        <f>I27+I33</f>
        <v>1632</v>
      </c>
      <c r="J35" s="269"/>
      <c r="K35" s="4"/>
      <c r="L35" s="99" t="s">
        <v>31</v>
      </c>
      <c r="M35" s="171">
        <f>$M$24*$M$25+$M$30*$M$31</f>
        <v>1360</v>
      </c>
      <c r="N35" s="172"/>
      <c r="O35" s="6"/>
      <c r="P35" s="176"/>
      <c r="Q35" s="6"/>
      <c r="R35" s="176"/>
      <c r="S35" s="6"/>
      <c r="T35" s="13"/>
    </row>
    <row r="36" spans="2:22" ht="17.25" thickTop="1" thickBot="1" x14ac:dyDescent="0.3">
      <c r="B36" s="100"/>
      <c r="C36" s="101"/>
      <c r="D36" s="101"/>
      <c r="E36" s="102"/>
      <c r="F36" s="102"/>
      <c r="G36" s="102"/>
      <c r="H36" s="102"/>
      <c r="I36" s="102"/>
      <c r="J36" s="98"/>
      <c r="K36" s="4"/>
      <c r="L36" s="69" t="s">
        <v>41</v>
      </c>
      <c r="M36" s="173">
        <f>M27+M34</f>
        <v>340</v>
      </c>
      <c r="N36" s="174"/>
      <c r="O36" s="70">
        <f>O27+O34</f>
        <v>680</v>
      </c>
      <c r="P36" s="174"/>
      <c r="Q36" s="70">
        <f>Q27+Q34</f>
        <v>1020</v>
      </c>
      <c r="R36" s="174"/>
      <c r="S36" s="70">
        <f>S27+S34</f>
        <v>1360</v>
      </c>
      <c r="T36" s="37"/>
      <c r="V36" s="24"/>
    </row>
    <row r="37" spans="2:22" ht="20.25" thickTop="1" thickBot="1" x14ac:dyDescent="0.3">
      <c r="B37" s="14" t="s">
        <v>45</v>
      </c>
      <c r="C37" s="270"/>
      <c r="D37" s="308"/>
      <c r="E37" s="310"/>
      <c r="F37" s="311"/>
      <c r="G37" s="310"/>
      <c r="H37" s="311"/>
      <c r="I37" s="310"/>
      <c r="J37" s="309"/>
      <c r="K37" s="4"/>
      <c r="L37" s="14" t="s">
        <v>59</v>
      </c>
      <c r="M37" s="11"/>
      <c r="N37" s="175"/>
      <c r="P37" s="177"/>
      <c r="Q37" s="11"/>
      <c r="R37" s="178"/>
      <c r="S37" s="11"/>
      <c r="T37" s="142"/>
    </row>
    <row r="38" spans="2:22" ht="16.5" thickBot="1" x14ac:dyDescent="0.3">
      <c r="B38" s="279" t="s">
        <v>47</v>
      </c>
      <c r="C38" s="304" t="s">
        <v>46</v>
      </c>
      <c r="D38" s="305" t="s">
        <v>32</v>
      </c>
      <c r="E38" s="307" t="s">
        <v>46</v>
      </c>
      <c r="F38" s="305" t="s">
        <v>32</v>
      </c>
      <c r="G38" s="307" t="s">
        <v>46</v>
      </c>
      <c r="H38" s="305" t="s">
        <v>32</v>
      </c>
      <c r="I38" s="307" t="s">
        <v>46</v>
      </c>
      <c r="J38" s="306" t="s">
        <v>32</v>
      </c>
      <c r="K38" s="4"/>
      <c r="L38" s="323" t="s">
        <v>12</v>
      </c>
      <c r="M38" s="164" t="s">
        <v>40</v>
      </c>
      <c r="N38" s="210" t="s">
        <v>36</v>
      </c>
      <c r="O38" s="170" t="s">
        <v>40</v>
      </c>
      <c r="P38" s="210" t="s">
        <v>36</v>
      </c>
      <c r="Q38" s="170" t="s">
        <v>40</v>
      </c>
      <c r="R38" s="210" t="s">
        <v>36</v>
      </c>
      <c r="S38" s="164" t="s">
        <v>40</v>
      </c>
      <c r="T38" s="211" t="s">
        <v>36</v>
      </c>
    </row>
    <row r="39" spans="2:22" x14ac:dyDescent="0.2">
      <c r="B39" s="43">
        <v>1.4999999999999999E-2</v>
      </c>
      <c r="C39" s="283">
        <f>C$35*$G$8*$B39</f>
        <v>3.9779999999999998</v>
      </c>
      <c r="D39" s="284">
        <f>C39/$C$34</f>
        <v>2.9249999999999996E-3</v>
      </c>
      <c r="E39" s="283">
        <f>E$35*$G$8*$B39</f>
        <v>7.9559999999999995</v>
      </c>
      <c r="F39" s="284">
        <f>E39/$C$34</f>
        <v>5.8499999999999993E-3</v>
      </c>
      <c r="G39" s="283">
        <f>G$35*$G$8*$B39</f>
        <v>11.933999999999999</v>
      </c>
      <c r="H39" s="284">
        <f t="shared" ref="H39:H47" si="0">G39/$C$34</f>
        <v>8.7749999999999998E-3</v>
      </c>
      <c r="I39" s="283">
        <f>I$35*$G$8*$B39</f>
        <v>15.911999999999999</v>
      </c>
      <c r="J39" s="285">
        <f t="shared" ref="J39:J47" si="1">I39/$C$34</f>
        <v>1.1699999999999999E-2</v>
      </c>
      <c r="K39" s="4"/>
      <c r="L39" s="49">
        <v>5</v>
      </c>
      <c r="M39" s="148">
        <f>M$36*$L39/$Q$10</f>
        <v>54.65626916666757</v>
      </c>
      <c r="N39" s="168">
        <f>M39/$M$35</f>
        <v>4.0188433210784975E-2</v>
      </c>
      <c r="O39" s="148">
        <f t="shared" ref="O39:O47" si="2">O$36*$L39/$Q$10</f>
        <v>109.31253833333514</v>
      </c>
      <c r="P39" s="168">
        <f>O39/$M$35</f>
        <v>8.0376866421569951E-2</v>
      </c>
      <c r="Q39" s="148">
        <f>Q$36*$L39/$Q$10</f>
        <v>163.9688075000027</v>
      </c>
      <c r="R39" s="168">
        <f>Q39/$M$35</f>
        <v>0.12056529963235492</v>
      </c>
      <c r="S39" s="165">
        <f>S$36*$L39/$Q$10</f>
        <v>218.62507666667028</v>
      </c>
      <c r="T39" s="149">
        <f>S39/$M$35</f>
        <v>0.1607537328431399</v>
      </c>
    </row>
    <row r="40" spans="2:22" ht="15.75" x14ac:dyDescent="0.25">
      <c r="B40" s="43">
        <v>0.02</v>
      </c>
      <c r="C40" s="104">
        <f t="shared" ref="C40:C47" si="3">C$35*$G$8*$B40</f>
        <v>5.3040000000000003</v>
      </c>
      <c r="D40" s="87">
        <f>C40/$C$34</f>
        <v>3.9000000000000003E-3</v>
      </c>
      <c r="E40" s="104">
        <f t="shared" ref="E40:E47" si="4">E$35*$G$8*$B40</f>
        <v>10.608000000000001</v>
      </c>
      <c r="F40" s="87">
        <f t="shared" ref="F40:F47" si="5">E40/$C$34</f>
        <v>7.8000000000000005E-3</v>
      </c>
      <c r="G40" s="104">
        <f t="shared" ref="G40:G47" si="6">G$35*$G$8*$B40</f>
        <v>15.912000000000001</v>
      </c>
      <c r="H40" s="87">
        <f t="shared" si="0"/>
        <v>1.17E-2</v>
      </c>
      <c r="I40" s="104">
        <f t="shared" ref="I40:I47" si="7">I$35*$G$8*$B40</f>
        <v>21.216000000000001</v>
      </c>
      <c r="J40" s="105">
        <f t="shared" si="1"/>
        <v>1.5600000000000001E-2</v>
      </c>
      <c r="K40" s="4"/>
      <c r="L40" s="49">
        <v>10</v>
      </c>
      <c r="M40" s="145">
        <f t="shared" ref="M40:M47" si="8">M$36*$L40/$Q$10</f>
        <v>109.31253833333514</v>
      </c>
      <c r="N40" s="169">
        <f t="shared" ref="N40:N47" si="9">M40/$M$35</f>
        <v>8.0376866421569951E-2</v>
      </c>
      <c r="O40" s="145">
        <f t="shared" si="2"/>
        <v>218.62507666667028</v>
      </c>
      <c r="P40" s="169">
        <f t="shared" ref="P40:P46" si="10">O40/$M$35</f>
        <v>0.1607537328431399</v>
      </c>
      <c r="Q40" s="145">
        <f t="shared" ref="Q40:Q47" si="11">Q$36*$L40/$Q$10</f>
        <v>327.93761500000539</v>
      </c>
      <c r="R40" s="169">
        <f t="shared" ref="R40:R47" si="12">Q40/$M$35</f>
        <v>0.24113059926470984</v>
      </c>
      <c r="S40" s="166">
        <f t="shared" ref="S40:S47" si="13">S$36*$L40/$Q$10</f>
        <v>437.25015333334056</v>
      </c>
      <c r="T40" s="146">
        <f t="shared" ref="T40:T47" si="14">S40/$M$35</f>
        <v>0.3215074656862798</v>
      </c>
      <c r="V40" s="1"/>
    </row>
    <row r="41" spans="2:22" x14ac:dyDescent="0.2">
      <c r="B41" s="43">
        <v>2.5000000000000001E-2</v>
      </c>
      <c r="C41" s="104">
        <f t="shared" si="3"/>
        <v>6.63</v>
      </c>
      <c r="D41" s="87">
        <f t="shared" ref="D41:D47" si="15">C41/$C$34</f>
        <v>4.875E-3</v>
      </c>
      <c r="E41" s="104">
        <f t="shared" si="4"/>
        <v>13.26</v>
      </c>
      <c r="F41" s="87">
        <f t="shared" si="5"/>
        <v>9.75E-3</v>
      </c>
      <c r="G41" s="104">
        <f t="shared" si="6"/>
        <v>19.89</v>
      </c>
      <c r="H41" s="87">
        <f t="shared" si="0"/>
        <v>1.4625000000000001E-2</v>
      </c>
      <c r="I41" s="104">
        <f t="shared" si="7"/>
        <v>26.52</v>
      </c>
      <c r="J41" s="105">
        <f t="shared" si="1"/>
        <v>1.95E-2</v>
      </c>
      <c r="K41" s="4"/>
      <c r="L41" s="49">
        <v>15</v>
      </c>
      <c r="M41" s="145">
        <f t="shared" si="8"/>
        <v>163.9688075000027</v>
      </c>
      <c r="N41" s="169">
        <f t="shared" si="9"/>
        <v>0.12056529963235492</v>
      </c>
      <c r="O41" s="145">
        <f t="shared" si="2"/>
        <v>327.93761500000539</v>
      </c>
      <c r="P41" s="169">
        <f t="shared" si="10"/>
        <v>0.24113059926470984</v>
      </c>
      <c r="Q41" s="145">
        <f t="shared" si="11"/>
        <v>491.90642250000809</v>
      </c>
      <c r="R41" s="169">
        <f t="shared" si="12"/>
        <v>0.36169589889706477</v>
      </c>
      <c r="S41" s="166">
        <f t="shared" si="13"/>
        <v>655.87523000001079</v>
      </c>
      <c r="T41" s="146">
        <f t="shared" si="14"/>
        <v>0.48226119852941968</v>
      </c>
    </row>
    <row r="42" spans="2:22" x14ac:dyDescent="0.2">
      <c r="B42" s="43">
        <v>0.03</v>
      </c>
      <c r="C42" s="104">
        <f t="shared" si="3"/>
        <v>7.9559999999999995</v>
      </c>
      <c r="D42" s="87">
        <f t="shared" si="15"/>
        <v>5.8499999999999993E-3</v>
      </c>
      <c r="E42" s="104">
        <f t="shared" si="4"/>
        <v>15.911999999999999</v>
      </c>
      <c r="F42" s="87">
        <f t="shared" si="5"/>
        <v>1.1699999999999999E-2</v>
      </c>
      <c r="G42" s="104">
        <f t="shared" si="6"/>
        <v>23.867999999999999</v>
      </c>
      <c r="H42" s="87">
        <f t="shared" si="0"/>
        <v>1.755E-2</v>
      </c>
      <c r="I42" s="104">
        <f t="shared" si="7"/>
        <v>31.823999999999998</v>
      </c>
      <c r="J42" s="105">
        <f t="shared" si="1"/>
        <v>2.3399999999999997E-2</v>
      </c>
      <c r="K42" s="4"/>
      <c r="L42" s="49">
        <v>20</v>
      </c>
      <c r="M42" s="145">
        <f t="shared" si="8"/>
        <v>218.62507666667028</v>
      </c>
      <c r="N42" s="169">
        <f t="shared" si="9"/>
        <v>0.1607537328431399</v>
      </c>
      <c r="O42" s="145">
        <f t="shared" si="2"/>
        <v>437.25015333334056</v>
      </c>
      <c r="P42" s="169">
        <f t="shared" si="10"/>
        <v>0.3215074656862798</v>
      </c>
      <c r="Q42" s="145">
        <f t="shared" si="11"/>
        <v>655.87523000001079</v>
      </c>
      <c r="R42" s="169">
        <f t="shared" si="12"/>
        <v>0.48226119852941968</v>
      </c>
      <c r="S42" s="166">
        <f t="shared" si="13"/>
        <v>874.50030666668113</v>
      </c>
      <c r="T42" s="146">
        <f t="shared" si="14"/>
        <v>0.64301493137255961</v>
      </c>
    </row>
    <row r="43" spans="2:22" x14ac:dyDescent="0.2">
      <c r="B43" s="43">
        <v>3.5000000000000003E-2</v>
      </c>
      <c r="C43" s="104">
        <f t="shared" si="3"/>
        <v>9.282</v>
      </c>
      <c r="D43" s="87">
        <f t="shared" si="15"/>
        <v>6.8250000000000003E-3</v>
      </c>
      <c r="E43" s="104">
        <f t="shared" si="4"/>
        <v>18.564</v>
      </c>
      <c r="F43" s="87">
        <f t="shared" si="5"/>
        <v>1.3650000000000001E-2</v>
      </c>
      <c r="G43" s="104">
        <f t="shared" si="6"/>
        <v>27.846000000000004</v>
      </c>
      <c r="H43" s="87">
        <f t="shared" si="0"/>
        <v>2.0475000000000004E-2</v>
      </c>
      <c r="I43" s="104">
        <f t="shared" si="7"/>
        <v>37.128</v>
      </c>
      <c r="J43" s="105">
        <f t="shared" si="1"/>
        <v>2.7300000000000001E-2</v>
      </c>
      <c r="K43" s="4"/>
      <c r="L43" s="49">
        <v>25</v>
      </c>
      <c r="M43" s="145">
        <f t="shared" si="8"/>
        <v>273.28134583333787</v>
      </c>
      <c r="N43" s="169">
        <f t="shared" si="9"/>
        <v>0.2009421660539249</v>
      </c>
      <c r="O43" s="145">
        <f t="shared" si="2"/>
        <v>546.56269166667573</v>
      </c>
      <c r="P43" s="169">
        <f t="shared" si="10"/>
        <v>0.4018843321078498</v>
      </c>
      <c r="Q43" s="145">
        <f t="shared" si="11"/>
        <v>819.84403750001354</v>
      </c>
      <c r="R43" s="169">
        <f t="shared" si="12"/>
        <v>0.60282649816177469</v>
      </c>
      <c r="S43" s="166">
        <f t="shared" si="13"/>
        <v>1093.1253833333515</v>
      </c>
      <c r="T43" s="146">
        <f t="shared" si="14"/>
        <v>0.80376866421569959</v>
      </c>
    </row>
    <row r="44" spans="2:22" x14ac:dyDescent="0.2">
      <c r="B44" s="43">
        <v>0.04</v>
      </c>
      <c r="C44" s="104">
        <f t="shared" si="3"/>
        <v>10.608000000000001</v>
      </c>
      <c r="D44" s="87">
        <f t="shared" si="15"/>
        <v>7.8000000000000005E-3</v>
      </c>
      <c r="E44" s="104">
        <f t="shared" si="4"/>
        <v>21.216000000000001</v>
      </c>
      <c r="F44" s="87">
        <f t="shared" si="5"/>
        <v>1.5600000000000001E-2</v>
      </c>
      <c r="G44" s="104">
        <f t="shared" si="6"/>
        <v>31.824000000000002</v>
      </c>
      <c r="H44" s="87">
        <f t="shared" si="0"/>
        <v>2.3400000000000001E-2</v>
      </c>
      <c r="I44" s="104">
        <f t="shared" si="7"/>
        <v>42.432000000000002</v>
      </c>
      <c r="J44" s="105">
        <f t="shared" si="1"/>
        <v>3.1200000000000002E-2</v>
      </c>
      <c r="K44" s="4"/>
      <c r="L44" s="49">
        <v>30</v>
      </c>
      <c r="M44" s="145">
        <f t="shared" si="8"/>
        <v>327.93761500000539</v>
      </c>
      <c r="N44" s="169">
        <f t="shared" si="9"/>
        <v>0.24113059926470984</v>
      </c>
      <c r="O44" s="145">
        <f t="shared" si="2"/>
        <v>655.87523000001079</v>
      </c>
      <c r="P44" s="169">
        <f t="shared" si="10"/>
        <v>0.48226119852941968</v>
      </c>
      <c r="Q44" s="145">
        <f t="shared" si="11"/>
        <v>983.81284500001618</v>
      </c>
      <c r="R44" s="169">
        <f t="shared" si="12"/>
        <v>0.72339179779412954</v>
      </c>
      <c r="S44" s="166">
        <f t="shared" si="13"/>
        <v>1311.7504600000216</v>
      </c>
      <c r="T44" s="146">
        <f t="shared" si="14"/>
        <v>0.96452239705883935</v>
      </c>
    </row>
    <row r="45" spans="2:22" x14ac:dyDescent="0.2">
      <c r="B45" s="43">
        <v>4.4999999999999998E-2</v>
      </c>
      <c r="C45" s="104">
        <f t="shared" si="3"/>
        <v>11.933999999999999</v>
      </c>
      <c r="D45" s="87">
        <f t="shared" si="15"/>
        <v>8.7749999999999998E-3</v>
      </c>
      <c r="E45" s="104">
        <f t="shared" si="4"/>
        <v>23.867999999999999</v>
      </c>
      <c r="F45" s="87">
        <f t="shared" si="5"/>
        <v>1.755E-2</v>
      </c>
      <c r="G45" s="104">
        <f t="shared" si="6"/>
        <v>35.802</v>
      </c>
      <c r="H45" s="87">
        <f t="shared" si="0"/>
        <v>2.6325000000000001E-2</v>
      </c>
      <c r="I45" s="104">
        <f t="shared" si="7"/>
        <v>47.735999999999997</v>
      </c>
      <c r="J45" s="105">
        <f t="shared" si="1"/>
        <v>3.5099999999999999E-2</v>
      </c>
      <c r="K45" s="4"/>
      <c r="L45" s="49">
        <v>35</v>
      </c>
      <c r="M45" s="145">
        <f t="shared" si="8"/>
        <v>382.59388416667298</v>
      </c>
      <c r="N45" s="169">
        <f t="shared" si="9"/>
        <v>0.28131903247549483</v>
      </c>
      <c r="O45" s="145">
        <f>O$36*$L45/$Q$10</f>
        <v>765.18776833334596</v>
      </c>
      <c r="P45" s="169">
        <f t="shared" si="10"/>
        <v>0.56263806495098967</v>
      </c>
      <c r="Q45" s="145">
        <f t="shared" si="11"/>
        <v>1147.7816525000189</v>
      </c>
      <c r="R45" s="169">
        <f t="shared" si="12"/>
        <v>0.8439570974264845</v>
      </c>
      <c r="S45" s="166">
        <f t="shared" si="13"/>
        <v>1530.3755366666919</v>
      </c>
      <c r="T45" s="146">
        <f t="shared" si="14"/>
        <v>1.1252761299019793</v>
      </c>
    </row>
    <row r="46" spans="2:22" x14ac:dyDescent="0.2">
      <c r="B46" s="43">
        <v>0.05</v>
      </c>
      <c r="C46" s="104">
        <f t="shared" si="3"/>
        <v>13.26</v>
      </c>
      <c r="D46" s="87">
        <f t="shared" si="15"/>
        <v>9.75E-3</v>
      </c>
      <c r="E46" s="104">
        <f t="shared" si="4"/>
        <v>26.52</v>
      </c>
      <c r="F46" s="87">
        <f t="shared" si="5"/>
        <v>1.95E-2</v>
      </c>
      <c r="G46" s="104">
        <f t="shared" si="6"/>
        <v>39.78</v>
      </c>
      <c r="H46" s="87">
        <f t="shared" si="0"/>
        <v>2.9250000000000002E-2</v>
      </c>
      <c r="I46" s="104">
        <f t="shared" si="7"/>
        <v>53.04</v>
      </c>
      <c r="J46" s="105">
        <f t="shared" si="1"/>
        <v>3.9E-2</v>
      </c>
      <c r="K46" s="4"/>
      <c r="L46" s="49">
        <v>40</v>
      </c>
      <c r="M46" s="145">
        <f t="shared" si="8"/>
        <v>437.25015333334056</v>
      </c>
      <c r="N46" s="169">
        <f t="shared" si="9"/>
        <v>0.3215074656862798</v>
      </c>
      <c r="O46" s="145">
        <f t="shared" si="2"/>
        <v>874.50030666668113</v>
      </c>
      <c r="P46" s="169">
        <f t="shared" si="10"/>
        <v>0.64301493137255961</v>
      </c>
      <c r="Q46" s="145">
        <f t="shared" si="11"/>
        <v>1311.7504600000216</v>
      </c>
      <c r="R46" s="169">
        <f t="shared" si="12"/>
        <v>0.96452239705883935</v>
      </c>
      <c r="S46" s="166">
        <f t="shared" si="13"/>
        <v>1749.0006133333623</v>
      </c>
      <c r="T46" s="146">
        <f t="shared" si="14"/>
        <v>1.2860298627451192</v>
      </c>
    </row>
    <row r="47" spans="2:22" ht="13.5" thickBot="1" x14ac:dyDescent="0.25">
      <c r="B47" s="103">
        <v>8.5999999999999993E-2</v>
      </c>
      <c r="C47" s="286">
        <f t="shared" si="3"/>
        <v>22.807199999999998</v>
      </c>
      <c r="D47" s="83">
        <f t="shared" si="15"/>
        <v>1.677E-2</v>
      </c>
      <c r="E47" s="286">
        <f t="shared" si="4"/>
        <v>45.614399999999996</v>
      </c>
      <c r="F47" s="83">
        <f t="shared" si="5"/>
        <v>3.354E-2</v>
      </c>
      <c r="G47" s="286">
        <f t="shared" si="6"/>
        <v>68.421599999999998</v>
      </c>
      <c r="H47" s="83">
        <f t="shared" si="0"/>
        <v>5.0310000000000001E-2</v>
      </c>
      <c r="I47" s="286">
        <f t="shared" si="7"/>
        <v>91.228799999999993</v>
      </c>
      <c r="J47" s="84">
        <f t="shared" si="1"/>
        <v>6.7080000000000001E-2</v>
      </c>
      <c r="K47" s="4"/>
      <c r="L47" s="143">
        <v>120</v>
      </c>
      <c r="M47" s="147">
        <f t="shared" si="8"/>
        <v>1311.7504600000216</v>
      </c>
      <c r="N47" s="207">
        <f t="shared" si="9"/>
        <v>0.96452239705883935</v>
      </c>
      <c r="O47" s="147">
        <f t="shared" si="2"/>
        <v>2623.5009200000432</v>
      </c>
      <c r="P47" s="207">
        <f>O47/$M$35</f>
        <v>1.9290447941176787</v>
      </c>
      <c r="Q47" s="147">
        <f t="shared" si="11"/>
        <v>3935.2513800000647</v>
      </c>
      <c r="R47" s="207">
        <f t="shared" si="12"/>
        <v>2.8935671911765182</v>
      </c>
      <c r="S47" s="167">
        <f t="shared" si="13"/>
        <v>5247.0018400000863</v>
      </c>
      <c r="T47" s="208">
        <f t="shared" si="14"/>
        <v>3.8580895882353574</v>
      </c>
    </row>
    <row r="48" spans="2:22" ht="20.25" thickTop="1" thickBot="1" x14ac:dyDescent="0.3">
      <c r="B48" s="25" t="s">
        <v>50</v>
      </c>
      <c r="C48" s="312"/>
      <c r="D48" s="313"/>
      <c r="E48" s="315"/>
      <c r="F48" s="313"/>
      <c r="G48" s="315"/>
      <c r="H48" s="313"/>
      <c r="I48" s="315"/>
      <c r="J48" s="314"/>
      <c r="K48" s="4"/>
      <c r="L48" s="25" t="s">
        <v>58</v>
      </c>
      <c r="M48" s="7"/>
      <c r="N48" s="201"/>
      <c r="P48" s="203"/>
      <c r="Q48" s="6"/>
      <c r="R48" s="203"/>
      <c r="S48" s="6"/>
      <c r="T48" s="13"/>
    </row>
    <row r="49" spans="2:33" ht="16.5" thickBot="1" x14ac:dyDescent="0.3">
      <c r="B49" s="279" t="s">
        <v>47</v>
      </c>
      <c r="C49" s="303" t="s">
        <v>43</v>
      </c>
      <c r="D49" s="302" t="s">
        <v>38</v>
      </c>
      <c r="E49" s="316" t="s">
        <v>43</v>
      </c>
      <c r="F49" s="271" t="s">
        <v>38</v>
      </c>
      <c r="G49" s="316" t="s">
        <v>43</v>
      </c>
      <c r="H49" s="271" t="s">
        <v>38</v>
      </c>
      <c r="I49" s="316" t="s">
        <v>43</v>
      </c>
      <c r="J49" s="272" t="s">
        <v>38</v>
      </c>
      <c r="K49" s="4"/>
      <c r="L49" s="323" t="s">
        <v>12</v>
      </c>
      <c r="M49" s="321" t="s">
        <v>43</v>
      </c>
      <c r="N49" s="212" t="s">
        <v>38</v>
      </c>
      <c r="O49" s="220" t="s">
        <v>43</v>
      </c>
      <c r="P49" s="212" t="s">
        <v>38</v>
      </c>
      <c r="Q49" s="220" t="s">
        <v>43</v>
      </c>
      <c r="R49" s="212" t="s">
        <v>38</v>
      </c>
      <c r="S49" s="220" t="s">
        <v>43</v>
      </c>
      <c r="T49" s="213" t="s">
        <v>38</v>
      </c>
      <c r="AG49" s="214"/>
    </row>
    <row r="50" spans="2:33" x14ac:dyDescent="0.2">
      <c r="B50" s="255">
        <f t="shared" ref="B50:B58" si="16">B39</f>
        <v>1.4999999999999999E-2</v>
      </c>
      <c r="C50" s="108">
        <f>C39*$G$6*$G$9/$G$7</f>
        <v>74307.639295774643</v>
      </c>
      <c r="D50" s="113">
        <f t="shared" ref="D50:D58" si="17">C50/$C$34</f>
        <v>54.637970070422533</v>
      </c>
      <c r="E50" s="108">
        <f>E39*$G$6*$G$9/$G$7</f>
        <v>148615.27859154929</v>
      </c>
      <c r="F50" s="109">
        <f t="shared" ref="F50:F58" si="18">E50/$C$34</f>
        <v>109.27594014084507</v>
      </c>
      <c r="G50" s="108">
        <f>G39*$G$6*$G$9/$G$7</f>
        <v>222922.91788732394</v>
      </c>
      <c r="H50" s="109">
        <f t="shared" ref="H50:H58" si="19">G50/$C$34</f>
        <v>163.91391021126759</v>
      </c>
      <c r="I50" s="108">
        <f>I39*$G$6*$G$9/$G$7</f>
        <v>297230.55718309857</v>
      </c>
      <c r="J50" s="111">
        <f t="shared" ref="J50:J58" si="20">I50/$C$34</f>
        <v>218.55188028169013</v>
      </c>
      <c r="K50" s="4"/>
      <c r="L50" s="49">
        <f t="shared" ref="L50:L58" si="21">L39</f>
        <v>5</v>
      </c>
      <c r="M50" s="202">
        <f>((M$36*$L50*$Q$8*$Q$9)/$Q$10)*$Q$6</f>
        <v>98690.912264830797</v>
      </c>
      <c r="N50" s="216">
        <f>M50/$M$35</f>
        <v>72.566847253552055</v>
      </c>
      <c r="O50" s="202">
        <f>((O$36*$L50*$Q$8*$Q$9)/$Q$10)*$Q$6</f>
        <v>197381.82452966159</v>
      </c>
      <c r="P50" s="216">
        <f>O50/$M$35</f>
        <v>145.13369450710411</v>
      </c>
      <c r="Q50" s="202">
        <f>((Q$36*$L50*$Q$8*$Q$9)/$Q$10)*$Q$6</f>
        <v>296072.7367944924</v>
      </c>
      <c r="R50" s="216">
        <f>Q50/$M$35</f>
        <v>217.70054176065619</v>
      </c>
      <c r="S50" s="202">
        <f>((S$36*$L50*$Q$8*$Q$9)/$Q$10)*$Q$6</f>
        <v>394763.64905932319</v>
      </c>
      <c r="T50" s="204">
        <f>S50/$M$35</f>
        <v>290.26738901420822</v>
      </c>
    </row>
    <row r="51" spans="2:33" x14ac:dyDescent="0.2">
      <c r="B51" s="255">
        <f t="shared" si="16"/>
        <v>0.02</v>
      </c>
      <c r="C51" s="107">
        <f>C40*$G$6*$G$9/$G$7</f>
        <v>99076.8523943662</v>
      </c>
      <c r="D51" s="114">
        <f t="shared" si="17"/>
        <v>72.850626760563387</v>
      </c>
      <c r="E51" s="107">
        <f>E40*$G$6*$G$9/$G$7</f>
        <v>198153.7047887324</v>
      </c>
      <c r="F51" s="88">
        <f t="shared" si="18"/>
        <v>145.70125352112677</v>
      </c>
      <c r="G51" s="107">
        <f t="shared" ref="G51:G58" si="22">G40*$G$6*$G$9/$G$7</f>
        <v>297230.55718309863</v>
      </c>
      <c r="H51" s="88">
        <f t="shared" si="19"/>
        <v>218.55188028169016</v>
      </c>
      <c r="I51" s="107">
        <f>I40*$G$6*$G$9/$G$7</f>
        <v>396307.4095774648</v>
      </c>
      <c r="J51" s="112">
        <f t="shared" si="20"/>
        <v>291.40250704225355</v>
      </c>
      <c r="K51" s="275"/>
      <c r="L51" s="49">
        <f t="shared" si="21"/>
        <v>10</v>
      </c>
      <c r="M51" s="150">
        <f>((M$36*$L51*$Q$8*$Q$9)/$Q$10)*$Q$6</f>
        <v>197381.82452966159</v>
      </c>
      <c r="N51" s="215">
        <f t="shared" ref="N51:N58" si="23">M51/$M$35</f>
        <v>145.13369450710411</v>
      </c>
      <c r="O51" s="150">
        <f t="shared" ref="O51:O58" si="24">((O$36*$L51*$Q$8*$Q$9)/$Q$10)*$Q$6</f>
        <v>394763.64905932319</v>
      </c>
      <c r="P51" s="215">
        <f t="shared" ref="P51:P58" si="25">O51/$M$35</f>
        <v>290.26738901420822</v>
      </c>
      <c r="Q51" s="150">
        <f t="shared" ref="Q51:Q58" si="26">((Q$36*$L51*$Q$8*$Q$9)/$Q$10)*$Q$6</f>
        <v>592145.47358898481</v>
      </c>
      <c r="R51" s="215">
        <f t="shared" ref="R51:R58" si="27">Q51/$M$35</f>
        <v>435.40108352131239</v>
      </c>
      <c r="S51" s="150">
        <f t="shared" ref="S51:S58" si="28">((S$36*$L51*$Q$8*$Q$9)/$Q$10)*$Q$6</f>
        <v>789527.29811864637</v>
      </c>
      <c r="T51" s="205">
        <f t="shared" ref="T51:T58" si="29">S51/$M$35</f>
        <v>580.53477802841644</v>
      </c>
    </row>
    <row r="52" spans="2:33" x14ac:dyDescent="0.2">
      <c r="B52" s="255">
        <f t="shared" si="16"/>
        <v>2.5000000000000001E-2</v>
      </c>
      <c r="C52" s="107">
        <f t="shared" ref="C52:C58" si="30">C41*$G$6*$G$9/$G$7</f>
        <v>123846.06549295776</v>
      </c>
      <c r="D52" s="114">
        <f t="shared" si="17"/>
        <v>91.063283450704233</v>
      </c>
      <c r="E52" s="107">
        <f t="shared" ref="E52:E58" si="31">E41*$G$6*$G$9/$G$7</f>
        <v>247692.13098591552</v>
      </c>
      <c r="F52" s="88">
        <f t="shared" si="18"/>
        <v>182.12656690140847</v>
      </c>
      <c r="G52" s="107">
        <f t="shared" si="22"/>
        <v>371538.1964788732</v>
      </c>
      <c r="H52" s="88">
        <f t="shared" si="19"/>
        <v>273.18985035211267</v>
      </c>
      <c r="I52" s="107">
        <f t="shared" ref="I52:I58" si="32">I41*$G$6*$G$9/$G$7</f>
        <v>495384.26197183103</v>
      </c>
      <c r="J52" s="112">
        <f t="shared" si="20"/>
        <v>364.25313380281693</v>
      </c>
      <c r="K52" s="4"/>
      <c r="L52" s="49">
        <f t="shared" si="21"/>
        <v>15</v>
      </c>
      <c r="M52" s="150">
        <f>((M$36*$L52*$Q$8*$Q$9)/$Q$10)*$Q$6</f>
        <v>296072.7367944924</v>
      </c>
      <c r="N52" s="215">
        <f t="shared" si="23"/>
        <v>217.70054176065619</v>
      </c>
      <c r="O52" s="150">
        <f t="shared" si="24"/>
        <v>592145.47358898481</v>
      </c>
      <c r="P52" s="215">
        <f t="shared" si="25"/>
        <v>435.40108352131239</v>
      </c>
      <c r="Q52" s="150">
        <f t="shared" si="26"/>
        <v>888218.21038347716</v>
      </c>
      <c r="R52" s="215">
        <f t="shared" si="27"/>
        <v>653.1016252819685</v>
      </c>
      <c r="S52" s="150">
        <f t="shared" si="28"/>
        <v>1184290.9471779696</v>
      </c>
      <c r="T52" s="205">
        <f t="shared" si="29"/>
        <v>870.80216704262477</v>
      </c>
    </row>
    <row r="53" spans="2:33" x14ac:dyDescent="0.2">
      <c r="B53" s="255">
        <f t="shared" si="16"/>
        <v>0.03</v>
      </c>
      <c r="C53" s="107">
        <f t="shared" si="30"/>
        <v>148615.27859154929</v>
      </c>
      <c r="D53" s="114">
        <f t="shared" si="17"/>
        <v>109.27594014084507</v>
      </c>
      <c r="E53" s="107">
        <f t="shared" si="31"/>
        <v>297230.55718309857</v>
      </c>
      <c r="F53" s="88">
        <f t="shared" si="18"/>
        <v>218.55188028169013</v>
      </c>
      <c r="G53" s="107">
        <f t="shared" si="22"/>
        <v>445845.83577464789</v>
      </c>
      <c r="H53" s="88">
        <f t="shared" si="19"/>
        <v>327.82782042253518</v>
      </c>
      <c r="I53" s="107">
        <f t="shared" si="32"/>
        <v>594461.11436619714</v>
      </c>
      <c r="J53" s="112">
        <f t="shared" si="20"/>
        <v>437.10376056338026</v>
      </c>
      <c r="K53" s="4"/>
      <c r="L53" s="49">
        <f t="shared" si="21"/>
        <v>20</v>
      </c>
      <c r="M53" s="150">
        <f t="shared" ref="M53:M58" si="33">((M$36*$L53*$Q$8*$Q$9)/$Q$10)*$Q$6</f>
        <v>394763.64905932319</v>
      </c>
      <c r="N53" s="215">
        <f t="shared" si="23"/>
        <v>290.26738901420822</v>
      </c>
      <c r="O53" s="150">
        <f t="shared" si="24"/>
        <v>789527.29811864637</v>
      </c>
      <c r="P53" s="215">
        <f t="shared" si="25"/>
        <v>580.53477802841644</v>
      </c>
      <c r="Q53" s="150">
        <f t="shared" si="26"/>
        <v>1184290.9471779696</v>
      </c>
      <c r="R53" s="215">
        <f t="shared" si="27"/>
        <v>870.80216704262477</v>
      </c>
      <c r="S53" s="150">
        <f t="shared" si="28"/>
        <v>1579054.5962372927</v>
      </c>
      <c r="T53" s="205">
        <f t="shared" si="29"/>
        <v>1161.0695560568329</v>
      </c>
    </row>
    <row r="54" spans="2:33" x14ac:dyDescent="0.2">
      <c r="B54" s="255">
        <f t="shared" si="16"/>
        <v>3.5000000000000003E-2</v>
      </c>
      <c r="C54" s="107">
        <f t="shared" si="30"/>
        <v>173384.49169014083</v>
      </c>
      <c r="D54" s="114">
        <f t="shared" si="17"/>
        <v>127.4885968309859</v>
      </c>
      <c r="E54" s="107">
        <f t="shared" si="31"/>
        <v>346768.98338028166</v>
      </c>
      <c r="F54" s="88">
        <f t="shared" si="18"/>
        <v>254.9771936619718</v>
      </c>
      <c r="G54" s="107">
        <f t="shared" si="22"/>
        <v>520153.47507042257</v>
      </c>
      <c r="H54" s="88">
        <f t="shared" si="19"/>
        <v>382.46579049295775</v>
      </c>
      <c r="I54" s="107">
        <f t="shared" si="32"/>
        <v>693537.96676056331</v>
      </c>
      <c r="J54" s="112">
        <f t="shared" si="20"/>
        <v>509.95438732394359</v>
      </c>
      <c r="K54" s="4"/>
      <c r="L54" s="49">
        <f t="shared" si="21"/>
        <v>25</v>
      </c>
      <c r="M54" s="150">
        <f t="shared" si="33"/>
        <v>493454.56132415397</v>
      </c>
      <c r="N54" s="215">
        <f t="shared" si="23"/>
        <v>362.83423626776028</v>
      </c>
      <c r="O54" s="150">
        <f t="shared" si="24"/>
        <v>986909.12264830794</v>
      </c>
      <c r="P54" s="215">
        <f t="shared" si="25"/>
        <v>725.66847253552055</v>
      </c>
      <c r="Q54" s="150">
        <f t="shared" si="26"/>
        <v>1480363.6839724621</v>
      </c>
      <c r="R54" s="215">
        <f t="shared" si="27"/>
        <v>1088.5027088032809</v>
      </c>
      <c r="S54" s="150">
        <f t="shared" si="28"/>
        <v>1973818.2452966159</v>
      </c>
      <c r="T54" s="205">
        <f t="shared" si="29"/>
        <v>1451.3369450710411</v>
      </c>
    </row>
    <row r="55" spans="2:33" x14ac:dyDescent="0.2">
      <c r="B55" s="255">
        <f t="shared" si="16"/>
        <v>0.04</v>
      </c>
      <c r="C55" s="107">
        <f t="shared" si="30"/>
        <v>198153.7047887324</v>
      </c>
      <c r="D55" s="114">
        <f t="shared" si="17"/>
        <v>145.70125352112677</v>
      </c>
      <c r="E55" s="107">
        <f t="shared" si="31"/>
        <v>396307.4095774648</v>
      </c>
      <c r="F55" s="88">
        <f t="shared" si="18"/>
        <v>291.40250704225355</v>
      </c>
      <c r="G55" s="107">
        <f t="shared" si="22"/>
        <v>594461.11436619726</v>
      </c>
      <c r="H55" s="88">
        <f t="shared" si="19"/>
        <v>437.10376056338032</v>
      </c>
      <c r="I55" s="107">
        <f t="shared" si="32"/>
        <v>792614.8191549296</v>
      </c>
      <c r="J55" s="112">
        <f t="shared" si="20"/>
        <v>582.80501408450709</v>
      </c>
      <c r="K55" s="4"/>
      <c r="L55" s="49">
        <f t="shared" si="21"/>
        <v>30</v>
      </c>
      <c r="M55" s="150">
        <f t="shared" si="33"/>
        <v>592145.47358898481</v>
      </c>
      <c r="N55" s="215">
        <f t="shared" si="23"/>
        <v>435.40108352131239</v>
      </c>
      <c r="O55" s="150">
        <f t="shared" si="24"/>
        <v>1184290.9471779696</v>
      </c>
      <c r="P55" s="215">
        <f t="shared" si="25"/>
        <v>870.80216704262477</v>
      </c>
      <c r="Q55" s="150">
        <f t="shared" si="26"/>
        <v>1776436.4207669543</v>
      </c>
      <c r="R55" s="215">
        <f t="shared" si="27"/>
        <v>1306.203250563937</v>
      </c>
      <c r="S55" s="150">
        <f t="shared" si="28"/>
        <v>2368581.8943559392</v>
      </c>
      <c r="T55" s="205">
        <f t="shared" si="29"/>
        <v>1741.6043340852495</v>
      </c>
    </row>
    <row r="56" spans="2:33" x14ac:dyDescent="0.2">
      <c r="B56" s="255">
        <f t="shared" si="16"/>
        <v>4.4999999999999998E-2</v>
      </c>
      <c r="C56" s="107">
        <f t="shared" si="30"/>
        <v>222922.91788732394</v>
      </c>
      <c r="D56" s="114">
        <f t="shared" si="17"/>
        <v>163.91391021126759</v>
      </c>
      <c r="E56" s="107">
        <f t="shared" si="31"/>
        <v>445845.83577464789</v>
      </c>
      <c r="F56" s="88">
        <f t="shared" si="18"/>
        <v>327.82782042253518</v>
      </c>
      <c r="G56" s="107">
        <f t="shared" si="22"/>
        <v>668768.75366197189</v>
      </c>
      <c r="H56" s="88">
        <f t="shared" si="19"/>
        <v>491.74173063380283</v>
      </c>
      <c r="I56" s="107">
        <f t="shared" si="32"/>
        <v>891691.67154929577</v>
      </c>
      <c r="J56" s="112">
        <f t="shared" si="20"/>
        <v>655.65564084507037</v>
      </c>
      <c r="K56" s="4"/>
      <c r="L56" s="49">
        <f t="shared" si="21"/>
        <v>35</v>
      </c>
      <c r="M56" s="150">
        <f t="shared" si="33"/>
        <v>690836.38585381559</v>
      </c>
      <c r="N56" s="215">
        <f t="shared" si="23"/>
        <v>507.96793077486439</v>
      </c>
      <c r="O56" s="150">
        <f t="shared" si="24"/>
        <v>1381672.7717076312</v>
      </c>
      <c r="P56" s="215">
        <f t="shared" si="25"/>
        <v>1015.9358615497288</v>
      </c>
      <c r="Q56" s="150">
        <f t="shared" si="26"/>
        <v>2072509.1575614465</v>
      </c>
      <c r="R56" s="215">
        <f t="shared" si="27"/>
        <v>1523.903792324593</v>
      </c>
      <c r="S56" s="150">
        <f t="shared" si="28"/>
        <v>2763345.5434152624</v>
      </c>
      <c r="T56" s="205">
        <f t="shared" si="29"/>
        <v>2031.8717230994575</v>
      </c>
    </row>
    <row r="57" spans="2:33" x14ac:dyDescent="0.2">
      <c r="B57" s="256">
        <f t="shared" si="16"/>
        <v>0.05</v>
      </c>
      <c r="C57" s="107">
        <f t="shared" si="30"/>
        <v>247692.13098591552</v>
      </c>
      <c r="D57" s="114">
        <f t="shared" si="17"/>
        <v>182.12656690140847</v>
      </c>
      <c r="E57" s="107">
        <f t="shared" si="31"/>
        <v>495384.26197183103</v>
      </c>
      <c r="F57" s="88">
        <f t="shared" si="18"/>
        <v>364.25313380281693</v>
      </c>
      <c r="G57" s="282">
        <f t="shared" si="22"/>
        <v>743076.3929577464</v>
      </c>
      <c r="H57" s="88">
        <f t="shared" si="19"/>
        <v>546.37970070422534</v>
      </c>
      <c r="I57" s="107">
        <f t="shared" si="32"/>
        <v>990768.52394366206</v>
      </c>
      <c r="J57" s="112">
        <f t="shared" si="20"/>
        <v>728.50626760563387</v>
      </c>
      <c r="K57" s="4"/>
      <c r="L57" s="49">
        <f t="shared" si="21"/>
        <v>40</v>
      </c>
      <c r="M57" s="150">
        <f t="shared" si="33"/>
        <v>789527.29811864637</v>
      </c>
      <c r="N57" s="215">
        <f t="shared" si="23"/>
        <v>580.53477802841644</v>
      </c>
      <c r="O57" s="150">
        <f t="shared" si="24"/>
        <v>1579054.5962372927</v>
      </c>
      <c r="P57" s="215">
        <f t="shared" si="25"/>
        <v>1161.0695560568329</v>
      </c>
      <c r="Q57" s="150">
        <f t="shared" si="26"/>
        <v>2368581.8943559392</v>
      </c>
      <c r="R57" s="215">
        <f t="shared" si="27"/>
        <v>1741.6043340852495</v>
      </c>
      <c r="S57" s="150">
        <f t="shared" si="28"/>
        <v>3158109.1924745855</v>
      </c>
      <c r="T57" s="205">
        <f t="shared" si="29"/>
        <v>2322.1391121136658</v>
      </c>
    </row>
    <row r="58" spans="2:33" ht="16.5" thickBot="1" x14ac:dyDescent="0.3">
      <c r="B58" s="287">
        <f t="shared" si="16"/>
        <v>8.5999999999999993E-2</v>
      </c>
      <c r="C58" s="288">
        <f t="shared" si="30"/>
        <v>426030.46529577463</v>
      </c>
      <c r="D58" s="289">
        <f t="shared" si="17"/>
        <v>313.25769507042253</v>
      </c>
      <c r="E58" s="288">
        <f t="shared" si="31"/>
        <v>852060.93059154926</v>
      </c>
      <c r="F58" s="290">
        <f t="shared" si="18"/>
        <v>626.51539014084506</v>
      </c>
      <c r="G58" s="288">
        <f t="shared" si="22"/>
        <v>1278091.3958873239</v>
      </c>
      <c r="H58" s="290">
        <f t="shared" si="19"/>
        <v>939.77308521126758</v>
      </c>
      <c r="I58" s="288">
        <f t="shared" si="32"/>
        <v>1704121.8611830985</v>
      </c>
      <c r="J58" s="291">
        <f t="shared" si="20"/>
        <v>1253.0307802816901</v>
      </c>
      <c r="K58" s="4"/>
      <c r="L58" s="143">
        <f t="shared" si="21"/>
        <v>120</v>
      </c>
      <c r="M58" s="217">
        <f t="shared" si="33"/>
        <v>2368581.8943559392</v>
      </c>
      <c r="N58" s="218">
        <f t="shared" si="23"/>
        <v>1741.6043340852495</v>
      </c>
      <c r="O58" s="217">
        <f t="shared" si="24"/>
        <v>4737163.7887118785</v>
      </c>
      <c r="P58" s="218">
        <f t="shared" si="25"/>
        <v>3483.2086681704991</v>
      </c>
      <c r="Q58" s="217">
        <f t="shared" si="26"/>
        <v>7105745.6830678172</v>
      </c>
      <c r="R58" s="218">
        <f t="shared" si="27"/>
        <v>5224.813002255748</v>
      </c>
      <c r="S58" s="217">
        <f t="shared" si="28"/>
        <v>9474327.5774237569</v>
      </c>
      <c r="T58" s="219">
        <f t="shared" si="29"/>
        <v>6966.4173363409982</v>
      </c>
    </row>
    <row r="59" spans="2:33" ht="21.75" thickTop="1" thickBot="1" x14ac:dyDescent="0.35">
      <c r="B59" s="123" t="s">
        <v>51</v>
      </c>
      <c r="C59" s="276"/>
      <c r="D59" s="277"/>
      <c r="E59" s="276"/>
      <c r="F59" s="317"/>
      <c r="G59" s="318"/>
      <c r="H59" s="318"/>
      <c r="I59" s="318"/>
      <c r="J59" s="319"/>
      <c r="K59" s="4"/>
      <c r="L59" s="155" t="s">
        <v>60</v>
      </c>
      <c r="M59" s="31"/>
      <c r="N59" s="31"/>
      <c r="O59" s="3"/>
      <c r="P59" s="3"/>
      <c r="Q59" s="31"/>
      <c r="R59" s="31"/>
      <c r="S59" s="31"/>
      <c r="T59" s="32"/>
    </row>
    <row r="60" spans="2:33" ht="16.5" thickBot="1" x14ac:dyDescent="0.3">
      <c r="B60" s="279" t="s">
        <v>52</v>
      </c>
      <c r="C60" s="320" t="s">
        <v>43</v>
      </c>
      <c r="D60" s="271" t="s">
        <v>38</v>
      </c>
      <c r="E60" s="316" t="s">
        <v>43</v>
      </c>
      <c r="F60" s="271" t="s">
        <v>38</v>
      </c>
      <c r="G60" s="316" t="s">
        <v>43</v>
      </c>
      <c r="H60" s="271" t="s">
        <v>38</v>
      </c>
      <c r="I60" s="316" t="s">
        <v>43</v>
      </c>
      <c r="J60" s="272" t="s">
        <v>38</v>
      </c>
      <c r="K60" s="4"/>
      <c r="L60" s="322" t="s">
        <v>12</v>
      </c>
      <c r="M60" s="321" t="s">
        <v>43</v>
      </c>
      <c r="N60" s="210" t="s">
        <v>38</v>
      </c>
      <c r="O60" s="220" t="s">
        <v>43</v>
      </c>
      <c r="P60" s="210" t="s">
        <v>38</v>
      </c>
      <c r="Q60" s="220" t="s">
        <v>43</v>
      </c>
      <c r="R60" s="210" t="s">
        <v>38</v>
      </c>
      <c r="S60" s="220" t="s">
        <v>43</v>
      </c>
      <c r="T60" s="211" t="s">
        <v>38</v>
      </c>
    </row>
    <row r="61" spans="2:33" x14ac:dyDescent="0.2">
      <c r="B61" s="43">
        <f t="shared" ref="B61:B69" si="34">B39</f>
        <v>1.4999999999999999E-2</v>
      </c>
      <c r="C61" s="86">
        <f t="shared" ref="C61:C69" si="35">C50-($C$35*$G$20)</f>
        <v>10251.639295774643</v>
      </c>
      <c r="D61" s="125">
        <f t="shared" ref="D61:D69" si="36">C61/$C$34</f>
        <v>7.5379700704225314</v>
      </c>
      <c r="E61" s="86">
        <f t="shared" ref="E61:E69" si="37">E50-($C$35*$G$20)</f>
        <v>84559.278591549286</v>
      </c>
      <c r="F61" s="125">
        <f t="shared" ref="F61:F69" si="38">E61/$C$34</f>
        <v>62.175940140845064</v>
      </c>
      <c r="G61" s="86">
        <f t="shared" ref="G61:G69" si="39">G50-($C$35*$G$20)</f>
        <v>158866.91788732394</v>
      </c>
      <c r="H61" s="125">
        <f t="shared" ref="H61:H69" si="40">G61/$C$34</f>
        <v>116.81391021126761</v>
      </c>
      <c r="I61" s="124">
        <f t="shared" ref="I61:I69" si="41">I50-($C$35*$G$20)</f>
        <v>233174.55718309857</v>
      </c>
      <c r="J61" s="85">
        <f t="shared" ref="J61:J69" si="42">I61/$C$34</f>
        <v>171.45188028169014</v>
      </c>
      <c r="K61" s="4"/>
      <c r="L61" s="144">
        <f t="shared" ref="L61:L69" si="43">L39</f>
        <v>5</v>
      </c>
      <c r="M61" s="151">
        <f>M50-(M$36*$Q$18)-(M$39*$Q$19+M$39*$Q$20)</f>
        <v>45127.107936434943</v>
      </c>
      <c r="N61" s="158">
        <f>M61/$M$35</f>
        <v>33.18169701208452</v>
      </c>
      <c r="O61" s="151">
        <f>O50-(O$36*$Q$18)-(O$39*$Q$19+O$39*$Q$20)</f>
        <v>90254.215872869885</v>
      </c>
      <c r="P61" s="158">
        <f>O61/$M$35</f>
        <v>66.36339402416904</v>
      </c>
      <c r="Q61" s="151">
        <f>Q50-(Q$36*$Q$18)-(Q$39*$Q$19+Q$39*$Q$20)</f>
        <v>135381.32380930486</v>
      </c>
      <c r="R61" s="158">
        <f>Q61/$M$35</f>
        <v>99.545091036253567</v>
      </c>
      <c r="S61" s="156">
        <f>S50-(S$36*$Q$18)-(S$39*$Q$19+S$39*$Q$20)</f>
        <v>180508.43174573977</v>
      </c>
      <c r="T61" s="152">
        <f>S61/$M$35</f>
        <v>132.72678804833808</v>
      </c>
    </row>
    <row r="62" spans="2:33" x14ac:dyDescent="0.2">
      <c r="B62" s="43">
        <f t="shared" si="34"/>
        <v>0.02</v>
      </c>
      <c r="C62" s="86">
        <f t="shared" si="35"/>
        <v>35020.8523943662</v>
      </c>
      <c r="D62" s="125">
        <f t="shared" si="36"/>
        <v>25.750626760563382</v>
      </c>
      <c r="E62" s="86">
        <f t="shared" si="37"/>
        <v>134097.7047887324</v>
      </c>
      <c r="F62" s="125">
        <f t="shared" si="38"/>
        <v>98.601253521126765</v>
      </c>
      <c r="G62" s="86">
        <f t="shared" si="39"/>
        <v>233174.55718309863</v>
      </c>
      <c r="H62" s="125">
        <f t="shared" si="40"/>
        <v>171.45188028169017</v>
      </c>
      <c r="I62" s="124">
        <f t="shared" si="41"/>
        <v>332251.4095774648</v>
      </c>
      <c r="J62" s="85">
        <f t="shared" si="42"/>
        <v>244.30250704225352</v>
      </c>
      <c r="K62" s="4"/>
      <c r="L62" s="144">
        <f t="shared" si="43"/>
        <v>10</v>
      </c>
      <c r="M62" s="153">
        <f t="shared" ref="M62:M69" si="44">M51-(M$36*$Q$18)-(M$39*$Q$19+M$39*$Q$20)</f>
        <v>143818.02020126575</v>
      </c>
      <c r="N62" s="159">
        <f t="shared" ref="N62:N69" si="45">M62/$M$35</f>
        <v>105.74854426563658</v>
      </c>
      <c r="O62" s="153">
        <f t="shared" ref="O62" si="46">O51-(O$36*$Q$18)-(O$39*$Q$19+O$39*$Q$20)</f>
        <v>287636.04040253151</v>
      </c>
      <c r="P62" s="159">
        <f t="shared" ref="P62:P69" si="47">O62/$M$35</f>
        <v>211.49708853127316</v>
      </c>
      <c r="Q62" s="153">
        <f t="shared" ref="Q62" si="48">Q51-(Q$36*$Q$18)-(Q$39*$Q$19+Q$39*$Q$20)</f>
        <v>431454.06060379726</v>
      </c>
      <c r="R62" s="159">
        <f t="shared" ref="R62:R69" si="49">Q62/$M$35</f>
        <v>317.24563279690977</v>
      </c>
      <c r="S62" s="157">
        <f t="shared" ref="S62" si="50">S51-(S$36*$Q$18)-(S$39*$Q$19+S$39*$Q$20)</f>
        <v>575272.08080506301</v>
      </c>
      <c r="T62" s="154">
        <f t="shared" ref="T62:T69" si="51">S62/$M$35</f>
        <v>422.99417706254633</v>
      </c>
    </row>
    <row r="63" spans="2:33" x14ac:dyDescent="0.2">
      <c r="B63" s="43">
        <f t="shared" si="34"/>
        <v>2.5000000000000001E-2</v>
      </c>
      <c r="C63" s="86">
        <f t="shared" si="35"/>
        <v>59790.065492957758</v>
      </c>
      <c r="D63" s="125">
        <f t="shared" si="36"/>
        <v>43.963283450704232</v>
      </c>
      <c r="E63" s="86">
        <f t="shared" si="37"/>
        <v>183636.13098591552</v>
      </c>
      <c r="F63" s="125">
        <f t="shared" si="38"/>
        <v>135.02656690140847</v>
      </c>
      <c r="G63" s="86">
        <f t="shared" si="39"/>
        <v>307482.1964788732</v>
      </c>
      <c r="H63" s="125">
        <f t="shared" si="40"/>
        <v>226.08985035211265</v>
      </c>
      <c r="I63" s="124">
        <f t="shared" si="41"/>
        <v>431328.26197183103</v>
      </c>
      <c r="J63" s="85">
        <f t="shared" si="42"/>
        <v>317.15313380281691</v>
      </c>
      <c r="K63" s="4"/>
      <c r="L63" s="144">
        <f t="shared" si="43"/>
        <v>15</v>
      </c>
      <c r="M63" s="153">
        <f t="shared" si="44"/>
        <v>242508.93246609656</v>
      </c>
      <c r="N63" s="159">
        <f t="shared" si="45"/>
        <v>178.31539151918864</v>
      </c>
      <c r="O63" s="153">
        <f t="shared" ref="O63" si="52">O52-(O$36*$Q$18)-(O$39*$Q$19+O$39*$Q$20)</f>
        <v>485017.86493219313</v>
      </c>
      <c r="P63" s="159">
        <f t="shared" si="47"/>
        <v>356.63078303837727</v>
      </c>
      <c r="Q63" s="153">
        <f t="shared" ref="Q63" si="53">Q52-(Q$36*$Q$18)-(Q$39*$Q$19+Q$39*$Q$20)</f>
        <v>727526.79739828955</v>
      </c>
      <c r="R63" s="159">
        <f t="shared" si="49"/>
        <v>534.94617455756588</v>
      </c>
      <c r="S63" s="157">
        <f t="shared" ref="S63" si="54">S52-(S$36*$Q$18)-(S$39*$Q$19+S$39*$Q$20)</f>
        <v>970035.72986438626</v>
      </c>
      <c r="T63" s="154">
        <f t="shared" si="51"/>
        <v>713.26156607675455</v>
      </c>
    </row>
    <row r="64" spans="2:33" x14ac:dyDescent="0.2">
      <c r="B64" s="43">
        <f t="shared" si="34"/>
        <v>0.03</v>
      </c>
      <c r="C64" s="86">
        <f t="shared" si="35"/>
        <v>84559.278591549286</v>
      </c>
      <c r="D64" s="125">
        <f t="shared" si="36"/>
        <v>62.175940140845064</v>
      </c>
      <c r="E64" s="86">
        <f t="shared" si="37"/>
        <v>233174.55718309857</v>
      </c>
      <c r="F64" s="125">
        <f t="shared" si="38"/>
        <v>171.45188028169014</v>
      </c>
      <c r="G64" s="86">
        <f t="shared" si="39"/>
        <v>381789.83577464789</v>
      </c>
      <c r="H64" s="125">
        <f t="shared" si="40"/>
        <v>280.72782042253522</v>
      </c>
      <c r="I64" s="124">
        <f t="shared" si="41"/>
        <v>530405.11436619714</v>
      </c>
      <c r="J64" s="85">
        <f t="shared" si="42"/>
        <v>390.00376056338024</v>
      </c>
      <c r="K64" s="4"/>
      <c r="L64" s="144">
        <f t="shared" si="43"/>
        <v>20</v>
      </c>
      <c r="M64" s="153">
        <f t="shared" si="44"/>
        <v>341199.84473092732</v>
      </c>
      <c r="N64" s="159">
        <f t="shared" si="45"/>
        <v>250.88223877274066</v>
      </c>
      <c r="O64" s="153">
        <f t="shared" ref="O64" si="55">O53-(O$36*$Q$18)-(O$39*$Q$19+O$39*$Q$20)</f>
        <v>682399.68946185464</v>
      </c>
      <c r="P64" s="159">
        <f t="shared" si="47"/>
        <v>501.76447754548133</v>
      </c>
      <c r="Q64" s="153">
        <f t="shared" ref="Q64" si="56">Q53-(Q$36*$Q$18)-(Q$39*$Q$19+Q$39*$Q$20)</f>
        <v>1023599.534192782</v>
      </c>
      <c r="R64" s="159">
        <f t="shared" si="49"/>
        <v>752.64671631822205</v>
      </c>
      <c r="S64" s="157">
        <f t="shared" ref="S64" si="57">S53-(S$36*$Q$18)-(S$39*$Q$19+S$39*$Q$20)</f>
        <v>1364799.3789237093</v>
      </c>
      <c r="T64" s="154">
        <f t="shared" si="51"/>
        <v>1003.5289550909627</v>
      </c>
    </row>
    <row r="65" spans="2:22" x14ac:dyDescent="0.2">
      <c r="B65" s="43">
        <f t="shared" si="34"/>
        <v>3.5000000000000003E-2</v>
      </c>
      <c r="C65" s="86">
        <f t="shared" si="35"/>
        <v>109328.49169014083</v>
      </c>
      <c r="D65" s="125">
        <f t="shared" si="36"/>
        <v>80.388596830985904</v>
      </c>
      <c r="E65" s="86">
        <f t="shared" si="37"/>
        <v>282712.98338028166</v>
      </c>
      <c r="F65" s="125">
        <f t="shared" si="38"/>
        <v>207.8771936619718</v>
      </c>
      <c r="G65" s="86">
        <f t="shared" si="39"/>
        <v>456097.47507042257</v>
      </c>
      <c r="H65" s="125">
        <f t="shared" si="40"/>
        <v>335.36579049295779</v>
      </c>
      <c r="I65" s="124">
        <f t="shared" si="41"/>
        <v>629481.96676056331</v>
      </c>
      <c r="J65" s="85">
        <f t="shared" si="42"/>
        <v>462.85438732394363</v>
      </c>
      <c r="K65" s="4"/>
      <c r="L65" s="144">
        <f t="shared" si="43"/>
        <v>25</v>
      </c>
      <c r="M65" s="153">
        <f t="shared" si="44"/>
        <v>439890.7569957581</v>
      </c>
      <c r="N65" s="159">
        <f t="shared" si="45"/>
        <v>323.44908602629272</v>
      </c>
      <c r="O65" s="153">
        <f t="shared" ref="O65" si="58">O54-(O$36*$Q$18)-(O$39*$Q$19+O$39*$Q$20)</f>
        <v>879781.5139915162</v>
      </c>
      <c r="P65" s="159">
        <f t="shared" si="47"/>
        <v>646.89817205258544</v>
      </c>
      <c r="Q65" s="153">
        <f t="shared" ref="Q65" si="59">Q54-(Q$36*$Q$18)-(Q$39*$Q$19+Q$39*$Q$20)</f>
        <v>1319672.2709872746</v>
      </c>
      <c r="R65" s="159">
        <f t="shared" si="49"/>
        <v>970.34725807887833</v>
      </c>
      <c r="S65" s="157">
        <f t="shared" ref="S65" si="60">S54-(S$36*$Q$18)-(S$39*$Q$19+S$39*$Q$20)</f>
        <v>1759563.0279830324</v>
      </c>
      <c r="T65" s="154">
        <f t="shared" si="51"/>
        <v>1293.7963441051709</v>
      </c>
      <c r="V65" s="62"/>
    </row>
    <row r="66" spans="2:22" x14ac:dyDescent="0.2">
      <c r="B66" s="43">
        <f t="shared" si="34"/>
        <v>0.04</v>
      </c>
      <c r="C66" s="86">
        <f t="shared" si="35"/>
        <v>134097.7047887324</v>
      </c>
      <c r="D66" s="125">
        <f t="shared" si="36"/>
        <v>98.601253521126765</v>
      </c>
      <c r="E66" s="86">
        <f t="shared" si="37"/>
        <v>332251.4095774648</v>
      </c>
      <c r="F66" s="125">
        <f t="shared" si="38"/>
        <v>244.30250704225352</v>
      </c>
      <c r="G66" s="86">
        <f t="shared" si="39"/>
        <v>530405.11436619726</v>
      </c>
      <c r="H66" s="125">
        <f t="shared" si="40"/>
        <v>390.00376056338035</v>
      </c>
      <c r="I66" s="124">
        <f t="shared" si="41"/>
        <v>728558.8191549296</v>
      </c>
      <c r="J66" s="85">
        <f t="shared" si="42"/>
        <v>535.70501408450707</v>
      </c>
      <c r="K66" s="4"/>
      <c r="L66" s="144">
        <f t="shared" si="43"/>
        <v>30</v>
      </c>
      <c r="M66" s="153">
        <f t="shared" si="44"/>
        <v>538581.66926058894</v>
      </c>
      <c r="N66" s="159">
        <f t="shared" si="45"/>
        <v>396.01593327984483</v>
      </c>
      <c r="O66" s="153">
        <f t="shared" ref="O66" si="61">O55-(O$36*$Q$18)-(O$39*$Q$19+O$39*$Q$20)</f>
        <v>1077163.3385211779</v>
      </c>
      <c r="P66" s="159">
        <f t="shared" si="47"/>
        <v>792.03186655968966</v>
      </c>
      <c r="Q66" s="153">
        <f t="shared" ref="Q66" si="62">Q55-(Q$36*$Q$18)-(Q$39*$Q$19+Q$39*$Q$20)</f>
        <v>1615745.0077817668</v>
      </c>
      <c r="R66" s="159">
        <f t="shared" si="49"/>
        <v>1188.0477998395345</v>
      </c>
      <c r="S66" s="157">
        <f t="shared" ref="S66" si="63">S55-(S$36*$Q$18)-(S$39*$Q$19+S$39*$Q$20)</f>
        <v>2154326.6770423558</v>
      </c>
      <c r="T66" s="154">
        <f t="shared" si="51"/>
        <v>1584.0637331193793</v>
      </c>
    </row>
    <row r="67" spans="2:22" x14ac:dyDescent="0.2">
      <c r="B67" s="43">
        <f t="shared" si="34"/>
        <v>4.4999999999999998E-2</v>
      </c>
      <c r="C67" s="86">
        <f t="shared" si="35"/>
        <v>158866.91788732394</v>
      </c>
      <c r="D67" s="125">
        <f t="shared" si="36"/>
        <v>116.81391021126761</v>
      </c>
      <c r="E67" s="86">
        <f t="shared" si="37"/>
        <v>381789.83577464789</v>
      </c>
      <c r="F67" s="125">
        <f t="shared" si="38"/>
        <v>280.72782042253522</v>
      </c>
      <c r="G67" s="86">
        <f t="shared" si="39"/>
        <v>604712.75366197189</v>
      </c>
      <c r="H67" s="125">
        <f t="shared" si="40"/>
        <v>444.64173063380287</v>
      </c>
      <c r="I67" s="124">
        <f t="shared" si="41"/>
        <v>827635.67154929577</v>
      </c>
      <c r="J67" s="85">
        <f t="shared" si="42"/>
        <v>608.55564084507046</v>
      </c>
      <c r="K67" s="4"/>
      <c r="L67" s="144">
        <f t="shared" si="43"/>
        <v>35</v>
      </c>
      <c r="M67" s="153">
        <f t="shared" si="44"/>
        <v>637272.58152541972</v>
      </c>
      <c r="N67" s="159">
        <f t="shared" si="45"/>
        <v>468.58278053339683</v>
      </c>
      <c r="O67" s="153">
        <f t="shared" ref="O67" si="64">O56-(O$36*$Q$18)-(O$39*$Q$19+O$39*$Q$20)</f>
        <v>1274545.1630508394</v>
      </c>
      <c r="P67" s="159">
        <f t="shared" si="47"/>
        <v>937.16556106679366</v>
      </c>
      <c r="Q67" s="153">
        <f t="shared" ref="Q67" si="65">Q56-(Q$36*$Q$18)-(Q$39*$Q$19+Q$39*$Q$20)</f>
        <v>1911817.7445762591</v>
      </c>
      <c r="R67" s="159">
        <f t="shared" si="49"/>
        <v>1405.7483416001905</v>
      </c>
      <c r="S67" s="157">
        <f t="shared" ref="S67" si="66">S56-(S$36*$Q$18)-(S$39*$Q$19+S$39*$Q$20)</f>
        <v>2549090.3261016789</v>
      </c>
      <c r="T67" s="154">
        <f t="shared" si="51"/>
        <v>1874.3311221335873</v>
      </c>
    </row>
    <row r="68" spans="2:22" x14ac:dyDescent="0.2">
      <c r="B68" s="43">
        <f t="shared" si="34"/>
        <v>0.05</v>
      </c>
      <c r="C68" s="86">
        <f t="shared" si="35"/>
        <v>183636.13098591552</v>
      </c>
      <c r="D68" s="125">
        <f t="shared" si="36"/>
        <v>135.02656690140847</v>
      </c>
      <c r="E68" s="86">
        <f t="shared" si="37"/>
        <v>431328.26197183103</v>
      </c>
      <c r="F68" s="125">
        <f t="shared" si="38"/>
        <v>317.15313380281691</v>
      </c>
      <c r="G68" s="86">
        <f t="shared" si="39"/>
        <v>679020.3929577464</v>
      </c>
      <c r="H68" s="125">
        <f t="shared" si="40"/>
        <v>499.27970070422532</v>
      </c>
      <c r="I68" s="124">
        <f t="shared" si="41"/>
        <v>926712.52394366206</v>
      </c>
      <c r="J68" s="85">
        <f t="shared" si="42"/>
        <v>681.40626760563384</v>
      </c>
      <c r="K68" s="4"/>
      <c r="L68" s="144">
        <f t="shared" si="43"/>
        <v>40</v>
      </c>
      <c r="M68" s="153">
        <f t="shared" si="44"/>
        <v>735963.4937902505</v>
      </c>
      <c r="N68" s="159">
        <f t="shared" si="45"/>
        <v>541.14962778694894</v>
      </c>
      <c r="O68" s="153">
        <f t="shared" ref="O68" si="67">O57-(O$36*$Q$18)-(O$39*$Q$19+O$39*$Q$20)</f>
        <v>1471926.987580501</v>
      </c>
      <c r="P68" s="159">
        <f t="shared" si="47"/>
        <v>1082.2992555738979</v>
      </c>
      <c r="Q68" s="153">
        <f t="shared" ref="Q68" si="68">Q57-(Q$36*$Q$18)-(Q$39*$Q$19+Q$39*$Q$20)</f>
        <v>2207890.4813707517</v>
      </c>
      <c r="R68" s="159">
        <f t="shared" si="49"/>
        <v>1623.4488833608468</v>
      </c>
      <c r="S68" s="157">
        <f t="shared" ref="S68" si="69">S57-(S$36*$Q$18)-(S$39*$Q$19+S$39*$Q$20)</f>
        <v>2943853.975161002</v>
      </c>
      <c r="T68" s="154">
        <f t="shared" si="51"/>
        <v>2164.5985111477958</v>
      </c>
    </row>
    <row r="69" spans="2:22" ht="16.5" thickBot="1" x14ac:dyDescent="0.3">
      <c r="B69" s="292">
        <f t="shared" si="34"/>
        <v>8.5999999999999993E-2</v>
      </c>
      <c r="C69" s="293">
        <f t="shared" si="35"/>
        <v>361974.46529577463</v>
      </c>
      <c r="D69" s="294">
        <f t="shared" si="36"/>
        <v>266.15769507042251</v>
      </c>
      <c r="E69" s="293">
        <f t="shared" si="37"/>
        <v>788004.93059154926</v>
      </c>
      <c r="F69" s="294">
        <f t="shared" si="38"/>
        <v>579.41539014084503</v>
      </c>
      <c r="G69" s="293">
        <f t="shared" si="39"/>
        <v>1214035.3958873239</v>
      </c>
      <c r="H69" s="294">
        <f t="shared" si="40"/>
        <v>892.67308521126756</v>
      </c>
      <c r="I69" s="295">
        <f t="shared" si="41"/>
        <v>1640065.8611830985</v>
      </c>
      <c r="J69" s="296">
        <f t="shared" si="42"/>
        <v>1205.93078028169</v>
      </c>
      <c r="K69" s="4"/>
      <c r="L69" s="221">
        <f t="shared" si="43"/>
        <v>120</v>
      </c>
      <c r="M69" s="222">
        <f t="shared" si="44"/>
        <v>2315018.0900275433</v>
      </c>
      <c r="N69" s="223">
        <f t="shared" si="45"/>
        <v>1702.2191838437818</v>
      </c>
      <c r="O69" s="222">
        <f t="shared" ref="O69" si="70">O58-(O$36*$Q$18)-(O$39*$Q$19+O$39*$Q$20)</f>
        <v>4630036.1800550865</v>
      </c>
      <c r="P69" s="223">
        <f t="shared" si="47"/>
        <v>3404.4383676875636</v>
      </c>
      <c r="Q69" s="222">
        <f t="shared" ref="Q69" si="71">Q58-(Q$36*$Q$18)-(Q$39*$Q$19+Q$39*$Q$20)</f>
        <v>6945054.2700826293</v>
      </c>
      <c r="R69" s="223">
        <f t="shared" si="49"/>
        <v>5106.6575515313452</v>
      </c>
      <c r="S69" s="224">
        <f t="shared" ref="S69" si="72">S58-(S$36*$Q$18)-(S$39*$Q$19+S$39*$Q$20)</f>
        <v>9260072.360110173</v>
      </c>
      <c r="T69" s="225">
        <f t="shared" si="51"/>
        <v>6808.8767353751273</v>
      </c>
    </row>
    <row r="70" spans="2:22" ht="13.5" thickTop="1" x14ac:dyDescent="0.2">
      <c r="K70" s="4"/>
    </row>
    <row r="71" spans="2:22" ht="18" x14ac:dyDescent="0.25">
      <c r="B71" s="280" t="s">
        <v>65</v>
      </c>
      <c r="C71" s="7"/>
      <c r="D71" s="7"/>
      <c r="E71" s="61"/>
      <c r="F71" s="61"/>
      <c r="G71" s="6"/>
      <c r="H71" s="6"/>
      <c r="K71" s="4"/>
      <c r="L71" s="40" t="s">
        <v>66</v>
      </c>
    </row>
    <row r="72" spans="2:22" x14ac:dyDescent="0.2">
      <c r="K72" s="4"/>
    </row>
    <row r="73" spans="2:22" ht="18" x14ac:dyDescent="0.25">
      <c r="B73" s="54" t="s">
        <v>72</v>
      </c>
      <c r="K73" s="4"/>
      <c r="L73" s="54" t="s">
        <v>72</v>
      </c>
    </row>
    <row r="75" spans="2:22" ht="18.75" x14ac:dyDescent="0.3">
      <c r="B75" s="281" t="s">
        <v>55</v>
      </c>
      <c r="C75" s="41"/>
      <c r="D75" s="41"/>
      <c r="L75" s="54" t="s">
        <v>61</v>
      </c>
      <c r="M75" s="2"/>
      <c r="N75" s="2"/>
      <c r="O75" s="61"/>
      <c r="P75" s="61"/>
    </row>
    <row r="76" spans="2:22" ht="18" x14ac:dyDescent="0.25">
      <c r="L76" s="54" t="s">
        <v>67</v>
      </c>
      <c r="S76" s="55"/>
      <c r="T76" s="55"/>
      <c r="U76" s="55"/>
      <c r="V76" s="55"/>
    </row>
    <row r="77" spans="2:22" ht="18.75" x14ac:dyDescent="0.3">
      <c r="B77" s="40" t="s">
        <v>70</v>
      </c>
      <c r="C77"/>
      <c r="D77"/>
      <c r="I77" s="6"/>
      <c r="J77" s="6"/>
      <c r="L77" s="54" t="s">
        <v>69</v>
      </c>
      <c r="S77" s="55"/>
      <c r="T77" s="55"/>
      <c r="U77" s="55"/>
      <c r="V77" s="55"/>
    </row>
    <row r="78" spans="2:22" ht="18" x14ac:dyDescent="0.25">
      <c r="L78" s="54" t="s">
        <v>68</v>
      </c>
      <c r="M78" s="55"/>
      <c r="N78" s="55"/>
      <c r="O78" s="55"/>
      <c r="P78" s="55"/>
      <c r="Q78" s="55"/>
      <c r="S78" s="55"/>
      <c r="T78" s="55"/>
      <c r="U78" s="55"/>
      <c r="V78" s="55"/>
    </row>
    <row r="79" spans="2:22" ht="18.75" x14ac:dyDescent="0.3">
      <c r="B79" s="278" t="s">
        <v>74</v>
      </c>
      <c r="C79"/>
      <c r="D79"/>
      <c r="L79" s="64" t="s">
        <v>73</v>
      </c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2:22" x14ac:dyDescent="0.2">
      <c r="C80"/>
      <c r="D80"/>
      <c r="R80" s="55"/>
      <c r="S80" s="55"/>
      <c r="T80" s="55"/>
      <c r="U80" s="55"/>
      <c r="V80" s="55"/>
    </row>
    <row r="81" spans="2:22" x14ac:dyDescent="0.2">
      <c r="F81" s="50"/>
      <c r="S81" s="55"/>
      <c r="T81" s="55"/>
      <c r="U81" s="55"/>
      <c r="V81" s="55"/>
    </row>
    <row r="82" spans="2:22" ht="18" x14ac:dyDescent="0.25">
      <c r="C82"/>
      <c r="D82"/>
      <c r="L82" s="54" t="s">
        <v>27</v>
      </c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2:22" ht="18" x14ac:dyDescent="0.25">
      <c r="C83"/>
      <c r="D83"/>
      <c r="L83" s="54" t="s">
        <v>26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2:22" x14ac:dyDescent="0.2">
      <c r="C84"/>
      <c r="D84"/>
      <c r="S84" s="55"/>
      <c r="T84" s="55"/>
      <c r="U84" s="55"/>
      <c r="V84" s="55"/>
    </row>
    <row r="85" spans="2:22" ht="18" x14ac:dyDescent="0.25">
      <c r="D85"/>
      <c r="L85" s="54" t="s">
        <v>29</v>
      </c>
      <c r="M85" s="55"/>
      <c r="N85" s="55"/>
      <c r="O85" s="55"/>
      <c r="P85" s="55"/>
      <c r="Q85" s="55"/>
      <c r="R85" s="55"/>
    </row>
    <row r="86" spans="2:22" ht="18" x14ac:dyDescent="0.25">
      <c r="L86" s="54" t="s">
        <v>28</v>
      </c>
      <c r="M86" s="55"/>
      <c r="N86" s="55"/>
      <c r="O86" s="55"/>
      <c r="P86" s="55"/>
      <c r="Q86" s="55"/>
      <c r="R86" s="55"/>
    </row>
    <row r="87" spans="2:22" ht="15.75" x14ac:dyDescent="0.25">
      <c r="L87" s="63" t="s">
        <v>57</v>
      </c>
      <c r="M87" s="55"/>
      <c r="N87" s="55"/>
      <c r="O87" s="55"/>
      <c r="P87" s="55"/>
      <c r="Q87" s="55"/>
    </row>
    <row r="88" spans="2:22" ht="18" x14ac:dyDescent="0.25">
      <c r="B88" s="51" t="s">
        <v>23</v>
      </c>
      <c r="C88" s="298" t="s">
        <v>22</v>
      </c>
      <c r="D88" s="299"/>
      <c r="E88" s="300"/>
      <c r="L88" s="65" t="s">
        <v>56</v>
      </c>
      <c r="M88" s="55"/>
      <c r="N88" s="55"/>
      <c r="O88" s="55"/>
      <c r="P88" s="55"/>
      <c r="Q88" s="55"/>
      <c r="R88" s="55"/>
    </row>
  </sheetData>
  <phoneticPr fontId="37" type="noConversion"/>
  <hyperlinks>
    <hyperlink ref="C8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4" orientation="landscape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10 2020 Ni, Au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Krzysztof Biegaj</cp:lastModifiedBy>
  <cp:lastPrinted>2020-10-18T01:01:16Z</cp:lastPrinted>
  <dcterms:created xsi:type="dcterms:W3CDTF">2007-01-10T21:04:22Z</dcterms:created>
  <dcterms:modified xsi:type="dcterms:W3CDTF">2020-10-18T01:07:43Z</dcterms:modified>
</cp:coreProperties>
</file>