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610" activeTab="6"/>
  </bookViews>
  <sheets>
    <sheet name="Cover" sheetId="1" r:id="rId1"/>
    <sheet name="Page 1" sheetId="2" r:id="rId2"/>
    <sheet name="Page 2" sheetId="3" r:id="rId3"/>
    <sheet name="Page 3" sheetId="4" r:id="rId4"/>
    <sheet name="Page 4" sheetId="5" r:id="rId5"/>
    <sheet name="Budget Summary" sheetId="6" r:id="rId6"/>
    <sheet name="Instructions" sheetId="7" r:id="rId7"/>
  </sheets>
  <externalReferences>
    <externalReference r:id="rId10"/>
  </externalReferences>
  <definedNames>
    <definedName name="_Order1" hidden="1">255</definedName>
    <definedName name="AdditionalTeacherSalaryIncrease">'Instructions'!$C$23</definedName>
    <definedName name="AdditionalTeacherSalaryIncreaseCover">'Instructions'!$C$6</definedName>
    <definedName name="AdditionalTeacherSalaryIncreaseLine1">'Instructions'!$C$24</definedName>
    <definedName name="AdditionalTeacherSalaryIncreaseLine2">'Instructions'!$C$25</definedName>
    <definedName name="AdditionalTeacherSalaryIncreaseLine3">'Instructions'!$C$26</definedName>
    <definedName name="AdditionalTeacherSalaryIncreaseLine4">'Instructions'!$C$27</definedName>
    <definedName name="AdditionalTeacherSalaryIncreaseLine6">'Instructions'!$C$28</definedName>
    <definedName name="AdditionalTeacherSalaryIncreaseLine7">'Instructions'!$C$29</definedName>
    <definedName name="AdditionalTeacherSalaryIncreaseLine8">'Instructions'!$C$30</definedName>
    <definedName name="BudgetSummary">'Instructions'!$C$34</definedName>
    <definedName name="CA0191Land">'Page 2'!$E$40</definedName>
    <definedName name="CA0192SiteImprovements">'Page 2'!$E$41</definedName>
    <definedName name="CA0194Buildings">'Page 2'!$E$42</definedName>
    <definedName name="CA0196Equipment">'Page 2'!$E$43</definedName>
    <definedName name="CA0198CIP">'Page 2'!$E$44</definedName>
    <definedName name="CAK3Reading">'Page 2'!$E$47</definedName>
    <definedName name="CapitalAcquisitions">'Instructions'!$C$15</definedName>
    <definedName name="CIP1072P265F1000">'Page 4'!$N$30</definedName>
    <definedName name="CIP1072P265F1000PPL">'Page 4'!$G$30</definedName>
    <definedName name="CIP1072P265F2100">'Page 4'!$N$32</definedName>
    <definedName name="CIP1072P265F2100PPL">'Page 4'!$G$32</definedName>
    <definedName name="CIP1072P265F2200">'Page 4'!$N$33</definedName>
    <definedName name="CIP1072P265F2200PPL">'Page 4'!$G$33</definedName>
    <definedName name="CIP1072P265F2300">'Page 4'!$N$34</definedName>
    <definedName name="CIP1072P265F2300PPL">'Page 4'!$G$34</definedName>
    <definedName name="CIP1072P265F2400">'Page 4'!$N$35</definedName>
    <definedName name="CIP1072P265F2400PPL">'Page 4'!$G$35</definedName>
    <definedName name="CIP1072P265F2500">'Page 4'!$N$36</definedName>
    <definedName name="CIP1072P265F2500PPL">'Page 4'!$G$36</definedName>
    <definedName name="CIP1072P265F2600">'Page 4'!$N$37</definedName>
    <definedName name="CIP1072P265F2600PPL">'Page 4'!$G$37</definedName>
    <definedName name="CIP1072P265F2900">'Page 4'!$N$38</definedName>
    <definedName name="CIP1072P265F2900PPL">'Page 4'!$G$38</definedName>
    <definedName name="CIP1072P435F2700">'Page 4'!$N$42</definedName>
    <definedName name="CIP1072P435F2700PPL">'Page 4'!$G$42</definedName>
    <definedName name="CollegeCreditExamIncentives">'Instructions'!$C$13</definedName>
    <definedName name="CoverGen">'Instructions'!$C$2</definedName>
    <definedName name="CoverGen1">'Instructions'!$C$2</definedName>
    <definedName name="CSP1011P100F1000">'Page 3'!$K$9</definedName>
    <definedName name="CSP1011P100F2100">'Page 3'!$K$10</definedName>
    <definedName name="CSP1011P100F2200">'Page 3'!$K$11</definedName>
    <definedName name="CSP1011P200F1000">'Page 3'!$K$14</definedName>
    <definedName name="CSP1011P200F2100">'Page 3'!$K$15</definedName>
    <definedName name="CSP1011P200F2200">'Page 3'!$K$16</definedName>
    <definedName name="CSP1011POtherF1000">'Page 3'!$K$19</definedName>
    <definedName name="CSP1011POtherF2100">'Page 3'!$K$20</definedName>
    <definedName name="CSP1011POtherF2200">'Page 3'!$K$21</definedName>
    <definedName name="CSP1012P100F1000">'Page 3'!$K$26</definedName>
    <definedName name="CSP1012P100F2100">'Page 3'!$K$27</definedName>
    <definedName name="CSP1012P100F2200">'Page 3'!$K$28</definedName>
    <definedName name="CSP1012P200F1000">'Page 3'!$K$31</definedName>
    <definedName name="CSP1012P200F2100">'Page 3'!$K$32</definedName>
    <definedName name="CSP1012P200F2200">'Page 3'!$K$33</definedName>
    <definedName name="CSP1012POtherF1000">'Page 3'!$K$36</definedName>
    <definedName name="CSP1012POtherF2100">'Page 3'!$K$37</definedName>
    <definedName name="CSP1012POtherF2200">'Page 3'!$K$38</definedName>
    <definedName name="CSP1013P100F1000">'Page 3'!$K$43</definedName>
    <definedName name="CSP1013P100F2100">'Page 3'!$K$44</definedName>
    <definedName name="CSP1013P100F2200">'Page 3'!$K$45</definedName>
    <definedName name="CSP1013P200F1000">'Page 3'!$K$48</definedName>
    <definedName name="CSP1013P200F2100">'Page 3'!$K$49</definedName>
    <definedName name="CSP1013P200F2200">'Page 3'!$K$50</definedName>
    <definedName name="CSP1013P530F1000">'Page 3'!$K$53</definedName>
    <definedName name="CSP1013POtherF1000">'Page 3'!$K$55</definedName>
    <definedName name="CSP1013POtherF21002200">'Page 3'!$K$56</definedName>
    <definedName name="CTD">'Cover'!$R$1</definedName>
    <definedName name="CTDSNumber">'Instructions'!$C$3</definedName>
    <definedName name="EmployeeBenefits">'Instructions'!$C$2</definedName>
    <definedName name="EstimatedRevenues">'Instructions'!$C$5</definedName>
    <definedName name="FederalandStateProjectsTotal">'Page 2'!$E$37</definedName>
    <definedName name="FP11001130TitleI">'Page 2'!$E$5</definedName>
    <definedName name="FP11401150TitleII">'Page 2'!$E$6</definedName>
    <definedName name="FP1160TitleIV">'Page 2'!$E$7</definedName>
    <definedName name="FP11701180TitleV">'Page 2'!$E$8</definedName>
    <definedName name="FP1190TitleIII">'Page 2'!$E$9</definedName>
    <definedName name="FP1200TitleVII">'Page 2'!$E$10</definedName>
    <definedName name="FP1210TitleVI">'Page 2'!$E$11</definedName>
    <definedName name="FP1220IDEA">'Page 2'!$E$12</definedName>
    <definedName name="FP1230Johnson">'Page 2'!$E$13</definedName>
    <definedName name="FP1240WIA">'Page 2'!$E$14</definedName>
    <definedName name="FP1250AEA">'Page 2'!$E$15</definedName>
    <definedName name="FP12601270VocEd">'Page 2'!$E$16</definedName>
    <definedName name="FP1280TitleX">'Page 2'!$E$17</definedName>
    <definedName name="FP1290Medicaid">'Page 2'!$E$18</definedName>
    <definedName name="FP13__ImpactAid">'Page 2'!$E$20</definedName>
    <definedName name="FP1300Charter">'Page 2'!$E$19</definedName>
    <definedName name="FP13101399Other">'Page 2'!$E$21</definedName>
    <definedName name="FP1420ExtendedSchool">'Page 2'!$E$26</definedName>
    <definedName name="IIPClassSizeReduction">'Page 2'!$N$19</definedName>
    <definedName name="IIPDropoutPreventionPrograms">'Page 2'!$N$20</definedName>
    <definedName name="IIPInstructionalImprovementPrograms">'Page 2'!$N$21</definedName>
    <definedName name="IIPTeacherCompensationIncreases">'Page 2'!$N$18</definedName>
    <definedName name="OtherStateProjects">'Instructions'!#REF!</definedName>
    <definedName name="P200CareerEducation">'Page 2'!$N$11</definedName>
    <definedName name="P200CareerEducationCY">'Page 2'!$M$11</definedName>
    <definedName name="P200ELLCompensatoryInstruction">'Page 2'!$N$8</definedName>
    <definedName name="P200ELLCompensatoryInstructionCY">'Page 2'!$M$8</definedName>
    <definedName name="P200ELLIncrementalCosts">'Page 2'!$N$7</definedName>
    <definedName name="P200ELLIncrementalCostsCY">'Page 2'!$M$7</definedName>
    <definedName name="P200GiftedEducation">'Page 2'!$N$6</definedName>
    <definedName name="P200GiftedEducationCY">'Page 2'!$M$6</definedName>
    <definedName name="P200RemedialEducation">'Page 2'!$N$9</definedName>
    <definedName name="P200RemedialEducationCY">'Page 2'!$M$9</definedName>
    <definedName name="P200VocationalandTechnologicalEd">'Page 2'!$N$10</definedName>
    <definedName name="P200VocationalandTechnologicalEdCY">'Page 2'!$M$10</definedName>
    <definedName name="Pg1EmployeeBenefits">'Instructions'!$C$11</definedName>
    <definedName name="Pg1General">'Instructions'!$C$7</definedName>
    <definedName name="Pg1Line37">'Instructions'!$C$10</definedName>
    <definedName name="Pg1Program200">'Instructions'!$C$8</definedName>
    <definedName name="Pg1Program550">'Instructions'!$C$9</definedName>
    <definedName name="Pg2ExpensesByType">'Instructions'!$C$19</definedName>
    <definedName name="Pg2InstructionalImprovementProj">'Instructions'!$C$21</definedName>
    <definedName name="Pg2Line1">'Instructions'!$C$17</definedName>
    <definedName name="Pg2Line8">'Instructions'!$C$18</definedName>
    <definedName name="Pg2Lines3and4">'Instructions'!$C$22</definedName>
    <definedName name="Pg2SpecialEd">'Instructions'!$C$16</definedName>
    <definedName name="Pg2StateEqualAssist">'Instructions'!$C$20</definedName>
    <definedName name="Pg3ClassroomSiteProj">'Instructions'!$C$31</definedName>
    <definedName name="Pg4CompensatoryInstructionProj">'Instructions'!$C$33</definedName>
    <definedName name="Pg4StructuredEnglishImmersionProj">'Instructions'!$C$32</definedName>
    <definedName name="_xlnm.Print_Area" localSheetId="5">'Budget Summary'!$A$1:$M$47</definedName>
    <definedName name="_xlnm.Print_Area" localSheetId="0">'Cover'!$A$1:$R$42</definedName>
    <definedName name="_xlnm.Print_Area" localSheetId="1">'Page 1'!$A$1:$N$50</definedName>
    <definedName name="_xlnm.Print_Area" localSheetId="2">'Page 2'!$A$1:$O$47</definedName>
    <definedName name="_xlnm.Print_Area" localSheetId="3">'Page 3'!$A$1:$M$59</definedName>
    <definedName name="_xlnm.Print_Area" localSheetId="4">'Page 4'!$A$1:$P$43</definedName>
    <definedName name="_xlnm.Print_Area">'Page 4'!$A$1:$P$43</definedName>
    <definedName name="_xlnm.Print_Titles" localSheetId="6">'Instructions'!$1:$1</definedName>
    <definedName name="ResultsBasedFunding">'Instructions'!$C$14</definedName>
    <definedName name="SEIP1071P260F1000">'Page 4'!$N$9</definedName>
    <definedName name="SEIP1071P260F1000PPL">'Page 4'!$G$9</definedName>
    <definedName name="SEIP1071P260F2100">'Page 4'!$N$11</definedName>
    <definedName name="SEIP1071P260F2100PPL">'Page 4'!$G$11</definedName>
    <definedName name="SEIP1071P260F2200">'Page 4'!$N$12</definedName>
    <definedName name="SEIP1071P260F2200PPL">'Page 4'!$G$12</definedName>
    <definedName name="SEIP1071P260F2300">'Page 4'!$N$13</definedName>
    <definedName name="SEIP1071P260F2300PPL">'Page 4'!$G$13</definedName>
    <definedName name="SEIP1071P260F2400">'Page 4'!$N$14</definedName>
    <definedName name="SEIP1071P260F2400PPL">'Page 4'!$G$14</definedName>
    <definedName name="SEIP1071P260F2500">'Page 4'!$N$15</definedName>
    <definedName name="SEIP1071P260F2500PPL">'Page 4'!$G$15</definedName>
    <definedName name="SEIP1071P260F2600">'Page 4'!$N$16</definedName>
    <definedName name="SEIP1071P260F2600PPL">'Page 4'!$G$16</definedName>
    <definedName name="SEIP1071P260F2900">'Page 4'!$N$17</definedName>
    <definedName name="SEIP1071P260F2900PPL">'Page 4'!$G$17</definedName>
    <definedName name="SEIP1071P430F2700">'Page 4'!$N$21</definedName>
    <definedName name="SEIP1071P430F2700PPL">'Page 4'!$G$21</definedName>
    <definedName name="SP1000ClassSiteProj">'Page 1'!$L$44</definedName>
    <definedName name="SP1000ClassSiteProjCY">'Page 1'!$K$44</definedName>
    <definedName name="SP1000CompInstrProj">'Page 1'!$L$47</definedName>
    <definedName name="SP1000CompInstrProjCY">'Page 1'!$K$47</definedName>
    <definedName name="SP1000FedStProj">'Page 1'!$L$48</definedName>
    <definedName name="SP1000FedStProjCY">'Page 1'!$K$48</definedName>
    <definedName name="SP1000InstrImpProj">'Page 1'!$L$45</definedName>
    <definedName name="SP1000InstrImpProjCY">'Page 1'!$K$45</definedName>
    <definedName name="SP1000P100F1000">'Page 1'!$L$8</definedName>
    <definedName name="SP1000P100F1000CY">'Page 1'!$K$8</definedName>
    <definedName name="SP1000P100F2100">'Page 1'!$L$10</definedName>
    <definedName name="SP1000P100F2100CY">'Page 1'!$K$10</definedName>
    <definedName name="SP1000P100F2200">'Page 1'!$L$11</definedName>
    <definedName name="SP1000P100F2200CY">'Page 1'!$K$11</definedName>
    <definedName name="SP1000P100F2300">'Page 1'!$L$12</definedName>
    <definedName name="SP1000P100F2300CY">'Page 1'!$K$12</definedName>
    <definedName name="SP1000P100F2400">'Page 1'!$L$13</definedName>
    <definedName name="SP1000P100F2400CY">'Page 1'!$K$13</definedName>
    <definedName name="SP1000P100F2500">'Page 1'!$L$14</definedName>
    <definedName name="SP1000P100F2500CY">'Page 1'!$K$14</definedName>
    <definedName name="SP1000P100F2600">'Page 1'!$L$15</definedName>
    <definedName name="SP1000P100F2600CY">'Page 1'!$K$15</definedName>
    <definedName name="SP1000P100F2900">'Page 1'!$L$16</definedName>
    <definedName name="SP1000P100F2900CY">'Page 1'!$K$16</definedName>
    <definedName name="SP1000P100F3000">'Page 1'!$L$17</definedName>
    <definedName name="SP1000P100F3000CY">'Page 1'!$K$17</definedName>
    <definedName name="SP1000P100F4000">'Page 1'!$L$18</definedName>
    <definedName name="SP1000P100F4000CY">'Page 1'!$K$18</definedName>
    <definedName name="SP1000P100F5000">'Page 1'!$L$19</definedName>
    <definedName name="SP1000P100F5000CY">'Page 1'!$K$19</definedName>
    <definedName name="SP1000P200F1000">'Page 1'!$L$25</definedName>
    <definedName name="SP1000P200F1000CY">'Page 1'!$K$25</definedName>
    <definedName name="SP1000P200F2100">'Page 1'!$L$27</definedName>
    <definedName name="SP1000P200F2100CY">'Page 1'!$K$27</definedName>
    <definedName name="SP1000P200F2200">'Page 1'!$L$28</definedName>
    <definedName name="SP1000P200F2200CY">'Page 1'!$K$28</definedName>
    <definedName name="SP1000P200F2300">'Page 1'!$L$29</definedName>
    <definedName name="SP1000P200F2300CY">'Page 1'!$K$29</definedName>
    <definedName name="SP1000P200F2400">'Page 1'!$L$30</definedName>
    <definedName name="SP1000P200F2400CY">'Page 1'!$K$30</definedName>
    <definedName name="SP1000P200F2500">'Page 1'!$L$31</definedName>
    <definedName name="SP1000P200F2500CY">'Page 1'!$K$31</definedName>
    <definedName name="SP1000P200F2600">'Page 1'!$L$32</definedName>
    <definedName name="SP1000P200F2600CY">'Page 1'!$K$32</definedName>
    <definedName name="SP1000P200F2900">'Page 1'!$L$33</definedName>
    <definedName name="SP1000P200F2900CY">'Page 1'!$K$33</definedName>
    <definedName name="SP1000P200F3000">'Page 1'!$L$34</definedName>
    <definedName name="SP1000P200F3000CY">'Page 1'!$K$34</definedName>
    <definedName name="SP1000P200F4000">'Page 1'!$L$35</definedName>
    <definedName name="SP1000P200F4000CY">'Page 1'!$K$35</definedName>
    <definedName name="SP1000P200F5000">'Page 1'!$L$36</definedName>
    <definedName name="SP1000P200F5000CY">'Page 1'!$K$36</definedName>
    <definedName name="SP1000P400">'Page 1'!$L$39</definedName>
    <definedName name="SP1000P400CY">'Page 1'!$K$39</definedName>
    <definedName name="SP1000P530">'Page 1'!$L$40</definedName>
    <definedName name="SP1000P530CY">'Page 1'!$K$40</definedName>
    <definedName name="SP1000P540">'Page 1'!$L$41</definedName>
    <definedName name="SP1000P540CY">'Page 1'!$K$41</definedName>
    <definedName name="SP1000P550">'Page 1'!$L$42</definedName>
    <definedName name="SP1000P550CY">'Page 1'!$K$42</definedName>
    <definedName name="SP1000P610">'Page 1'!$L$20</definedName>
    <definedName name="SP1000P610CY">'Page 1'!$K$20</definedName>
    <definedName name="SP1000P620">'Page 1'!$L$21</definedName>
    <definedName name="SP1000P620CY">'Page 1'!$K$21</definedName>
    <definedName name="SP1000P630700800900">'Page 1'!$L$22</definedName>
    <definedName name="SP1000P630700800900CY">'Page 1'!$K$22</definedName>
    <definedName name="SP1000StruEngImmProj">'Page 1'!$L$46</definedName>
    <definedName name="SP1000StruEngImmProjCY">'Page 1'!$K$46</definedName>
    <definedName name="SP1000Total">'Page 1'!$L$43</definedName>
    <definedName name="SP1000TotalCY">'Page 1'!$K$43</definedName>
    <definedName name="SP1400VocEd">'Page 2'!$E$24</definedName>
    <definedName name="SP1410EarlyChildhoodBlockGrant">'Page 2'!$E$25</definedName>
    <definedName name="SP1425AdultBasicEd">'Page 2'!$E$27</definedName>
    <definedName name="SP1430ChemicalAbuse">'Page 2'!$E$28</definedName>
    <definedName name="SP1435AcademicContests">'Page 2'!$E$29</definedName>
    <definedName name="SP1450GiftedEd">'Page 2'!$E$30</definedName>
    <definedName name="SP1460EnvironmentalSpecialPlate">'Page 2'!$E$33</definedName>
    <definedName name="SP1465CharterSchool">'Page 2'!$E$34</definedName>
    <definedName name="SP14701499Other">'Page 2'!$E$35</definedName>
    <definedName name="TotalCapitalAcquisitions">'Page 2'!$E$45</definedName>
    <definedName name="TotalCapitalAcquisitionsCY">'Page 2'!$D$45</definedName>
    <definedName name="TotalCIP">'Page 4'!$N$43</definedName>
    <definedName name="TotalCIP6100">'Page 4'!$H$43</definedName>
    <definedName name="TotalCIP6200">'Page 4'!$I$43</definedName>
    <definedName name="TotalCIP630064006500">'Page 4'!$J$43</definedName>
    <definedName name="TotalCIP6600">'Page 4'!$K$43</definedName>
    <definedName name="TotalCIP6800">'Page 4'!$L$43</definedName>
    <definedName name="TotalCSP6100">'Page 3'!$F$59</definedName>
    <definedName name="TotalCSP6200">'Page 3'!$G$59</definedName>
    <definedName name="TotalCSP630064006500">'Page 3'!$H$59</definedName>
    <definedName name="TotalCSP6600">'Page 3'!$I$59</definedName>
    <definedName name="TotalFederalAndStateProjects">'Instructions'!$C$12</definedName>
    <definedName name="TotalFederalProjects">'Page 2'!$E$22</definedName>
    <definedName name="TotalFederalProjectsCY">'Page 2'!$D$22</definedName>
    <definedName name="TotalInstructionalImprovement">'Page 2'!$N$22</definedName>
    <definedName name="TotalSEIP">'Page 4'!$N$22</definedName>
    <definedName name="TotalSEIP6100">'Page 4'!$H$22</definedName>
    <definedName name="TotalSEIP6200">'Page 4'!$I$22</definedName>
    <definedName name="TotalSEIP630064006500">'Page 4'!$J$22</definedName>
    <definedName name="TotalSEIP6600">'Page 4'!$K$22</definedName>
    <definedName name="TotalSEIP6800">'Page 4'!$L$22</definedName>
    <definedName name="TotalStateProjects">'Page 2'!$E$36</definedName>
    <definedName name="TotalStateProjectsCY">'Page 2'!$D$36</definedName>
    <definedName name="Version">'Instructions'!$C$4</definedName>
  </definedNames>
  <calcPr fullCalcOnLoad="1" fullPrecision="0"/>
</workbook>
</file>

<file path=xl/sharedStrings.xml><?xml version="1.0" encoding="utf-8"?>
<sst xmlns="http://schemas.openxmlformats.org/spreadsheetml/2006/main" count="555" uniqueCount="350">
  <si>
    <t>CHARTER SCHOOL</t>
  </si>
  <si>
    <t>COUNTY</t>
  </si>
  <si>
    <t>STATE OF ARIZONA</t>
  </si>
  <si>
    <t>CHARTER SCHOOL ANNUAL BUDGET</t>
  </si>
  <si>
    <t>REVENUES</t>
  </si>
  <si>
    <t>$</t>
  </si>
  <si>
    <t>Local</t>
  </si>
  <si>
    <t>1000</t>
  </si>
  <si>
    <t>State</t>
  </si>
  <si>
    <t>Intermediate</t>
  </si>
  <si>
    <t>2000</t>
  </si>
  <si>
    <t>Federal</t>
  </si>
  <si>
    <t>1000 Schoolwide Project</t>
  </si>
  <si>
    <t>EXPENSES</t>
  </si>
  <si>
    <t>Employee</t>
  </si>
  <si>
    <t>Purchased</t>
  </si>
  <si>
    <t>Salaries</t>
  </si>
  <si>
    <t>Benefits</t>
  </si>
  <si>
    <t>Services</t>
  </si>
  <si>
    <t>Supplies</t>
  </si>
  <si>
    <t>Other</t>
  </si>
  <si>
    <t>6300, 6400,</t>
  </si>
  <si>
    <t>100 Regular Education</t>
  </si>
  <si>
    <t>1000 Instruction</t>
  </si>
  <si>
    <t>Support Services</t>
  </si>
  <si>
    <t xml:space="preserve">   2300 General Administration </t>
  </si>
  <si>
    <t xml:space="preserve">   2400 School Administration </t>
  </si>
  <si>
    <t>3000 Operation of Noninstructional Services</t>
  </si>
  <si>
    <t>5000 Debt Service</t>
  </si>
  <si>
    <t>200 Special Education</t>
  </si>
  <si>
    <t>400 Pupil Transportation</t>
  </si>
  <si>
    <t>530 Dropout Prevention Programs</t>
  </si>
  <si>
    <t>1100-1399 FEDERAL PROJECTS</t>
  </si>
  <si>
    <t>1400-1499 STATE PROJECTS</t>
  </si>
  <si>
    <t>Gifted Education</t>
  </si>
  <si>
    <t>Remedial Education</t>
  </si>
  <si>
    <t>Career Education</t>
  </si>
  <si>
    <t>Teacher-Pupil</t>
  </si>
  <si>
    <t xml:space="preserve">1 to </t>
  </si>
  <si>
    <t>Staff-Pupil</t>
  </si>
  <si>
    <t>(Must be included on page 1)</t>
  </si>
  <si>
    <t>Audit Services</t>
  </si>
  <si>
    <t>Classroom Instruction</t>
  </si>
  <si>
    <t>TITLE</t>
  </si>
  <si>
    <t>1.</t>
  </si>
  <si>
    <t>2.</t>
  </si>
  <si>
    <t xml:space="preserve">    TOTAL</t>
  </si>
  <si>
    <t>1220  IDEA, Part B</t>
  </si>
  <si>
    <t>1230  Johnson-O'Malley</t>
  </si>
  <si>
    <t>1400  Vocational Education</t>
  </si>
  <si>
    <t>1425  Adult Basic Education</t>
  </si>
  <si>
    <t>1430  Chemical Abuse Prevention Programs</t>
  </si>
  <si>
    <t>1435  Academic Contests</t>
  </si>
  <si>
    <t>1460  Environmental Special Plate</t>
  </si>
  <si>
    <t xml:space="preserve">  COUNTY</t>
  </si>
  <si>
    <t>Year</t>
  </si>
  <si>
    <t>Budget Year</t>
  </si>
  <si>
    <t>SPECIAL EDUCATION PROGRAMS BY TYPE</t>
  </si>
  <si>
    <t>PROPOSED RATIOS FOR</t>
  </si>
  <si>
    <t>SPECIAL EDUCATION</t>
  </si>
  <si>
    <t>SELECTED EXPENSES BY TYPE</t>
  </si>
  <si>
    <t>CAPITAL ACQUISITIONS</t>
  </si>
  <si>
    <t>Totals</t>
  </si>
  <si>
    <t>Budget</t>
  </si>
  <si>
    <t>%</t>
  </si>
  <si>
    <t>Increase/</t>
  </si>
  <si>
    <t>Decrease</t>
  </si>
  <si>
    <t>1290  Medicaid Reimbursement</t>
  </si>
  <si>
    <t>1410  Early Childhood Block Grant</t>
  </si>
  <si>
    <t>3000</t>
  </si>
  <si>
    <t>4000</t>
  </si>
  <si>
    <t>1310-1399  Other Federal Projects</t>
  </si>
  <si>
    <t>1465  Charter School Stimulus Fund</t>
  </si>
  <si>
    <t>1470-1499  Other State Projects</t>
  </si>
  <si>
    <t>FEDERAL AND STATE PROJECTS</t>
  </si>
  <si>
    <t>1300  Charter School Implementation Proj. (Stimulus)</t>
  </si>
  <si>
    <t xml:space="preserve">   2900 Other Support Services</t>
  </si>
  <si>
    <t>610 School-Sponsored Cocurricular Activities</t>
  </si>
  <si>
    <t>630, 700, 800, 900 Other Programs</t>
  </si>
  <si>
    <t>620 School-Sponsored Athletics</t>
  </si>
  <si>
    <t>Version</t>
  </si>
  <si>
    <t>BY THE GOVERNING BOARD</t>
  </si>
  <si>
    <t>Proposed</t>
  </si>
  <si>
    <t>Adopted</t>
  </si>
  <si>
    <t>Revised</t>
  </si>
  <si>
    <t>Date</t>
  </si>
  <si>
    <t>SIGNED</t>
  </si>
  <si>
    <t>contain(s) the data for the budget described at left.</t>
  </si>
  <si>
    <t>Subtotal (lines 16-26)</t>
  </si>
  <si>
    <t>Charter Name</t>
  </si>
  <si>
    <t>d.b.a. (as applicable)</t>
  </si>
  <si>
    <t>CTDS NUMBER</t>
  </si>
  <si>
    <t>Classroom Site Project 1013 - Other</t>
  </si>
  <si>
    <t>Classroom Site Project 1011 - Base Salary</t>
  </si>
  <si>
    <t>Expenses</t>
  </si>
  <si>
    <t>Classroom Site Project 1012 - Performance Pay</t>
  </si>
  <si>
    <t xml:space="preserve">Employee </t>
  </si>
  <si>
    <t>2100 Support Services - Students</t>
  </si>
  <si>
    <t>Program 100 Subtotal (lines 1-3)</t>
  </si>
  <si>
    <t>Program 200 Subtotal (lines 5-7)</t>
  </si>
  <si>
    <t>Other Programs (Specify)   ____________________</t>
  </si>
  <si>
    <t>Other Programs Subtotal (lines 9-11)</t>
  </si>
  <si>
    <t>Total Expenses (lines 4, 8, and 12)</t>
  </si>
  <si>
    <t>Program 100 Subtotal (lines 14-16)</t>
  </si>
  <si>
    <t>Program 200 Subtotal (lines 18-20)</t>
  </si>
  <si>
    <t>Other Programs Subtotal (lines 22-24)</t>
  </si>
  <si>
    <t>Total Expenses (lines 17, 21, and 25)</t>
  </si>
  <si>
    <t>3.</t>
  </si>
  <si>
    <t>4.</t>
  </si>
  <si>
    <t>5.</t>
  </si>
  <si>
    <t>6.</t>
  </si>
  <si>
    <t>7.</t>
  </si>
  <si>
    <t>8.</t>
  </si>
  <si>
    <t>9.</t>
  </si>
  <si>
    <t>10.</t>
  </si>
  <si>
    <t>11.</t>
  </si>
  <si>
    <t>12.</t>
  </si>
  <si>
    <t>13.</t>
  </si>
  <si>
    <t>14.</t>
  </si>
  <si>
    <t>15.</t>
  </si>
  <si>
    <t>16.</t>
  </si>
  <si>
    <t>17.</t>
  </si>
  <si>
    <t>18.</t>
  </si>
  <si>
    <t>19.</t>
  </si>
  <si>
    <t>20.</t>
  </si>
  <si>
    <t>21.</t>
  </si>
  <si>
    <t>22.</t>
  </si>
  <si>
    <t>23.</t>
  </si>
  <si>
    <t>24.</t>
  </si>
  <si>
    <t>25.</t>
  </si>
  <si>
    <t>26.</t>
  </si>
  <si>
    <t xml:space="preserve">   2100 Students </t>
  </si>
  <si>
    <t xml:space="preserve">530 Dropout Prevention Programs </t>
  </si>
  <si>
    <t>1240  Workforce Investment Act</t>
  </si>
  <si>
    <t>Teacher Compensation Increases</t>
  </si>
  <si>
    <t>Class Size Reduction</t>
  </si>
  <si>
    <t xml:space="preserve">Indicate amounts budgeted in Project 1020 for the following: </t>
  </si>
  <si>
    <t>Total Instructional Improvement (lines 1-4)</t>
  </si>
  <si>
    <t>Telephone:</t>
  </si>
  <si>
    <t>Email:</t>
  </si>
  <si>
    <t>Charter School Contact Employee:</t>
  </si>
  <si>
    <t>Personnel</t>
  </si>
  <si>
    <t xml:space="preserve">Employee  </t>
  </si>
  <si>
    <t xml:space="preserve">Number of </t>
  </si>
  <si>
    <t>Subtotal (lines 1-14)</t>
  </si>
  <si>
    <t>Compensatory Instruction Project - 1072</t>
  </si>
  <si>
    <t>265 Special Education-ELL Compensatory Instruction</t>
  </si>
  <si>
    <t>ELL Incremental Costs</t>
  </si>
  <si>
    <t>ELL Compensatory Instruction</t>
  </si>
  <si>
    <t xml:space="preserve">   2200 Instruction</t>
  </si>
  <si>
    <t xml:space="preserve">   2500 Central Services</t>
  </si>
  <si>
    <t xml:space="preserve">   2600 Operation &amp; Maintenance of Plant</t>
  </si>
  <si>
    <t>4000 Facilities Acquisition &amp; Construction</t>
  </si>
  <si>
    <t>300 Special Education Disability Title 8 PL 103-382 Add-On</t>
  </si>
  <si>
    <t>540 Joint Career &amp; Technical Ed. &amp; Vocational Ed. Center</t>
  </si>
  <si>
    <t>1450  Gifted Education</t>
  </si>
  <si>
    <t>0192  Site Improvements</t>
  </si>
  <si>
    <t>0194  Buildings and Building Improvements</t>
  </si>
  <si>
    <t>0196  Equipment</t>
  </si>
  <si>
    <t>0198  Construction in Progress</t>
  </si>
  <si>
    <t>Total Capital Acquisitions (lines 1-5)</t>
  </si>
  <si>
    <t>2200 Support Services - Instruction</t>
  </si>
  <si>
    <t xml:space="preserve">2100 Support Services - Students </t>
  </si>
  <si>
    <t xml:space="preserve">  2100 Students</t>
  </si>
  <si>
    <t xml:space="preserve">  2300 General Administration</t>
  </si>
  <si>
    <t xml:space="preserve">  2400 School Administration</t>
  </si>
  <si>
    <t xml:space="preserve">  2200 Instruction</t>
  </si>
  <si>
    <t xml:space="preserve">  2500 Central Services</t>
  </si>
  <si>
    <t xml:space="preserve">  2600 Operation &amp; Maintenance of Plant</t>
  </si>
  <si>
    <t>260 Special Education-ELL Incremental Costs</t>
  </si>
  <si>
    <t>Structured English Immersion Project - 1071</t>
  </si>
  <si>
    <t xml:space="preserve">  2900 Other Support Services</t>
  </si>
  <si>
    <t xml:space="preserve">  2700 Student Transportation</t>
  </si>
  <si>
    <t>0191  Land and Land Improvements</t>
  </si>
  <si>
    <t>430 Pupil Transportation-ELL Incremental Costs</t>
  </si>
  <si>
    <t>435 Pupil Transportation-ELL Compensatory Instruction</t>
  </si>
  <si>
    <t>INSTRUCTIONAL IMPROVEMENT PROJECT</t>
  </si>
  <si>
    <t>Program 260 Subtotal (lines 1-8)</t>
  </si>
  <si>
    <t>Total Expenses (lines 9 and 10)</t>
  </si>
  <si>
    <t>Program 265 Subtotal (lines 12-19)</t>
  </si>
  <si>
    <t>Total Expenses (lines 20 and 21)</t>
  </si>
  <si>
    <t>Vocational and Technological Ed.</t>
  </si>
  <si>
    <t>2100, 2200 Support Services - Students/Instruction</t>
  </si>
  <si>
    <t>1100-1130  ESEA Title I-Helping Disadvantaged Children</t>
  </si>
  <si>
    <t>1140-1150  ESEA Title II-Prof. Dev. And Technology</t>
  </si>
  <si>
    <t>1160  ESEA Title IV-21st Century Schools</t>
  </si>
  <si>
    <t>1170-1180  ESEA Title V-Promote Informed Parent Choice</t>
  </si>
  <si>
    <t>1190  ESEA Title III-Limited Eng. &amp; Immigrant Students</t>
  </si>
  <si>
    <t>1200  ESEA Title VII-Indian Education</t>
  </si>
  <si>
    <t>1210  ESEA Title VI-Flexibility and Accountability</t>
  </si>
  <si>
    <t>1250  AEA-Adult Education</t>
  </si>
  <si>
    <t>1260-1270  Vocational Education-Basic Grants</t>
  </si>
  <si>
    <t>1280  ESEA Title X-Homeless Education</t>
  </si>
  <si>
    <t>1420  Extended School Year-Pupils with Disabilities</t>
  </si>
  <si>
    <t>CTDS Number</t>
  </si>
  <si>
    <t>2100 Students</t>
  </si>
  <si>
    <t>2200 Instruction</t>
  </si>
  <si>
    <t>2300 General Administration</t>
  </si>
  <si>
    <t>2400 School Administration</t>
  </si>
  <si>
    <t>2500 Central Services</t>
  </si>
  <si>
    <t>2600 Operation &amp; Maintenance of Plant</t>
  </si>
  <si>
    <t>2900 Other Support Services</t>
  </si>
  <si>
    <t>Regular Education Subtotal</t>
  </si>
  <si>
    <t>Special Education Subtotal</t>
  </si>
  <si>
    <t>300 Special Ed.Disability Title 8 PL 103-382 Add-On</t>
  </si>
  <si>
    <t>540 Joint Career &amp; Tech. Ed. &amp; Voc. Ed. Center</t>
  </si>
  <si>
    <t>Total</t>
  </si>
  <si>
    <t>Classroom Site Projects</t>
  </si>
  <si>
    <t>Total Expenses</t>
  </si>
  <si>
    <t>SPECIAL EDUCATION PROGRAMS</t>
  </si>
  <si>
    <t>Schoolwide</t>
  </si>
  <si>
    <t>Federal Projects</t>
  </si>
  <si>
    <t>State Projects</t>
  </si>
  <si>
    <t>Capital Acquisitions</t>
  </si>
  <si>
    <t>EXPENSES BY PROJECT</t>
  </si>
  <si>
    <t>1000 SCHOOLWIDE PROJECT</t>
  </si>
  <si>
    <t>ELL Structured English Immersion</t>
  </si>
  <si>
    <t>Instructional Improvement</t>
  </si>
  <si>
    <t>550 K-3 Reading</t>
  </si>
  <si>
    <t>Total Capital Acquisitions, if any, budgeted on lines 1-5 above for the K-3 Reading Program</t>
  </si>
  <si>
    <t xml:space="preserve">Enter the amount of State Equalization Assistance </t>
  </si>
  <si>
    <t>budgeted for Food Service, Function 3100:</t>
  </si>
  <si>
    <t>STATE EQUALIZATION ASSISTANCE BUDGETED</t>
  </si>
  <si>
    <t>FOR FOOD SERVICE EXPENSES</t>
  </si>
  <si>
    <t>Page</t>
  </si>
  <si>
    <t>Reference</t>
  </si>
  <si>
    <t>General</t>
  </si>
  <si>
    <t>Cover</t>
  </si>
  <si>
    <t>State Equalization Assistance Budgeted for Food Service Expenses</t>
  </si>
  <si>
    <t>Special Education Programs by Type</t>
  </si>
  <si>
    <t>Selected Expenses by Type</t>
  </si>
  <si>
    <t>See USFRCS page III-B-1 for guidance on the use of the Instructional Improvement Project (Project 1020).</t>
  </si>
  <si>
    <t xml:space="preserve">Instructional Improvement Project </t>
  </si>
  <si>
    <t>Structured English Immersion Project</t>
  </si>
  <si>
    <t>Compensatory Instruction Project</t>
  </si>
  <si>
    <t>Classroom Site Project</t>
  </si>
  <si>
    <t>Dropout Prevention Programs</t>
  </si>
  <si>
    <t>Instructional Improvement Programs</t>
  </si>
  <si>
    <t>Instructional Improvement Project, Lines 3 and 4</t>
  </si>
  <si>
    <t>Employee Benefits</t>
  </si>
  <si>
    <t>Program 550</t>
  </si>
  <si>
    <t>Instruction</t>
  </si>
  <si>
    <t>Instructional Improvement Project monies spent for Dropout Prevention programs and Instructional Improvement Programs must be spent for maintenance and operation purposes only.</t>
  </si>
  <si>
    <t>See USFRCS page III-B-2 for guidance on the use of the Compensatory Instruction Project (Project 1072). In order to efficiently record structured English immersion and compensatory instruction expenses, schools should be using program codes 265, Special Education—ELL Compensatory Instruction and Program 435, Pupil Transportation—ELL Compensatory Instruction, as applicable.</t>
  </si>
  <si>
    <t>See USFRCS page III-B-2 for guidance on the use of the Structured English Immersion Project (Project 1071). In order to efficiently record structured English immersion expenses, schools should be using program code 260, Special Education—ELL Incremental Costs and Program 430, Pupil Transportation—ELL Incremental Costs, as applicable.</t>
  </si>
  <si>
    <t xml:space="preserve">Enter the increase in the capital asset accounts (land and land improvements, site improvements, buildings and building improvements, equipment, and construction in progress) for assets to be acquired by purchase, lease purchase, or construction.
If the school budgets for capital acquisitions related to the K-3 Reading Program, the increase in the capital asset accounts for those acquisitions should be included by asset type on lines 1 through 5. The total of all capital acquisitions for the K-3 Reading Program should also be reported on line 7.
</t>
  </si>
  <si>
    <t>Estimated Revenues</t>
  </si>
  <si>
    <t>Federal and State Projects</t>
  </si>
  <si>
    <t>Budget Summary</t>
  </si>
  <si>
    <t xml:space="preserve">The information on the Budget Summary is self-populating and will be automatically brought forward from the other pages of the Budget. </t>
  </si>
  <si>
    <t>Prior</t>
  </si>
  <si>
    <t>Prior Year</t>
  </si>
  <si>
    <t>Program 200 Prior Year and Program 200 Budget Year column totals should equal line 27 on pg. 1.</t>
  </si>
  <si>
    <t>School Official Signature</t>
  </si>
  <si>
    <t xml:space="preserve">This cell will only accept entries of 9 digits. Do not include any slashes, dashes, etc. Enter the school's CTD number plus 3 zeros. </t>
  </si>
  <si>
    <t>School Official (Typed Name)</t>
  </si>
  <si>
    <t>Total Federal Projects (lines 1-17)</t>
  </si>
  <si>
    <t>13__  Impact Aid</t>
  </si>
  <si>
    <t>6300, 6400, 6500</t>
  </si>
  <si>
    <t>Program 100 Subtotal (lines 27-29)</t>
  </si>
  <si>
    <t>Program 200 Subtotal (lines 31-33)</t>
  </si>
  <si>
    <t xml:space="preserve">Other Programs Subtotal (lines 36-37) </t>
  </si>
  <si>
    <t>Total Expenses (lines 30, 34, 35, and 38)</t>
  </si>
  <si>
    <t>Total Classroom Site Projects (lines 13, 26, and 39)</t>
  </si>
  <si>
    <r>
      <t xml:space="preserve">The version of the budget being submitted on the cover page is formatted with a drop down menu. Select the appropriate choice from the menu: Proposed, Adopted, or Revised (including the revision number). Only choices in the menu may be entered in the cell.
All information on the cover page must be completed/updated when the proposed, adopted, or revised budget is printed out for the Governing Board to sign. All information, excluding the Revenue information, must also be updated when the budget is revised.
</t>
    </r>
    <r>
      <rPr>
        <sz val="10"/>
        <color indexed="10"/>
        <rFont val="Arial"/>
        <family val="2"/>
      </rPr>
      <t xml:space="preserve">
</t>
    </r>
    <r>
      <rPr>
        <sz val="10"/>
        <rFont val="Arial"/>
        <family val="2"/>
      </rPr>
      <t xml:space="preserve">
</t>
    </r>
  </si>
  <si>
    <t>Classroom Site Projects (from page 3, line 40)</t>
  </si>
  <si>
    <t>Instructional Improvement Project (from page 2, line 5)</t>
  </si>
  <si>
    <t>Structured English Immersion Project (from page 4, line 11)</t>
  </si>
  <si>
    <t>Compensatory Instruction Project (from page 4, line 22)</t>
  </si>
  <si>
    <t>Special Education Programs by Type, Line 8</t>
  </si>
  <si>
    <t>Total (lines 1-7)</t>
  </si>
  <si>
    <t>Total All Disability Classifications</t>
  </si>
  <si>
    <t>Schools should budget total expenses for the disability classifications defined in A.R.S. §15-761.</t>
  </si>
  <si>
    <t>Special Education Programs by Type, Line 1</t>
  </si>
  <si>
    <t>Subtotal (lines 15 and 27-31)</t>
  </si>
  <si>
    <t xml:space="preserve">Program 200 </t>
  </si>
  <si>
    <t>Schools with known special education students and programs at the time of budget adoption should budget for expenses in program code 200.  Also, budgeted special education expenses in program code 200 should be allocated by program type on page 2.  Total budgeted expenses on line 27 should equal total Special Education Programs By Type on page 2, line 8.</t>
  </si>
  <si>
    <t>Federal and State Projects, Line 37</t>
  </si>
  <si>
    <t>The total of federal and state project expenses (project codes 1100 through 1499 from page 2) should be included on line 37. Schools should not include federal and state project expenses with other school wide project expenses on lines 1 through 36.</t>
  </si>
  <si>
    <t>Schools budgeting for special education expenses in program code 200 on page 1, lines 16-26 should report amounts allocated by program type on page 2. Supporting documentation should be retained for the allocation of expenses budgeted for individual special education programs.</t>
  </si>
  <si>
    <t xml:space="preserve">Audit services expense should be the total audit costs to be incurred during the budget year.
Classroom instruction expenses should be the total of expenses budgeted in function code 1000 for program codes 100, 200 and 500 for the budget year.
</t>
  </si>
  <si>
    <t>Total (lines 32-37)</t>
  </si>
  <si>
    <t>FY 2018</t>
  </si>
  <si>
    <t>We hereby certify that the Budget for the School Year 2018 was</t>
  </si>
  <si>
    <t>TOTAL BUDGETED REVENUES FOR FISCAL YEAR 2017</t>
  </si>
  <si>
    <t>ESTIMATED REVENUES BY SOURCE FOR FISCAL YEAR 2018</t>
  </si>
  <si>
    <t>Prior Year 2017</t>
  </si>
  <si>
    <t>Budget Year 2018</t>
  </si>
  <si>
    <t>Program 200 Prior Year 2017</t>
  </si>
  <si>
    <t>Program 200 Budget Year 2018</t>
  </si>
  <si>
    <t>Prior Year  2017</t>
  </si>
  <si>
    <t>FY 2018 SUMMARY OF CHARTER SCHOOL PROPOSED BUDGET</t>
  </si>
  <si>
    <t>These instructions are provided to help charter schools prepare the expenditure budget. Within the forms, blue font and light blue highlights indicate that an instruction is linked to that specific line. An instructions button has also been provided that links to any general instructions or to the first instruction for a page. The forms have been set to print without "objects" so that the instructions buttons do not print.
The cells in the prior year columns on the budget forms contain formulas that will bring forward budget amounts from the FY 2017 budget forms. However, the cells have not been protected so users may also enter the information manually. To bring forward amounts automatically, the most recently revised FY 2017 budget must be saved as budget17.xls in the C:\CSFORMS folder. If the file is not named budget17.xls, the formulas will not function properly. Excel will ask the user to update information when the budget18.xls file is opened. Users should review amounts reported in the prior year column to ensure they agree to the school’s most recently revised FY 2017 budget.</t>
  </si>
  <si>
    <t>Estimated revenues by source for FY 2018 should be based on the best information available at the time the budget is prepared. Estimated revenues may be more or less than estimated expenses.</t>
  </si>
  <si>
    <t>Schools participating in the Arizona State Retirement System should budget in object code 6200 at the rate of 11.34% for retirement contributions and 0.16% for long term disability contributions for covered positions. For positions subject to the Alternative Contribution Rate, schools should budget at the rate of 9.36%.</t>
  </si>
  <si>
    <t xml:space="preserve">The budget file(s) for FY 2018 uploaded to the Arizona Department of Education on </t>
  </si>
  <si>
    <r>
      <t xml:space="preserve">Depreciation expense should not be reported on the budget forms. In addition, purchases of capital assets (land and land improvements, site improvements, buildings and building improvements, equipment, and construction in progress) should not be reported in the budget forms except in the Capital Acquisitions section of page 2. </t>
    </r>
    <r>
      <rPr>
        <sz val="10"/>
        <rFont val="Arial"/>
        <family val="2"/>
      </rPr>
      <t xml:space="preserve">
</t>
    </r>
  </si>
  <si>
    <t>ADDITIONAL TEACHER SALARY INCREASES (LAWS 2017, CH. 305, §33)</t>
  </si>
  <si>
    <t>Schools should budget for K-3 Reading Program expenses in program code 550.  The State Board of Education must give approval to a school before any portion of the monies generated by the K-3 reading support level weight may be distributed to the school. A.R.S. §15-211, as amended by Laws 2017, Ch. 67, §1.</t>
  </si>
  <si>
    <t>Separate accountability is required for each federal and state project. Therefore, charter schools should estimate the expenses for each federal or state project in which the school participates. The totals on line 32 should agree with the total columns for federal and state projects on line 37 of page 1. A.R.S §15-1261 requires charter schools to establish an E-rate Project to account for any E-rate funding received by the school. Monies budgeted for the E-rate Project should be included within the Other Federal Projects on line 17.</t>
  </si>
  <si>
    <t>1456 College Credit Exam Incentives</t>
  </si>
  <si>
    <t>1457 Results-based Funding</t>
  </si>
  <si>
    <t>College Credit Exam Incentives</t>
  </si>
  <si>
    <t>Results-based Funding</t>
  </si>
  <si>
    <t>Schools will also receive the amount of funding needed to pay the employer share of related increases in employee-related expenses for the federal insurance contribution act (FICA). This amount is calculated based on the current year FICA rate of 7.65%.</t>
  </si>
  <si>
    <t>Total State Projects (lines 19-30)</t>
  </si>
  <si>
    <t>Total Federal and State Projects (lines 18 and 31)</t>
  </si>
  <si>
    <t xml:space="preserve">We further attest that the Budget for Fiscal Year 2018, including the </t>
  </si>
  <si>
    <t xml:space="preserve">detailed information on Budget page 2, meets the requirements of </t>
  </si>
  <si>
    <r>
      <t>Schools that receive monies from the college credit by examination incentive program per A.R.S §15-249.06, should deposit them in Project 1456</t>
    </r>
    <r>
      <rPr>
        <sz val="10"/>
        <rFont val="Calibri"/>
        <family val="2"/>
      </rPr>
      <t>—</t>
    </r>
    <r>
      <rPr>
        <sz val="10"/>
        <rFont val="Arial"/>
        <family val="2"/>
      </rPr>
      <t>College Credit Exam Incentives. At least 50% of the bonus monies received from this program must be distributed to the classroom teacher for each student who passes a qualifying exam. The remainder of any bonus monies received from this program may be used for teacher professional development or student instructional support or materials.</t>
    </r>
  </si>
  <si>
    <t>This amount will be added to schools' base support level for FY 2018 on Work sheet C, line X.</t>
  </si>
  <si>
    <t>Federal and State Projects (from page 2, line 32)</t>
  </si>
  <si>
    <t xml:space="preserve">Schools receive revenues from the Classroom Site Fund each year. A.R.S. §15-977(G)(1) requires the Joint Legislative Budget Committee to calculate an estimated per pupil amount each year. For FY 2018 the estimated cash payment is $386.00 per “Group A weighted” pupil (Total of Work sheet B, line I.A.4 and Work sheet B.2 lines I.A.3 and III.A.3).
See USFRCS page III-B-1 and USFRCS Memorandum No. 44 for additional guidance on the use of Classroom Site Project monies.
</t>
  </si>
  <si>
    <t>Schools participating in the National School Lunch Program are required to spend a portion of their state equalization assistance to support the operation of their food service program. Schools must report on their budget the amount of state equalization assistance that will be expended for their food service program during the 2018 school year. This amount will be used to determine school compliance with state matching requirements pursuant to CFR Title 7, §210.17(a). ADE’s Health and Nutrition Services will verify the amount reported on the budget was reported as spent when schools’ annual financial reports are submitted. Any questions related to state matching requirements should be directed to Health and Nutrition Services at (602) 542-8700.</t>
  </si>
  <si>
    <t>1.06% salary increase (line 4 times 1.06%)</t>
  </si>
  <si>
    <t>Employer share of retirement system expense for increase on line 5</t>
  </si>
  <si>
    <t>Employer share of FICA expense for increase on line 5</t>
  </si>
  <si>
    <t xml:space="preserve">Schools will receive the amount of funding needed to pay the employer share of increases in employee-related expenses for the Arizona State Retirement System (ASRS) or other employee retirement systems. Schools should calculate the retirement expenses for ASRS eligible employees using the current years' ASRS contribution rate of 11.5%. Schools that employ eligible teachers in positions that require the school to make an alternative contribution to ASRS should include the cost of that retirement contribution at a rate of 9.36% related to the salary increase for those employees. Schools that employ eligible teachers that participate in other retirement systems should include the actual retirement contribution costs not to exceed the ASRS contribution rate related to the salary increase. </t>
  </si>
  <si>
    <t>Total amount needed to fund lines 5-7 (sum lines 5-7) (to W.S. C, Line X)</t>
  </si>
  <si>
    <t>Schools that receive monies from the Results-based Funding Project per A.R.S §15-249.08, as added by Laws 2017, Ch. 304, §3, should deposit them in Project 1457—Results-based Funding. Monies received must be allocated directly to enhance, expand or replicate the school site that generated the results-based funding and should not supplant monies budgeted or received from any other source that are generally provided to that school. The majority of the monies received must be used for teacher salaries, to hire teachers and to provide for teacher professional development. A portion of the monies received may be used for the expansion and replication of that school site as a quality school model. The monies must be used to sustain and replicate results, to serve more students on a waiting list at a school with a letter grade designation of A or B and to increase salaries for teachers, other classroom staff and school leaders closing the achievement gap in high-poverty schools.</t>
  </si>
  <si>
    <t>Additional Teacher Salary Increases</t>
  </si>
  <si>
    <t>Additional Teacher Salary Increases, Line 1</t>
  </si>
  <si>
    <t>Additional Teacher Salary Increases, Line 2</t>
  </si>
  <si>
    <t>Additional Teacher Salary Increases, Line 3</t>
  </si>
  <si>
    <t>Additional Teacher Salary Increases, Line 4</t>
  </si>
  <si>
    <t>Additional Teacher Salary Increases, Line 6</t>
  </si>
  <si>
    <t>Additional Teacher Salary Increases, Line 7</t>
  </si>
  <si>
    <t>Additional Teacher Salary Increases, Line 8</t>
  </si>
  <si>
    <t>Additional Teacher Salary Increase</t>
  </si>
  <si>
    <t xml:space="preserve">Laws 2017, Ch. 305, §33, pertaining to the intended 1.06 percent teacher salary increase. </t>
  </si>
  <si>
    <t>In accordance with Laws 2017, Ch. 305, §33, ADE will allocate $34,000,000 to school districts and charter schools with the intention of increasing, by 1.06%, the salary of each teacher who taught at an Arizona school district or charter school during FY 2017 and who will be teaching at a school district or charter school in FY 2018. The salary increase must supplement and not supplant any salary increase that the school would have provided to the teacher for FY 2018, prior to this allocation.
Budget Revision
After the FY 2017 AFR is completed and no later than November 1, 2017, schools may revise the calculation on Budget, Page 2 and Work Sheet C to reflect changes in eligible teacher counts and salaries reported including final FY 2017 teacher salaries for eligible teachers as reported in the FY 2017 AFR.
If the budget calculation is not revised, ADE will use the calculation on the adopted budget to determine the amounts to allocate to each district and charter school by December 1, 2017. Documentation for all amounts used in the calculation should be retained for audit purposes and any audit findings related to the calculation could result in an adjustment to the funding provided for the teacher salary increase.</t>
  </si>
  <si>
    <t>Number of teachers eligible for increase (FY 2018 Head Count)</t>
  </si>
  <si>
    <t>Number of teachers eligible for increase (FY 2018 FTE)</t>
  </si>
  <si>
    <t>Total FY 2018 eligible teachers' salaries before 1.06% salary increase</t>
  </si>
  <si>
    <t>Total FY 2017 eligible teachers' salaries</t>
  </si>
  <si>
    <r>
      <t xml:space="preserve">The members of a school governing board must conduct a separate vote regarding the allocation of monies that it receives pursuant to Laws 2017, Ch. 305, §33, pertaining to the intended 1.06% teacher salary increase. The board must also notify teachers of the scheduled date and time of action of the board for this issue and must transmit a notice of public hearing to ADE for posting on the department's website at least ten days before the hearing. To meet this requirement, the school must include this notice in the notice of public hearing and board meeting to adopt the budget which will be posted on ADE's website. If the school maintains a website the school must also post the notice of the public hearing on its website.
By signing the cover of the budget, the governing board members are attesting that the Budget for FY 2018, including the information on Budget page 2, meets the requirements of Laws 2017, Ch. 305, §33.
</t>
    </r>
    <r>
      <rPr>
        <b/>
        <sz val="10"/>
        <rFont val="Arial"/>
        <family val="2"/>
      </rPr>
      <t>Budget Revision</t>
    </r>
    <r>
      <rPr>
        <sz val="10"/>
        <rFont val="Arial"/>
        <family val="2"/>
      </rPr>
      <t xml:space="preserve">
After the FY 2017 Annual Financial Report (AFR) is completed and no later than November 1, 2017, schools may revise the calculation on Budget page 2 and Work Sheet C for the amount needed for the intended 1.06% teacher salary increase based on final FY 2017 eligible teacher salaries. To revise the budget for this calculation, schools must again comply with the notice and separate vote requirements. Please refer to the Submission and Publication Requirements document issued with these budget forms for additional information. 
</t>
    </r>
  </si>
  <si>
    <t>Schools should include the same eligible teachers as described above, as an FTE.</t>
  </si>
  <si>
    <r>
      <t>Schools should include any person who was eligible to be included in the year-end full-time equivalent (FTE) teacher count on Page 7 of the AFR of any Arizona school district or charter school in FY 2017 and who teaches at the school during FY 2018. This number is a count of all eligible teachers, it is not an FTE. Do not include purchased services personnel or substitute teachers. This should be limited to employees whose salary is appropriately coded in Function 1000</t>
    </r>
    <r>
      <rPr>
        <sz val="10"/>
        <rFont val="Calibri"/>
        <family val="2"/>
      </rPr>
      <t>—</t>
    </r>
    <r>
      <rPr>
        <sz val="10"/>
        <rFont val="Arial"/>
        <family val="2"/>
      </rPr>
      <t xml:space="preserve">Instruction. Schools should maintain adequate documentation to support that each teacher included met the eligibility requirements. </t>
    </r>
  </si>
  <si>
    <r>
      <t xml:space="preserve">Schools should include the FY 2018 salary amount, including base salaries, Classroom Site Project Performance Pay, overtime, and additional compensation, of all teachers included in the eligible teacher count on line 1, </t>
    </r>
    <r>
      <rPr>
        <b/>
        <sz val="10"/>
        <rFont val="Arial"/>
        <family val="2"/>
      </rPr>
      <t>before</t>
    </r>
    <r>
      <rPr>
        <sz val="10"/>
        <rFont val="Arial"/>
        <family val="2"/>
      </rPr>
      <t xml:space="preserve"> the intended 1.06% salary increase that are appropriately coded in Function 1000</t>
    </r>
    <r>
      <rPr>
        <sz val="10"/>
        <rFont val="Calibri"/>
        <family val="2"/>
      </rPr>
      <t>—</t>
    </r>
    <r>
      <rPr>
        <sz val="10"/>
        <rFont val="Arial"/>
        <family val="2"/>
      </rPr>
      <t>Instruction. This amount should include any additional salary increase that schools would have provided to eligible teachers for FY 2018, apart from the intended 1.06% salary increase. This salary amount should be consistent with the amounts reported in the AFR, Page 7, Teacher Salaries table for eligible teachers.</t>
    </r>
  </si>
  <si>
    <r>
      <t>Schools should include the FY 2017 salary amount, including base salaries, Classroom Site Project Performance Pay, overtime, and additional compensation, of all teachers included in the eligible teacher count on line 1 that are appropriately coded in Function 1000</t>
    </r>
    <r>
      <rPr>
        <sz val="10"/>
        <rFont val="Calibri"/>
        <family val="2"/>
      </rPr>
      <t>—</t>
    </r>
    <r>
      <rPr>
        <sz val="10"/>
        <rFont val="Arial"/>
        <family val="2"/>
      </rPr>
      <t>Instruction. This includes teachers that were employed at a different Arizona school district or charter school in FY 2017. Schools should maintain adequate documentation to support the prior year salary amounts included for each eligible teacher, including those that taught at a different Arizona school or district. This salary amount should be consistent with the amounts reported in the AFR, Page 7, Teacher Salaries table for eligible teachers.</t>
    </r>
  </si>
  <si>
    <t>Gila</t>
  </si>
  <si>
    <t>048701000</t>
  </si>
  <si>
    <t>Destiny School</t>
  </si>
  <si>
    <t>Cindy Cothrun</t>
  </si>
  <si>
    <t>928-425-7792</t>
  </si>
  <si>
    <t>destinyschool@yahoo.com</t>
  </si>
  <si>
    <t>Scott D. Williamson</t>
  </si>
  <si>
    <t>Nancy L. McLendon</t>
  </si>
  <si>
    <t>President</t>
  </si>
  <si>
    <t>Member</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</si>
</sst>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 numFmtId="166" formatCode="0.0%"/>
    <numFmt numFmtId="167" formatCode="m/d"/>
    <numFmt numFmtId="168" formatCode="mmmm\ d\,\ yyyy"/>
    <numFmt numFmtId="169" formatCode="0_)"/>
    <numFmt numFmtId="170" formatCode="0.0%;[Red]\-0.0%"/>
    <numFmt numFmtId="171" formatCode="General;[Red]\-General"/>
    <numFmt numFmtId="172" formatCode="#,##0.000_);\(#,##0.000\)"/>
    <numFmt numFmtId="173" formatCode="#,##0.0_);\(#,##0.0\)"/>
    <numFmt numFmtId="174" formatCode="0_);\(0\)"/>
    <numFmt numFmtId="175" formatCode="0.00_);\(0.00\)"/>
    <numFmt numFmtId="176" formatCode="#,##0.000"/>
    <numFmt numFmtId="177" formatCode="&quot;$&quot;#,##0"/>
    <numFmt numFmtId="178" formatCode="#,##0.0000_);[Red]\(#,##0.0000\)"/>
    <numFmt numFmtId="179" formatCode="#,##0.000_);[Red]\(#,##0.000\)"/>
    <numFmt numFmtId="180" formatCode="0.0000"/>
    <numFmt numFmtId="181" formatCode="#,##0.0"/>
    <numFmt numFmtId="182" formatCode="#,##0.0000_);\(#,##0.0000\)"/>
    <numFmt numFmtId="183" formatCode="#,##0.0000"/>
    <numFmt numFmtId="184" formatCode="[$-409]h:mm:ss\ AM/PM"/>
    <numFmt numFmtId="185" formatCode="0.00_);[Red]\(0.00\)"/>
    <numFmt numFmtId="186" formatCode="0_);[Red]\(0\)"/>
    <numFmt numFmtId="187" formatCode="[$-409]mmmm\ d\,\ yyyy;@"/>
    <numFmt numFmtId="188" formatCode="&quot;Yes&quot;;&quot;Yes&quot;;&quot;No&quot;"/>
    <numFmt numFmtId="189" formatCode="&quot;True&quot;;&quot;True&quot;;&quot;False&quot;"/>
    <numFmt numFmtId="190" formatCode="&quot;On&quot;;&quot;On&quot;;&quot;Off&quot;"/>
    <numFmt numFmtId="191" formatCode="[$€-2]\ #,##0.00_);[Red]\([$€-2]\ #,##0.00\)"/>
    <numFmt numFmtId="192" formatCode="d\-mmm\-yyyy"/>
  </numFmts>
  <fonts count="61">
    <font>
      <sz val="10"/>
      <name val="Arial"/>
      <family val="0"/>
    </font>
    <font>
      <b/>
      <sz val="10"/>
      <name val="Arial"/>
      <family val="0"/>
    </font>
    <font>
      <i/>
      <sz val="10"/>
      <name val="Arial"/>
      <family val="0"/>
    </font>
    <font>
      <b/>
      <i/>
      <sz val="10"/>
      <name val="Arial"/>
      <family val="0"/>
    </font>
    <font>
      <b/>
      <sz val="14"/>
      <name val="Arial"/>
      <family val="2"/>
    </font>
    <font>
      <u val="single"/>
      <sz val="9"/>
      <color indexed="36"/>
      <name val="Arial"/>
      <family val="2"/>
    </font>
    <font>
      <u val="single"/>
      <sz val="9"/>
      <color indexed="12"/>
      <name val="Arial"/>
      <family val="2"/>
    </font>
    <font>
      <sz val="10"/>
      <name val="Times New Roman"/>
      <family val="1"/>
    </font>
    <font>
      <sz val="12"/>
      <name val="Arial"/>
      <family val="2"/>
    </font>
    <font>
      <b/>
      <sz val="14"/>
      <name val="Times New Roman"/>
      <family val="1"/>
    </font>
    <font>
      <sz val="10"/>
      <color indexed="10"/>
      <name val="Arial"/>
      <family val="2"/>
    </font>
    <font>
      <sz val="10"/>
      <color indexed="12"/>
      <name val="Arial"/>
      <family val="2"/>
    </font>
    <font>
      <b/>
      <sz val="10"/>
      <color indexed="12"/>
      <name val="Arial"/>
      <family val="2"/>
    </font>
    <font>
      <sz val="14"/>
      <name val="Arial"/>
      <family val="2"/>
    </font>
    <font>
      <sz val="10"/>
      <name val="Calibri"/>
      <family val="2"/>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8"/>
      <name val="Arial"/>
      <family val="2"/>
    </font>
    <font>
      <b/>
      <sz val="10"/>
      <color indexed="8"/>
      <name val="Arial"/>
      <family val="2"/>
    </font>
    <font>
      <sz val="9"/>
      <color indexed="12"/>
      <name val="Arial"/>
      <family val="2"/>
    </font>
    <font>
      <b/>
      <sz val="9"/>
      <color indexed="12"/>
      <name val="Arial"/>
      <family val="2"/>
    </font>
    <font>
      <sz val="10"/>
      <color indexed="3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b/>
      <sz val="10"/>
      <color rgb="FF000000"/>
      <name val="Arial"/>
      <family val="2"/>
    </font>
    <font>
      <sz val="9"/>
      <color rgb="FF0000FF"/>
      <name val="Arial"/>
      <family val="2"/>
    </font>
    <font>
      <b/>
      <sz val="9"/>
      <color rgb="FF0000FF"/>
      <name val="Arial"/>
      <family val="2"/>
    </font>
    <font>
      <sz val="10"/>
      <color rgb="FF0070C0"/>
      <name val="Arial"/>
      <family val="2"/>
    </font>
    <font>
      <sz val="10"/>
      <color rgb="FF0000FF"/>
      <name val="Arial"/>
      <family val="2"/>
    </font>
    <font>
      <b/>
      <sz val="10"/>
      <color rgb="FF0000FF"/>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rgb="FFCCFFFF"/>
        <bgColor indexed="64"/>
      </patternFill>
    </fill>
    <fill>
      <patternFill patternType="solid">
        <fgColor rgb="FF969696"/>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medium"/>
    </border>
    <border>
      <left style="thin"/>
      <right style="thin"/>
      <top style="thin"/>
      <bottom style="medium"/>
    </border>
    <border>
      <left style="thin"/>
      <right style="thin"/>
      <top style="medium"/>
      <bottom style="double"/>
    </border>
    <border>
      <left style="thin"/>
      <right style="thin"/>
      <top>
        <color indexed="63"/>
      </top>
      <bottom style="double"/>
    </border>
    <border>
      <left style="thin"/>
      <right style="thin"/>
      <top style="double"/>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8" fillId="0" borderId="0" applyFont="0" applyBorder="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391">
    <xf numFmtId="0" fontId="0" fillId="0" borderId="0" xfId="0" applyAlignment="1">
      <alignment/>
    </xf>
    <xf numFmtId="0" fontId="0" fillId="0" borderId="10" xfId="0" applyFont="1" applyFill="1" applyBorder="1" applyAlignment="1" applyProtection="1">
      <alignment/>
      <protection/>
    </xf>
    <xf numFmtId="164" fontId="0" fillId="0" borderId="0" xfId="0" applyNumberFormat="1" applyFont="1" applyFill="1" applyBorder="1" applyAlignment="1" applyProtection="1">
      <alignment horizontal="left"/>
      <protection/>
    </xf>
    <xf numFmtId="164" fontId="0" fillId="0" borderId="0" xfId="0" applyNumberFormat="1" applyFont="1" applyFill="1" applyBorder="1" applyAlignment="1" applyProtection="1">
      <alignment/>
      <protection/>
    </xf>
    <xf numFmtId="0" fontId="1" fillId="0" borderId="11" xfId="0" applyFont="1" applyFill="1" applyBorder="1" applyAlignment="1" applyProtection="1">
      <alignment/>
      <protection/>
    </xf>
    <xf numFmtId="164" fontId="0" fillId="0" borderId="12" xfId="0" applyNumberFormat="1" applyFont="1" applyFill="1" applyBorder="1" applyAlignment="1" applyProtection="1">
      <alignment/>
      <protection/>
    </xf>
    <xf numFmtId="38" fontId="0" fillId="0" borderId="13" xfId="0" applyNumberFormat="1" applyFont="1" applyFill="1" applyBorder="1" applyAlignment="1" applyProtection="1">
      <alignment/>
      <protection/>
    </xf>
    <xf numFmtId="38" fontId="0" fillId="0" borderId="0" xfId="0" applyNumberFormat="1" applyFont="1" applyFill="1" applyBorder="1" applyAlignment="1" applyProtection="1">
      <alignment/>
      <protection/>
    </xf>
    <xf numFmtId="37" fontId="0" fillId="0" borderId="14" xfId="0" applyNumberFormat="1" applyFont="1" applyFill="1" applyBorder="1" applyAlignment="1" applyProtection="1">
      <alignment/>
      <protection locked="0"/>
    </xf>
    <xf numFmtId="37" fontId="0" fillId="0" borderId="14" xfId="0" applyNumberFormat="1" applyFont="1" applyFill="1" applyBorder="1" applyAlignment="1" applyProtection="1">
      <alignment/>
      <protection/>
    </xf>
    <xf numFmtId="37" fontId="0" fillId="0" borderId="13" xfId="0" applyNumberFormat="1" applyFont="1" applyFill="1" applyBorder="1" applyAlignment="1" applyProtection="1">
      <alignment/>
      <protection/>
    </xf>
    <xf numFmtId="166" fontId="0" fillId="0" borderId="0" xfId="0" applyNumberFormat="1" applyFont="1" applyFill="1" applyBorder="1" applyAlignment="1" applyProtection="1">
      <alignment/>
      <protection/>
    </xf>
    <xf numFmtId="166" fontId="0" fillId="0" borderId="13" xfId="0" applyNumberFormat="1" applyFont="1" applyFill="1" applyBorder="1" applyAlignment="1" applyProtection="1">
      <alignment/>
      <protection/>
    </xf>
    <xf numFmtId="3" fontId="0" fillId="0" borderId="13" xfId="0"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Alignment="1" applyProtection="1">
      <alignment horizontal="left"/>
      <protection/>
    </xf>
    <xf numFmtId="0" fontId="0" fillId="0" borderId="0" xfId="0" applyFont="1" applyFill="1" applyAlignment="1">
      <alignment horizontal="left"/>
    </xf>
    <xf numFmtId="0" fontId="0" fillId="0" borderId="0" xfId="0" applyFont="1" applyFill="1" applyAlignment="1" applyProtection="1">
      <alignment/>
      <protection/>
    </xf>
    <xf numFmtId="0" fontId="0" fillId="0" borderId="0" xfId="0" applyFill="1" applyBorder="1" applyAlignment="1" applyProtection="1">
      <alignment/>
      <protection/>
    </xf>
    <xf numFmtId="0" fontId="0" fillId="0" borderId="0" xfId="0" applyFont="1" applyFill="1" applyAlignment="1" applyProtection="1">
      <alignment horizontal="justify" wrapText="1"/>
      <protection/>
    </xf>
    <xf numFmtId="38" fontId="0" fillId="0" borderId="14" xfId="0" applyNumberFormat="1" applyFont="1" applyFill="1" applyBorder="1" applyAlignment="1" applyProtection="1">
      <alignment/>
      <protection/>
    </xf>
    <xf numFmtId="164" fontId="0" fillId="0" borderId="15" xfId="0" applyNumberFormat="1" applyFont="1" applyFill="1" applyBorder="1" applyAlignment="1" applyProtection="1">
      <alignment/>
      <protection/>
    </xf>
    <xf numFmtId="164" fontId="0" fillId="0" borderId="16" xfId="0" applyNumberFormat="1" applyFont="1" applyFill="1" applyBorder="1" applyAlignment="1" applyProtection="1">
      <alignment/>
      <protection/>
    </xf>
    <xf numFmtId="164" fontId="0" fillId="0" borderId="17" xfId="0" applyNumberFormat="1" applyFont="1" applyFill="1" applyBorder="1" applyAlignment="1" applyProtection="1">
      <alignment/>
      <protection/>
    </xf>
    <xf numFmtId="164" fontId="0" fillId="0" borderId="18" xfId="0" applyNumberFormat="1" applyFont="1" applyFill="1" applyBorder="1" applyAlignment="1" applyProtection="1">
      <alignment/>
      <protection/>
    </xf>
    <xf numFmtId="38" fontId="0" fillId="0" borderId="13" xfId="0" applyNumberFormat="1" applyFont="1" applyFill="1" applyBorder="1" applyAlignment="1" applyProtection="1">
      <alignment/>
      <protection locked="0"/>
    </xf>
    <xf numFmtId="38" fontId="0" fillId="0" borderId="14" xfId="0" applyNumberFormat="1" applyFont="1" applyFill="1" applyBorder="1" applyAlignment="1" applyProtection="1">
      <alignment/>
      <protection locked="0"/>
    </xf>
    <xf numFmtId="38" fontId="0" fillId="0" borderId="13" xfId="0" applyNumberFormat="1" applyFill="1" applyBorder="1" applyAlignment="1" applyProtection="1">
      <alignment/>
      <protection locked="0"/>
    </xf>
    <xf numFmtId="38" fontId="0" fillId="0" borderId="14" xfId="0" applyNumberFormat="1" applyFill="1" applyBorder="1" applyAlignment="1" applyProtection="1">
      <alignment/>
      <protection locked="0"/>
    </xf>
    <xf numFmtId="38" fontId="0" fillId="0" borderId="19" xfId="0" applyNumberFormat="1" applyFont="1" applyFill="1" applyBorder="1" applyAlignment="1" applyProtection="1">
      <alignment horizontal="right"/>
      <protection/>
    </xf>
    <xf numFmtId="38" fontId="0" fillId="0" borderId="14" xfId="0" applyNumberFormat="1" applyFont="1" applyFill="1" applyBorder="1" applyAlignment="1" applyProtection="1">
      <alignment horizontal="right"/>
      <protection/>
    </xf>
    <xf numFmtId="0" fontId="0" fillId="0" borderId="12" xfId="0" applyFont="1" applyFill="1" applyBorder="1" applyAlignment="1" applyProtection="1">
      <alignment/>
      <protection/>
    </xf>
    <xf numFmtId="164" fontId="0" fillId="0" borderId="0" xfId="0" applyNumberFormat="1" applyFill="1" applyBorder="1" applyAlignment="1" applyProtection="1">
      <alignment horizontal="left"/>
      <protection/>
    </xf>
    <xf numFmtId="37" fontId="0" fillId="0" borderId="13" xfId="0" applyNumberFormat="1" applyFont="1" applyFill="1" applyBorder="1" applyAlignment="1" applyProtection="1">
      <alignment/>
      <protection locked="0"/>
    </xf>
    <xf numFmtId="38" fontId="0" fillId="0" borderId="13" xfId="0" applyNumberFormat="1" applyFont="1" applyFill="1" applyBorder="1" applyAlignment="1" applyProtection="1">
      <alignment horizontal="right"/>
      <protection locked="0"/>
    </xf>
    <xf numFmtId="0" fontId="0" fillId="0" borderId="0" xfId="0" applyFill="1" applyAlignment="1" applyProtection="1">
      <alignment/>
      <protection/>
    </xf>
    <xf numFmtId="0" fontId="0" fillId="0" borderId="0" xfId="0" applyFill="1" applyAlignment="1" applyProtection="1">
      <alignment horizontal="centerContinuous"/>
      <protection/>
    </xf>
    <xf numFmtId="0" fontId="0" fillId="0" borderId="0" xfId="0" applyFill="1" applyBorder="1" applyAlignment="1" applyProtection="1">
      <alignment/>
      <protection/>
    </xf>
    <xf numFmtId="0" fontId="0" fillId="0" borderId="0" xfId="0" applyFill="1" applyBorder="1" applyAlignment="1" applyProtection="1">
      <alignment horizontal="center"/>
      <protection/>
    </xf>
    <xf numFmtId="0" fontId="0" fillId="0" borderId="0" xfId="0" applyFill="1" applyAlignment="1" applyProtection="1">
      <alignment horizontal="center"/>
      <protection/>
    </xf>
    <xf numFmtId="0" fontId="0" fillId="0" borderId="0" xfId="0" applyFill="1" applyBorder="1" applyAlignment="1">
      <alignment/>
    </xf>
    <xf numFmtId="0" fontId="0" fillId="0" borderId="12" xfId="0" applyFont="1" applyFill="1" applyBorder="1" applyAlignment="1" applyProtection="1">
      <alignment horizontal="center"/>
      <protection/>
    </xf>
    <xf numFmtId="0" fontId="1" fillId="0" borderId="0" xfId="0" applyFont="1" applyFill="1" applyBorder="1" applyAlignment="1" applyProtection="1">
      <alignment horizontal="center"/>
      <protection/>
    </xf>
    <xf numFmtId="0" fontId="0" fillId="0" borderId="0" xfId="0" applyFill="1" applyAlignment="1">
      <alignment/>
    </xf>
    <xf numFmtId="0" fontId="0" fillId="0" borderId="0" xfId="0" applyFill="1" applyAlignment="1" applyProtection="1">
      <alignment/>
      <protection/>
    </xf>
    <xf numFmtId="0" fontId="0" fillId="0" borderId="15" xfId="0" applyFill="1" applyBorder="1" applyAlignment="1" applyProtection="1">
      <alignment/>
      <protection/>
    </xf>
    <xf numFmtId="0" fontId="0" fillId="0" borderId="15" xfId="0" applyFill="1" applyBorder="1" applyAlignment="1" applyProtection="1">
      <alignment horizontal="centerContinuous"/>
      <protection/>
    </xf>
    <xf numFmtId="49" fontId="0" fillId="0" borderId="0" xfId="0" applyNumberFormat="1" applyFill="1" applyAlignment="1" applyProtection="1">
      <alignment horizontal="right"/>
      <protection/>
    </xf>
    <xf numFmtId="0" fontId="0" fillId="0" borderId="0" xfId="0" applyFill="1" applyBorder="1" applyAlignment="1" applyProtection="1">
      <alignment horizontal="right"/>
      <protection/>
    </xf>
    <xf numFmtId="3" fontId="0" fillId="0" borderId="12" xfId="0" applyNumberFormat="1" applyFill="1" applyBorder="1" applyAlignment="1" applyProtection="1">
      <alignment/>
      <protection locked="0"/>
    </xf>
    <xf numFmtId="0" fontId="0" fillId="0" borderId="15" xfId="0" applyFill="1" applyBorder="1" applyAlignment="1" applyProtection="1">
      <alignment/>
      <protection/>
    </xf>
    <xf numFmtId="49" fontId="0" fillId="0" borderId="0" xfId="0" applyNumberFormat="1" applyFill="1" applyAlignment="1" applyProtection="1">
      <alignment horizontal="center"/>
      <protection/>
    </xf>
    <xf numFmtId="0" fontId="0" fillId="0" borderId="0" xfId="0" applyFont="1" applyFill="1" applyBorder="1" applyAlignment="1" applyProtection="1">
      <alignment horizontal="right"/>
      <protection/>
    </xf>
    <xf numFmtId="3" fontId="0" fillId="0" borderId="12" xfId="0" applyNumberFormat="1" applyFill="1" applyBorder="1" applyAlignment="1" applyProtection="1">
      <alignment/>
      <protection locked="0"/>
    </xf>
    <xf numFmtId="3" fontId="0" fillId="0" borderId="12" xfId="0" applyNumberFormat="1" applyFont="1" applyFill="1" applyBorder="1" applyAlignment="1" applyProtection="1">
      <alignment/>
      <protection locked="0"/>
    </xf>
    <xf numFmtId="3" fontId="0" fillId="0" borderId="12" xfId="0" applyNumberFormat="1" applyFont="1" applyFill="1" applyBorder="1" applyAlignment="1" applyProtection="1">
      <alignment/>
      <protection/>
    </xf>
    <xf numFmtId="0" fontId="0" fillId="0" borderId="15" xfId="0" applyFill="1" applyBorder="1" applyAlignment="1" applyProtection="1">
      <alignment horizontal="center"/>
      <protection/>
    </xf>
    <xf numFmtId="0" fontId="0" fillId="0" borderId="0" xfId="0" applyFill="1" applyAlignment="1" applyProtection="1">
      <alignment horizontal="left"/>
      <protection/>
    </xf>
    <xf numFmtId="14" fontId="0" fillId="0" borderId="0" xfId="0" applyNumberFormat="1" applyFill="1" applyBorder="1" applyAlignment="1" applyProtection="1">
      <alignment horizontal="center"/>
      <protection/>
    </xf>
    <xf numFmtId="0" fontId="0" fillId="0" borderId="0" xfId="0" applyFont="1" applyFill="1" applyBorder="1" applyAlignment="1" applyProtection="1">
      <alignment/>
      <protection/>
    </xf>
    <xf numFmtId="0" fontId="0" fillId="0" borderId="0" xfId="0" applyFill="1" applyBorder="1" applyAlignment="1" applyProtection="1">
      <alignment horizontal="centerContinuous"/>
      <protection/>
    </xf>
    <xf numFmtId="0" fontId="0" fillId="0" borderId="0" xfId="0" applyFill="1" applyBorder="1" applyAlignment="1" applyProtection="1">
      <alignment horizontal="left"/>
      <protection/>
    </xf>
    <xf numFmtId="49" fontId="0" fillId="0" borderId="0" xfId="0" applyNumberFormat="1" applyFill="1" applyBorder="1" applyAlignment="1" applyProtection="1">
      <alignment horizontal="left"/>
      <protection/>
    </xf>
    <xf numFmtId="0" fontId="0" fillId="0" borderId="0" xfId="0" applyFill="1" applyAlignment="1" applyProtection="1">
      <alignment horizontal="justify" vertical="top" wrapText="1"/>
      <protection/>
    </xf>
    <xf numFmtId="0" fontId="0" fillId="0" borderId="0" xfId="0" applyFill="1" applyBorder="1" applyAlignment="1" applyProtection="1">
      <alignment horizontal="justify" vertical="top"/>
      <protection/>
    </xf>
    <xf numFmtId="0" fontId="0" fillId="0" borderId="0" xfId="0" applyFill="1" applyAlignment="1">
      <alignment horizontal="justify" vertical="top"/>
    </xf>
    <xf numFmtId="0" fontId="0" fillId="0" borderId="15" xfId="0" applyFill="1" applyBorder="1" applyAlignment="1">
      <alignment/>
    </xf>
    <xf numFmtId="0" fontId="0" fillId="0" borderId="0" xfId="0" applyFill="1" applyBorder="1" applyAlignment="1">
      <alignment/>
    </xf>
    <xf numFmtId="0" fontId="0" fillId="0" borderId="12" xfId="0" applyFont="1" applyFill="1" applyBorder="1" applyAlignment="1" applyProtection="1">
      <alignment horizontal="left"/>
      <protection/>
    </xf>
    <xf numFmtId="0" fontId="0" fillId="0" borderId="0" xfId="0" applyFont="1" applyFill="1" applyBorder="1" applyAlignment="1" applyProtection="1">
      <alignment horizontal="left"/>
      <protection/>
    </xf>
    <xf numFmtId="0" fontId="0" fillId="0" borderId="0" xfId="0" applyFont="1" applyFill="1" applyAlignment="1" applyProtection="1">
      <alignment horizontal="right"/>
      <protection/>
    </xf>
    <xf numFmtId="0" fontId="0" fillId="0" borderId="0" xfId="0" applyFont="1" applyFill="1" applyBorder="1" applyAlignment="1" applyProtection="1">
      <alignment horizontal="centerContinuous"/>
      <protection/>
    </xf>
    <xf numFmtId="0" fontId="1" fillId="0" borderId="10" xfId="0" applyFont="1" applyFill="1" applyBorder="1" applyAlignment="1" applyProtection="1">
      <alignment/>
      <protection/>
    </xf>
    <xf numFmtId="0" fontId="0" fillId="0" borderId="20" xfId="0" applyFont="1" applyFill="1" applyBorder="1" applyAlignment="1" applyProtection="1">
      <alignment/>
      <protection/>
    </xf>
    <xf numFmtId="0" fontId="0" fillId="0" borderId="18" xfId="0" applyFont="1" applyFill="1" applyBorder="1" applyAlignment="1" applyProtection="1">
      <alignment/>
      <protection/>
    </xf>
    <xf numFmtId="0" fontId="0" fillId="0" borderId="10" xfId="0" applyFont="1" applyFill="1" applyBorder="1" applyAlignment="1" applyProtection="1">
      <alignment horizontal="centerContinuous"/>
      <protection/>
    </xf>
    <xf numFmtId="0" fontId="0" fillId="0" borderId="18" xfId="0" applyFont="1" applyFill="1" applyBorder="1" applyAlignment="1" applyProtection="1">
      <alignment horizontal="centerContinuous"/>
      <protection/>
    </xf>
    <xf numFmtId="0" fontId="0" fillId="0" borderId="21" xfId="0" applyFont="1" applyFill="1" applyBorder="1" applyAlignment="1" applyProtection="1">
      <alignment/>
      <protection/>
    </xf>
    <xf numFmtId="0" fontId="0" fillId="0" borderId="21" xfId="0" applyFont="1" applyFill="1" applyBorder="1" applyAlignment="1" applyProtection="1">
      <alignment horizontal="center"/>
      <protection/>
    </xf>
    <xf numFmtId="0" fontId="0" fillId="0" borderId="19" xfId="0" applyFont="1" applyFill="1" applyBorder="1" applyAlignment="1" applyProtection="1">
      <alignment horizontal="centerContinuous"/>
      <protection/>
    </xf>
    <xf numFmtId="0" fontId="0" fillId="0" borderId="16" xfId="0" applyFont="1" applyFill="1" applyBorder="1" applyAlignment="1" applyProtection="1">
      <alignment horizontal="centerContinuous"/>
      <protection/>
    </xf>
    <xf numFmtId="0" fontId="0" fillId="0" borderId="15" xfId="0" applyFont="1" applyFill="1" applyBorder="1" applyAlignment="1" applyProtection="1">
      <alignment/>
      <protection/>
    </xf>
    <xf numFmtId="0" fontId="0" fillId="0" borderId="22" xfId="0" applyFont="1" applyFill="1" applyBorder="1" applyAlignment="1" applyProtection="1">
      <alignment horizontal="centerContinuous"/>
      <protection/>
    </xf>
    <xf numFmtId="0" fontId="0" fillId="0" borderId="17" xfId="0" applyFont="1" applyFill="1" applyBorder="1" applyAlignment="1" applyProtection="1">
      <alignment horizontal="centerContinuous"/>
      <protection/>
    </xf>
    <xf numFmtId="0" fontId="0" fillId="0" borderId="23" xfId="0" applyFont="1" applyFill="1" applyBorder="1" applyAlignment="1" applyProtection="1">
      <alignment horizontal="center"/>
      <protection/>
    </xf>
    <xf numFmtId="0" fontId="0" fillId="0" borderId="23" xfId="0" applyFont="1" applyFill="1" applyBorder="1" applyAlignment="1" applyProtection="1">
      <alignment/>
      <protection/>
    </xf>
    <xf numFmtId="0" fontId="1" fillId="0" borderId="22" xfId="0" applyFont="1" applyFill="1" applyBorder="1" applyAlignment="1" applyProtection="1">
      <alignment/>
      <protection/>
    </xf>
    <xf numFmtId="0" fontId="0" fillId="0" borderId="13" xfId="0" applyFont="1" applyFill="1" applyBorder="1" applyAlignment="1" applyProtection="1">
      <alignment horizontal="center"/>
      <protection/>
    </xf>
    <xf numFmtId="0" fontId="0" fillId="0" borderId="11" xfId="0" applyFont="1" applyFill="1" applyBorder="1" applyAlignment="1" applyProtection="1">
      <alignment/>
      <protection/>
    </xf>
    <xf numFmtId="185" fontId="0" fillId="0" borderId="13" xfId="0" applyNumberFormat="1" applyFont="1" applyFill="1" applyBorder="1" applyAlignment="1" applyProtection="1">
      <alignment/>
      <protection/>
    </xf>
    <xf numFmtId="185" fontId="0" fillId="0" borderId="13" xfId="0" applyNumberFormat="1" applyFont="1" applyFill="1" applyBorder="1" applyAlignment="1" applyProtection="1">
      <alignment horizontal="right"/>
      <protection locked="0"/>
    </xf>
    <xf numFmtId="164" fontId="0" fillId="0" borderId="11" xfId="0" applyNumberFormat="1" applyFont="1" applyFill="1" applyBorder="1" applyAlignment="1" applyProtection="1">
      <alignment horizontal="left"/>
      <protection/>
    </xf>
    <xf numFmtId="185" fontId="0" fillId="0" borderId="14" xfId="0" applyNumberFormat="1" applyFont="1" applyFill="1" applyBorder="1" applyAlignment="1" applyProtection="1">
      <alignment/>
      <protection locked="0"/>
    </xf>
    <xf numFmtId="185" fontId="0" fillId="0" borderId="13" xfId="0" applyNumberFormat="1" applyFont="1" applyFill="1" applyBorder="1" applyAlignment="1" applyProtection="1">
      <alignment/>
      <protection locked="0"/>
    </xf>
    <xf numFmtId="0" fontId="0" fillId="0" borderId="22" xfId="0" applyFont="1" applyFill="1" applyBorder="1" applyAlignment="1" applyProtection="1">
      <alignment/>
      <protection/>
    </xf>
    <xf numFmtId="185" fontId="0" fillId="0" borderId="13" xfId="0" applyNumberFormat="1" applyFont="1" applyFill="1" applyBorder="1" applyAlignment="1" applyProtection="1">
      <alignment/>
      <protection/>
    </xf>
    <xf numFmtId="0" fontId="0" fillId="0" borderId="24" xfId="0" applyFont="1" applyFill="1" applyBorder="1" applyAlignment="1" applyProtection="1">
      <alignment/>
      <protection/>
    </xf>
    <xf numFmtId="0" fontId="0" fillId="0" borderId="10" xfId="0" applyFont="1" applyFill="1" applyBorder="1" applyAlignment="1" applyProtection="1">
      <alignment horizontal="center"/>
      <protection/>
    </xf>
    <xf numFmtId="0" fontId="0" fillId="0" borderId="11" xfId="0" applyFont="1" applyFill="1" applyBorder="1" applyAlignment="1" applyProtection="1">
      <alignment horizontal="center"/>
      <protection/>
    </xf>
    <xf numFmtId="0" fontId="0" fillId="0" borderId="17" xfId="0" applyFont="1" applyFill="1" applyBorder="1" applyAlignment="1" applyProtection="1">
      <alignment/>
      <protection/>
    </xf>
    <xf numFmtId="0" fontId="0" fillId="0" borderId="22"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 fillId="0" borderId="10" xfId="0" applyFont="1" applyFill="1" applyBorder="1" applyAlignment="1" applyProtection="1">
      <alignment horizontal="left"/>
      <protection/>
    </xf>
    <xf numFmtId="0" fontId="0" fillId="0" borderId="20" xfId="0" applyFont="1" applyFill="1" applyBorder="1" applyAlignment="1" applyProtection="1">
      <alignment horizontal="centerContinuous"/>
      <protection/>
    </xf>
    <xf numFmtId="0" fontId="0" fillId="0" borderId="21" xfId="0" applyFont="1" applyFill="1" applyBorder="1" applyAlignment="1" applyProtection="1">
      <alignment horizontal="centerContinuous"/>
      <protection/>
    </xf>
    <xf numFmtId="0" fontId="7" fillId="0" borderId="0" xfId="0" applyFont="1" applyFill="1" applyAlignment="1" applyProtection="1">
      <alignment horizontal="justify" wrapText="1"/>
      <protection/>
    </xf>
    <xf numFmtId="38" fontId="0" fillId="0" borderId="13" xfId="0" applyNumberFormat="1" applyFont="1" applyFill="1" applyBorder="1" applyAlignment="1" applyProtection="1">
      <alignment/>
      <protection locked="0"/>
    </xf>
    <xf numFmtId="49" fontId="0" fillId="0" borderId="0" xfId="0" applyNumberFormat="1" applyFont="1" applyFill="1" applyAlignment="1" applyProtection="1">
      <alignment horizontal="justify" wrapText="1"/>
      <protection/>
    </xf>
    <xf numFmtId="38" fontId="0" fillId="0" borderId="13" xfId="0" applyNumberFormat="1" applyFont="1" applyFill="1" applyBorder="1" applyAlignment="1" applyProtection="1">
      <alignment/>
      <protection/>
    </xf>
    <xf numFmtId="49" fontId="0" fillId="0" borderId="0" xfId="0" applyNumberFormat="1" applyFont="1" applyFill="1" applyAlignment="1" applyProtection="1">
      <alignment/>
      <protection/>
    </xf>
    <xf numFmtId="0" fontId="0" fillId="0" borderId="0" xfId="0" applyFont="1" applyFill="1" applyBorder="1" applyAlignment="1" applyProtection="1">
      <alignment/>
      <protection locked="0"/>
    </xf>
    <xf numFmtId="37" fontId="0" fillId="0" borderId="13" xfId="0" applyNumberFormat="1" applyFont="1" applyFill="1" applyBorder="1" applyAlignment="1" applyProtection="1">
      <alignment/>
      <protection locked="0"/>
    </xf>
    <xf numFmtId="37" fontId="0" fillId="0" borderId="13" xfId="0" applyNumberFormat="1" applyFont="1" applyFill="1" applyBorder="1" applyAlignment="1" applyProtection="1">
      <alignment/>
      <protection/>
    </xf>
    <xf numFmtId="0" fontId="0" fillId="0" borderId="0" xfId="0" applyFont="1" applyFill="1" applyAlignment="1" applyProtection="1">
      <alignment/>
      <protection/>
    </xf>
    <xf numFmtId="0" fontId="0" fillId="0" borderId="0" xfId="0" applyFill="1" applyAlignment="1" applyProtection="1">
      <alignment horizontal="right"/>
      <protection/>
    </xf>
    <xf numFmtId="0" fontId="1" fillId="0" borderId="0" xfId="0" applyFont="1" applyFill="1" applyAlignment="1" applyProtection="1">
      <alignment horizontal="centerContinuous"/>
      <protection/>
    </xf>
    <xf numFmtId="164" fontId="0" fillId="0" borderId="0" xfId="0" applyNumberFormat="1" applyFill="1" applyAlignment="1" applyProtection="1">
      <alignment horizontal="right"/>
      <protection/>
    </xf>
    <xf numFmtId="164" fontId="0" fillId="0" borderId="0" xfId="0" applyNumberFormat="1" applyFill="1" applyAlignment="1" applyProtection="1">
      <alignment horizontal="left"/>
      <protection/>
    </xf>
    <xf numFmtId="0" fontId="1" fillId="0" borderId="0" xfId="0" applyFont="1" applyFill="1" applyAlignment="1" applyProtection="1">
      <alignment/>
      <protection/>
    </xf>
    <xf numFmtId="165" fontId="0" fillId="0" borderId="12" xfId="0" applyNumberFormat="1" applyFill="1" applyBorder="1" applyAlignment="1" applyProtection="1">
      <alignment/>
      <protection locked="0"/>
    </xf>
    <xf numFmtId="165" fontId="0" fillId="0" borderId="0" xfId="0" applyNumberFormat="1" applyFill="1" applyBorder="1" applyAlignment="1" applyProtection="1">
      <alignment/>
      <protection/>
    </xf>
    <xf numFmtId="38" fontId="0" fillId="0" borderId="25" xfId="0" applyNumberFormat="1" applyFill="1" applyBorder="1" applyAlignment="1" applyProtection="1">
      <alignment/>
      <protection locked="0"/>
    </xf>
    <xf numFmtId="0" fontId="0" fillId="0" borderId="12" xfId="0" applyFont="1" applyFill="1" applyBorder="1" applyAlignment="1" applyProtection="1">
      <alignment horizontal="centerContinuous"/>
      <protection/>
    </xf>
    <xf numFmtId="0" fontId="0" fillId="0" borderId="11" xfId="0" applyFont="1" applyFill="1" applyBorder="1" applyAlignment="1" applyProtection="1">
      <alignment horizontal="left"/>
      <protection/>
    </xf>
    <xf numFmtId="164" fontId="0" fillId="0" borderId="0" xfId="0" applyNumberFormat="1" applyFont="1" applyFill="1" applyAlignment="1" applyProtection="1">
      <alignment/>
      <protection/>
    </xf>
    <xf numFmtId="38" fontId="0" fillId="0" borderId="17" xfId="0" applyNumberFormat="1" applyFont="1" applyFill="1" applyBorder="1" applyAlignment="1" applyProtection="1">
      <alignment/>
      <protection locked="0"/>
    </xf>
    <xf numFmtId="0" fontId="0" fillId="0" borderId="20" xfId="0" applyFont="1" applyFill="1" applyBorder="1" applyAlignment="1" applyProtection="1">
      <alignment/>
      <protection locked="0"/>
    </xf>
    <xf numFmtId="38" fontId="0" fillId="33" borderId="13" xfId="0" applyNumberFormat="1" applyFont="1" applyFill="1" applyBorder="1" applyAlignment="1" applyProtection="1">
      <alignment/>
      <protection/>
    </xf>
    <xf numFmtId="38" fontId="0" fillId="0" borderId="21" xfId="0" applyNumberFormat="1" applyFont="1" applyFill="1" applyBorder="1" applyAlignment="1" applyProtection="1">
      <alignment/>
      <protection/>
    </xf>
    <xf numFmtId="166" fontId="0" fillId="0" borderId="21" xfId="0" applyNumberFormat="1" applyFont="1" applyFill="1" applyBorder="1" applyAlignment="1" applyProtection="1">
      <alignment/>
      <protection/>
    </xf>
    <xf numFmtId="38" fontId="0" fillId="0" borderId="10" xfId="0" applyNumberFormat="1" applyFont="1" applyFill="1" applyBorder="1" applyAlignment="1" applyProtection="1">
      <alignment/>
      <protection/>
    </xf>
    <xf numFmtId="166" fontId="0" fillId="0" borderId="14" xfId="0" applyNumberFormat="1" applyFont="1" applyFill="1" applyBorder="1" applyAlignment="1" applyProtection="1">
      <alignment/>
      <protection/>
    </xf>
    <xf numFmtId="38" fontId="0" fillId="0" borderId="14" xfId="0" applyNumberFormat="1" applyFont="1" applyFill="1" applyBorder="1" applyAlignment="1" applyProtection="1">
      <alignment/>
      <protection/>
    </xf>
    <xf numFmtId="166" fontId="0" fillId="0" borderId="14" xfId="0" applyNumberFormat="1" applyFont="1" applyFill="1" applyBorder="1" applyAlignment="1" applyProtection="1">
      <alignment/>
      <protection/>
    </xf>
    <xf numFmtId="185" fontId="0" fillId="0" borderId="14" xfId="0" applyNumberFormat="1" applyFont="1" applyFill="1" applyBorder="1" applyAlignment="1" applyProtection="1">
      <alignment horizontal="right"/>
      <protection locked="0"/>
    </xf>
    <xf numFmtId="38" fontId="0" fillId="0" borderId="14" xfId="0" applyNumberFormat="1" applyFont="1" applyFill="1" applyBorder="1" applyAlignment="1" applyProtection="1">
      <alignment horizontal="right"/>
      <protection locked="0"/>
    </xf>
    <xf numFmtId="166" fontId="0" fillId="0" borderId="14" xfId="60" applyNumberFormat="1" applyFont="1" applyFill="1" applyBorder="1" applyAlignment="1" applyProtection="1">
      <alignment horizontal="right"/>
      <protection/>
    </xf>
    <xf numFmtId="0" fontId="0" fillId="0" borderId="12" xfId="0" applyFont="1" applyFill="1" applyBorder="1" applyAlignment="1" applyProtection="1">
      <alignment/>
      <protection/>
    </xf>
    <xf numFmtId="0" fontId="0" fillId="0" borderId="0" xfId="0" applyFont="1" applyFill="1" applyBorder="1" applyAlignment="1" applyProtection="1">
      <alignment/>
      <protection/>
    </xf>
    <xf numFmtId="0" fontId="0" fillId="0" borderId="19" xfId="0" applyFont="1" applyFill="1" applyBorder="1" applyAlignment="1" applyProtection="1">
      <alignment/>
      <protection/>
    </xf>
    <xf numFmtId="0" fontId="0" fillId="0" borderId="14" xfId="0" applyFont="1" applyFill="1" applyBorder="1" applyAlignment="1" applyProtection="1">
      <alignment horizontal="center" wrapText="1"/>
      <protection/>
    </xf>
    <xf numFmtId="0" fontId="0" fillId="0" borderId="0" xfId="0" applyFont="1" applyFill="1" applyAlignment="1" applyProtection="1">
      <alignment horizontal="left"/>
      <protection/>
    </xf>
    <xf numFmtId="185" fontId="0" fillId="0" borderId="14" xfId="0" applyNumberFormat="1" applyFont="1" applyFill="1" applyBorder="1" applyAlignment="1" applyProtection="1">
      <alignment/>
      <protection locked="0"/>
    </xf>
    <xf numFmtId="185" fontId="0" fillId="0" borderId="13" xfId="0" applyNumberFormat="1" applyFont="1" applyFill="1" applyBorder="1" applyAlignment="1" applyProtection="1">
      <alignment/>
      <protection locked="0"/>
    </xf>
    <xf numFmtId="38" fontId="0" fillId="0" borderId="22" xfId="0" applyNumberFormat="1" applyFont="1" applyFill="1" applyBorder="1" applyAlignment="1" applyProtection="1">
      <alignment horizontal="right"/>
      <protection locked="0"/>
    </xf>
    <xf numFmtId="38" fontId="0" fillId="0" borderId="19" xfId="0" applyNumberFormat="1" applyFont="1" applyFill="1" applyBorder="1" applyAlignment="1" applyProtection="1">
      <alignment horizontal="right"/>
      <protection locked="0"/>
    </xf>
    <xf numFmtId="38" fontId="0" fillId="0" borderId="0" xfId="0" applyNumberFormat="1" applyFill="1" applyBorder="1" applyAlignment="1" applyProtection="1">
      <alignment/>
      <protection/>
    </xf>
    <xf numFmtId="38" fontId="0" fillId="0" borderId="14" xfId="0" applyNumberFormat="1" applyFill="1" applyBorder="1" applyAlignment="1" applyProtection="1">
      <alignment/>
      <protection locked="0"/>
    </xf>
    <xf numFmtId="38" fontId="0" fillId="0" borderId="13" xfId="0" applyNumberFormat="1" applyFill="1" applyBorder="1" applyAlignment="1" applyProtection="1">
      <alignment vertical="center"/>
      <protection locked="0"/>
    </xf>
    <xf numFmtId="38" fontId="0" fillId="0" borderId="14" xfId="0" applyNumberFormat="1" applyFill="1" applyBorder="1" applyAlignment="1" applyProtection="1">
      <alignment vertical="center"/>
      <protection locked="0"/>
    </xf>
    <xf numFmtId="38" fontId="0" fillId="0" borderId="26" xfId="0" applyNumberFormat="1" applyFill="1" applyBorder="1" applyAlignment="1" applyProtection="1">
      <alignment vertical="center"/>
      <protection locked="0"/>
    </xf>
    <xf numFmtId="38" fontId="0" fillId="0" borderId="27" xfId="0" applyNumberFormat="1" applyFill="1" applyBorder="1" applyAlignment="1" applyProtection="1">
      <alignment vertical="center"/>
      <protection/>
    </xf>
    <xf numFmtId="38" fontId="0" fillId="0" borderId="28" xfId="0" applyNumberFormat="1" applyFill="1" applyBorder="1" applyAlignment="1" applyProtection="1">
      <alignment vertical="center"/>
      <protection/>
    </xf>
    <xf numFmtId="164" fontId="0" fillId="0" borderId="0" xfId="0" applyNumberFormat="1" applyFill="1" applyAlignment="1" applyProtection="1">
      <alignment horizontal="right" vertical="center"/>
      <protection/>
    </xf>
    <xf numFmtId="0" fontId="0" fillId="0" borderId="0" xfId="0" applyFill="1" applyAlignment="1" applyProtection="1">
      <alignment vertical="center"/>
      <protection/>
    </xf>
    <xf numFmtId="0" fontId="0" fillId="0" borderId="0" xfId="0" applyFont="1" applyFill="1" applyAlignment="1" applyProtection="1">
      <alignment vertical="center"/>
      <protection/>
    </xf>
    <xf numFmtId="0" fontId="1" fillId="0" borderId="0" xfId="0" applyFont="1" applyFill="1" applyAlignment="1" applyProtection="1">
      <alignment vertical="center"/>
      <protection/>
    </xf>
    <xf numFmtId="164" fontId="0" fillId="0" borderId="0" xfId="0" applyNumberFormat="1" applyFill="1" applyAlignment="1" applyProtection="1">
      <alignment vertical="center"/>
      <protection/>
    </xf>
    <xf numFmtId="0" fontId="0" fillId="0" borderId="0" xfId="0" applyFont="1" applyFill="1" applyAlignment="1" applyProtection="1">
      <alignment horizontal="left" vertical="center"/>
      <protection/>
    </xf>
    <xf numFmtId="0" fontId="0" fillId="0" borderId="0" xfId="0" applyFont="1" applyFill="1" applyBorder="1" applyAlignment="1" applyProtection="1">
      <alignment vertical="center"/>
      <protection/>
    </xf>
    <xf numFmtId="38" fontId="0" fillId="0" borderId="0" xfId="0" applyNumberFormat="1" applyFill="1" applyBorder="1" applyAlignment="1" applyProtection="1">
      <alignment vertical="center"/>
      <protection/>
    </xf>
    <xf numFmtId="0" fontId="0" fillId="0" borderId="23" xfId="0" applyFont="1" applyFill="1" applyBorder="1" applyAlignment="1" applyProtection="1">
      <alignment horizontal="center" wrapText="1"/>
      <protection/>
    </xf>
    <xf numFmtId="0" fontId="0" fillId="0" borderId="21" xfId="0" applyFont="1" applyFill="1" applyBorder="1" applyAlignment="1" applyProtection="1">
      <alignment horizontal="center" wrapText="1"/>
      <protection/>
    </xf>
    <xf numFmtId="166" fontId="0" fillId="0" borderId="23" xfId="0" applyNumberFormat="1" applyFont="1" applyFill="1" applyBorder="1" applyAlignment="1" applyProtection="1">
      <alignment/>
      <protection/>
    </xf>
    <xf numFmtId="38" fontId="0" fillId="0" borderId="23" xfId="0" applyNumberFormat="1" applyFont="1" applyFill="1" applyBorder="1" applyAlignment="1" applyProtection="1">
      <alignment/>
      <protection/>
    </xf>
    <xf numFmtId="166" fontId="0" fillId="0" borderId="21" xfId="60" applyNumberFormat="1" applyFont="1" applyFill="1" applyBorder="1" applyAlignment="1" applyProtection="1">
      <alignment horizontal="right"/>
      <protection/>
    </xf>
    <xf numFmtId="166" fontId="0" fillId="0" borderId="13" xfId="60" applyNumberFormat="1" applyFont="1" applyFill="1" applyBorder="1" applyAlignment="1" applyProtection="1">
      <alignment horizontal="right"/>
      <protection/>
    </xf>
    <xf numFmtId="166" fontId="0" fillId="0" borderId="13" xfId="0" applyNumberFormat="1" applyFont="1" applyFill="1" applyBorder="1" applyAlignment="1" applyProtection="1">
      <alignment/>
      <protection/>
    </xf>
    <xf numFmtId="38" fontId="0" fillId="0" borderId="22" xfId="0" applyNumberFormat="1" applyFont="1" applyFill="1" applyBorder="1" applyAlignment="1" applyProtection="1">
      <alignment/>
      <protection locked="0"/>
    </xf>
    <xf numFmtId="38" fontId="0" fillId="0" borderId="22" xfId="0" applyNumberFormat="1" applyFont="1" applyFill="1" applyBorder="1" applyAlignment="1" applyProtection="1">
      <alignment/>
      <protection/>
    </xf>
    <xf numFmtId="38" fontId="0" fillId="0" borderId="11" xfId="0" applyNumberFormat="1" applyFont="1" applyFill="1" applyBorder="1" applyAlignment="1" applyProtection="1">
      <alignment/>
      <protection locked="0"/>
    </xf>
    <xf numFmtId="38" fontId="0" fillId="0" borderId="11" xfId="0" applyNumberFormat="1" applyFont="1" applyFill="1" applyBorder="1" applyAlignment="1" applyProtection="1">
      <alignment/>
      <protection/>
    </xf>
    <xf numFmtId="166" fontId="0" fillId="0" borderId="23" xfId="0" applyNumberFormat="1" applyFont="1" applyFill="1" applyBorder="1" applyAlignment="1" applyProtection="1">
      <alignment/>
      <protection/>
    </xf>
    <xf numFmtId="37" fontId="0" fillId="0" borderId="21" xfId="0" applyNumberFormat="1" applyFont="1" applyFill="1" applyBorder="1" applyAlignment="1" applyProtection="1">
      <alignment/>
      <protection/>
    </xf>
    <xf numFmtId="37" fontId="0" fillId="0" borderId="23" xfId="0" applyNumberFormat="1" applyFont="1" applyFill="1" applyBorder="1" applyAlignment="1" applyProtection="1">
      <alignment/>
      <protection/>
    </xf>
    <xf numFmtId="37" fontId="0" fillId="0" borderId="22" xfId="0" applyNumberFormat="1" applyFont="1" applyFill="1" applyBorder="1" applyAlignment="1" applyProtection="1">
      <alignment/>
      <protection locked="0"/>
    </xf>
    <xf numFmtId="37" fontId="0" fillId="0" borderId="23" xfId="0" applyNumberFormat="1" applyFont="1" applyFill="1" applyBorder="1" applyAlignment="1" applyProtection="1">
      <alignment/>
      <protection/>
    </xf>
    <xf numFmtId="37" fontId="0" fillId="0" borderId="21" xfId="0" applyNumberFormat="1" applyFont="1" applyFill="1" applyBorder="1" applyAlignment="1" applyProtection="1">
      <alignment/>
      <protection/>
    </xf>
    <xf numFmtId="37" fontId="0" fillId="0" borderId="11" xfId="0" applyNumberFormat="1" applyFont="1" applyFill="1" applyBorder="1" applyAlignment="1" applyProtection="1">
      <alignment/>
      <protection/>
    </xf>
    <xf numFmtId="37" fontId="0" fillId="0" borderId="22" xfId="0" applyNumberFormat="1" applyFont="1" applyFill="1" applyBorder="1" applyAlignment="1" applyProtection="1">
      <alignment/>
      <protection/>
    </xf>
    <xf numFmtId="37" fontId="0" fillId="0" borderId="10" xfId="0" applyNumberFormat="1" applyFont="1" applyFill="1" applyBorder="1" applyAlignment="1" applyProtection="1">
      <alignment/>
      <protection/>
    </xf>
    <xf numFmtId="38" fontId="0" fillId="0" borderId="23" xfId="0" applyNumberFormat="1" applyFont="1" applyFill="1" applyBorder="1" applyAlignment="1" applyProtection="1">
      <alignment/>
      <protection/>
    </xf>
    <xf numFmtId="166" fontId="0" fillId="0" borderId="23" xfId="60" applyNumberFormat="1" applyFont="1" applyFill="1" applyBorder="1" applyAlignment="1" applyProtection="1">
      <alignment/>
      <protection/>
    </xf>
    <xf numFmtId="166" fontId="0" fillId="0" borderId="13" xfId="60" applyNumberFormat="1" applyFont="1" applyFill="1" applyBorder="1" applyAlignment="1" applyProtection="1">
      <alignment/>
      <protection/>
    </xf>
    <xf numFmtId="164" fontId="0" fillId="0" borderId="20" xfId="0" applyNumberFormat="1" applyFont="1" applyFill="1" applyBorder="1" applyAlignment="1" applyProtection="1">
      <alignment/>
      <protection/>
    </xf>
    <xf numFmtId="185" fontId="0" fillId="0" borderId="17" xfId="0" applyNumberFormat="1" applyFont="1" applyFill="1" applyBorder="1" applyAlignment="1" applyProtection="1">
      <alignment/>
      <protection locked="0"/>
    </xf>
    <xf numFmtId="0" fontId="0" fillId="0" borderId="21" xfId="0" applyBorder="1" applyAlignment="1" applyProtection="1">
      <alignment/>
      <protection/>
    </xf>
    <xf numFmtId="185" fontId="0" fillId="0" borderId="18" xfId="0" applyNumberFormat="1" applyFont="1" applyFill="1" applyBorder="1" applyAlignment="1" applyProtection="1">
      <alignment/>
      <protection/>
    </xf>
    <xf numFmtId="185" fontId="0" fillId="0" borderId="23" xfId="0" applyNumberFormat="1" applyFont="1" applyFill="1" applyBorder="1" applyAlignment="1" applyProtection="1">
      <alignment/>
      <protection/>
    </xf>
    <xf numFmtId="185" fontId="0" fillId="0" borderId="15" xfId="0" applyNumberFormat="1" applyFont="1" applyFill="1" applyBorder="1" applyAlignment="1" applyProtection="1">
      <alignment/>
      <protection/>
    </xf>
    <xf numFmtId="185" fontId="0" fillId="0" borderId="23" xfId="0" applyNumberFormat="1" applyFont="1" applyFill="1" applyBorder="1" applyAlignment="1" applyProtection="1">
      <alignment/>
      <protection/>
    </xf>
    <xf numFmtId="166" fontId="0" fillId="0" borderId="13" xfId="60" applyNumberFormat="1" applyFont="1" applyFill="1" applyBorder="1" applyAlignment="1" applyProtection="1">
      <alignment/>
      <protection/>
    </xf>
    <xf numFmtId="0" fontId="0" fillId="0" borderId="10" xfId="0" applyBorder="1" applyAlignment="1" applyProtection="1">
      <alignment/>
      <protection/>
    </xf>
    <xf numFmtId="38" fontId="0" fillId="0" borderId="13" xfId="0" applyNumberFormat="1" applyFill="1" applyBorder="1" applyAlignment="1" applyProtection="1">
      <alignment/>
      <protection locked="0"/>
    </xf>
    <xf numFmtId="0" fontId="0" fillId="0" borderId="23" xfId="0" applyFill="1" applyBorder="1" applyAlignment="1" applyProtection="1">
      <alignment/>
      <protection/>
    </xf>
    <xf numFmtId="38" fontId="0" fillId="0" borderId="29" xfId="0" applyNumberFormat="1" applyFill="1" applyBorder="1" applyAlignment="1" applyProtection="1">
      <alignment/>
      <protection/>
    </xf>
    <xf numFmtId="0" fontId="54" fillId="0" borderId="0" xfId="0" applyFont="1" applyFill="1" applyBorder="1" applyAlignment="1">
      <alignment/>
    </xf>
    <xf numFmtId="0" fontId="54" fillId="0" borderId="0" xfId="0" applyFont="1" applyFill="1" applyBorder="1" applyAlignment="1">
      <alignment horizontal="left"/>
    </xf>
    <xf numFmtId="0" fontId="54" fillId="0" borderId="12" xfId="0" applyFont="1" applyFill="1" applyBorder="1" applyAlignment="1">
      <alignment/>
    </xf>
    <xf numFmtId="0" fontId="54" fillId="0" borderId="13" xfId="0" applyFont="1" applyFill="1" applyBorder="1" applyAlignment="1">
      <alignment horizontal="center"/>
    </xf>
    <xf numFmtId="38" fontId="54" fillId="0" borderId="14" xfId="0" applyNumberFormat="1" applyFont="1" applyFill="1" applyBorder="1" applyAlignment="1" applyProtection="1">
      <alignment/>
      <protection/>
    </xf>
    <xf numFmtId="38" fontId="54" fillId="0" borderId="13" xfId="0" applyNumberFormat="1" applyFont="1" applyFill="1" applyBorder="1" applyAlignment="1" applyProtection="1">
      <alignment/>
      <protection/>
    </xf>
    <xf numFmtId="0" fontId="54" fillId="0" borderId="21" xfId="0" applyFont="1" applyFill="1" applyBorder="1" applyAlignment="1" applyProtection="1">
      <alignment/>
      <protection/>
    </xf>
    <xf numFmtId="38" fontId="54" fillId="0" borderId="13" xfId="0" applyNumberFormat="1" applyFont="1" applyFill="1" applyBorder="1" applyAlignment="1" applyProtection="1">
      <alignment/>
      <protection/>
    </xf>
    <xf numFmtId="0" fontId="54" fillId="0" borderId="17" xfId="0" applyFont="1" applyFill="1" applyBorder="1" applyAlignment="1">
      <alignment/>
    </xf>
    <xf numFmtId="38" fontId="54" fillId="0" borderId="23" xfId="0" applyNumberFormat="1" applyFont="1" applyFill="1" applyBorder="1" applyAlignment="1" applyProtection="1">
      <alignment/>
      <protection/>
    </xf>
    <xf numFmtId="0" fontId="54" fillId="0" borderId="21" xfId="0" applyFont="1" applyFill="1" applyBorder="1" applyAlignment="1" applyProtection="1">
      <alignment/>
      <protection/>
    </xf>
    <xf numFmtId="0" fontId="54" fillId="0" borderId="24" xfId="0" applyFont="1" applyFill="1" applyBorder="1" applyAlignment="1">
      <alignment/>
    </xf>
    <xf numFmtId="0" fontId="54" fillId="0" borderId="16" xfId="0" applyFont="1" applyFill="1" applyBorder="1" applyAlignment="1">
      <alignment/>
    </xf>
    <xf numFmtId="0" fontId="54" fillId="0" borderId="0" xfId="0" applyFont="1" applyFill="1" applyBorder="1" applyAlignment="1">
      <alignment horizontal="right"/>
    </xf>
    <xf numFmtId="0" fontId="54" fillId="0" borderId="21" xfId="0" applyFont="1" applyFill="1" applyBorder="1" applyAlignment="1">
      <alignment horizontal="center"/>
    </xf>
    <xf numFmtId="0" fontId="54" fillId="0" borderId="23" xfId="0" applyFont="1" applyFill="1" applyBorder="1" applyAlignment="1">
      <alignment horizontal="center"/>
    </xf>
    <xf numFmtId="0" fontId="54" fillId="0" borderId="0" xfId="0" applyFont="1" applyFill="1" applyBorder="1" applyAlignment="1" applyProtection="1">
      <alignment/>
      <protection/>
    </xf>
    <xf numFmtId="38" fontId="54" fillId="0" borderId="21" xfId="0" applyNumberFormat="1" applyFont="1" applyFill="1" applyBorder="1" applyAlignment="1" applyProtection="1">
      <alignment/>
      <protection/>
    </xf>
    <xf numFmtId="0" fontId="54" fillId="0" borderId="0" xfId="0" applyFont="1" applyFill="1" applyBorder="1" applyAlignment="1" applyProtection="1">
      <alignment vertical="center" wrapText="1"/>
      <protection/>
    </xf>
    <xf numFmtId="0" fontId="55" fillId="0" borderId="0" xfId="0" applyFont="1" applyFill="1" applyBorder="1" applyAlignment="1">
      <alignment/>
    </xf>
    <xf numFmtId="0" fontId="55" fillId="0" borderId="10" xfId="0" applyFont="1" applyFill="1" applyBorder="1" applyAlignment="1">
      <alignment/>
    </xf>
    <xf numFmtId="0" fontId="54" fillId="0" borderId="20" xfId="0" applyFont="1" applyFill="1" applyBorder="1" applyAlignment="1">
      <alignment/>
    </xf>
    <xf numFmtId="0" fontId="54" fillId="0" borderId="11" xfId="0" applyFont="1" applyFill="1" applyBorder="1" applyAlignment="1">
      <alignment/>
    </xf>
    <xf numFmtId="0" fontId="54" fillId="0" borderId="15" xfId="0" applyFont="1" applyFill="1" applyBorder="1" applyAlignment="1">
      <alignment horizontal="center"/>
    </xf>
    <xf numFmtId="0" fontId="54" fillId="0" borderId="17" xfId="0" applyFont="1" applyFill="1" applyBorder="1" applyAlignment="1">
      <alignment horizontal="center"/>
    </xf>
    <xf numFmtId="166" fontId="0" fillId="0" borderId="21" xfId="0" applyNumberFormat="1" applyFont="1" applyFill="1" applyBorder="1" applyAlignment="1" applyProtection="1">
      <alignment/>
      <protection/>
    </xf>
    <xf numFmtId="166" fontId="0" fillId="0" borderId="13" xfId="0" applyNumberFormat="1" applyFont="1" applyFill="1" applyBorder="1" applyAlignment="1" applyProtection="1">
      <alignment/>
      <protection/>
    </xf>
    <xf numFmtId="0" fontId="54" fillId="0" borderId="22" xfId="0" applyFont="1" applyFill="1" applyBorder="1" applyAlignment="1">
      <alignment/>
    </xf>
    <xf numFmtId="166" fontId="0" fillId="0" borderId="14" xfId="0" applyNumberFormat="1" applyFont="1" applyFill="1" applyBorder="1" applyAlignment="1" applyProtection="1">
      <alignment/>
      <protection/>
    </xf>
    <xf numFmtId="166" fontId="0" fillId="0" borderId="23" xfId="0" applyNumberFormat="1" applyFont="1" applyFill="1" applyBorder="1" applyAlignment="1" applyProtection="1">
      <alignment/>
      <protection/>
    </xf>
    <xf numFmtId="0" fontId="54" fillId="0" borderId="19" xfId="0" applyFont="1" applyFill="1" applyBorder="1" applyAlignment="1">
      <alignment/>
    </xf>
    <xf numFmtId="0" fontId="54" fillId="0" borderId="10" xfId="0" applyFont="1" applyFill="1" applyBorder="1" applyAlignment="1">
      <alignment/>
    </xf>
    <xf numFmtId="0" fontId="54" fillId="0" borderId="18" xfId="0" applyFont="1" applyFill="1" applyBorder="1" applyAlignment="1">
      <alignment/>
    </xf>
    <xf numFmtId="0" fontId="55" fillId="0" borderId="11" xfId="0" applyFont="1" applyFill="1" applyBorder="1" applyAlignment="1">
      <alignment horizontal="left"/>
    </xf>
    <xf numFmtId="0" fontId="55" fillId="0" borderId="22" xfId="0" applyFont="1" applyFill="1" applyBorder="1" applyAlignment="1">
      <alignment horizontal="left"/>
    </xf>
    <xf numFmtId="0" fontId="54" fillId="0" borderId="11" xfId="0" applyFont="1" applyFill="1" applyBorder="1" applyAlignment="1">
      <alignment horizontal="left"/>
    </xf>
    <xf numFmtId="0" fontId="55" fillId="0" borderId="11" xfId="0" applyFont="1" applyFill="1" applyBorder="1" applyAlignment="1">
      <alignment/>
    </xf>
    <xf numFmtId="0" fontId="55" fillId="0" borderId="0" xfId="0" applyFont="1" applyFill="1" applyBorder="1" applyAlignment="1">
      <alignment horizontal="left"/>
    </xf>
    <xf numFmtId="0" fontId="54" fillId="0" borderId="15" xfId="0" applyFont="1" applyFill="1" applyBorder="1" applyAlignment="1">
      <alignment/>
    </xf>
    <xf numFmtId="0" fontId="55" fillId="0" borderId="12" xfId="0" applyFont="1" applyFill="1" applyBorder="1" applyAlignment="1">
      <alignment horizontal="left"/>
    </xf>
    <xf numFmtId="164" fontId="0" fillId="0" borderId="0" xfId="0" applyNumberFormat="1" applyFill="1" applyAlignment="1" applyProtection="1">
      <alignment vertical="top"/>
      <protection/>
    </xf>
    <xf numFmtId="166" fontId="0" fillId="0" borderId="15" xfId="0" applyNumberFormat="1" applyFont="1" applyFill="1" applyBorder="1" applyAlignment="1" applyProtection="1">
      <alignment/>
      <protection/>
    </xf>
    <xf numFmtId="38" fontId="54" fillId="0" borderId="22" xfId="0" applyNumberFormat="1" applyFont="1" applyFill="1" applyBorder="1" applyAlignment="1" applyProtection="1">
      <alignment/>
      <protection/>
    </xf>
    <xf numFmtId="0" fontId="54" fillId="0" borderId="10" xfId="0" applyFont="1" applyFill="1" applyBorder="1" applyAlignment="1" applyProtection="1">
      <alignment/>
      <protection/>
    </xf>
    <xf numFmtId="0" fontId="54" fillId="0" borderId="21" xfId="0" applyFont="1" applyFill="1" applyBorder="1" applyAlignment="1">
      <alignment/>
    </xf>
    <xf numFmtId="38" fontId="54" fillId="0" borderId="11" xfId="0" applyNumberFormat="1" applyFont="1" applyFill="1" applyBorder="1" applyAlignment="1" applyProtection="1">
      <alignment/>
      <protection/>
    </xf>
    <xf numFmtId="0" fontId="9" fillId="0" borderId="0" xfId="57" applyFont="1" applyAlignment="1">
      <alignment horizontal="center" vertical="top" wrapText="1"/>
      <protection/>
    </xf>
    <xf numFmtId="0" fontId="9" fillId="0" borderId="0" xfId="57" applyFont="1" applyFill="1" applyAlignment="1">
      <alignment horizontal="center" vertical="top" wrapText="1"/>
      <protection/>
    </xf>
    <xf numFmtId="0" fontId="0" fillId="0" borderId="0" xfId="0" applyAlignment="1">
      <alignment horizontal="center" vertical="top"/>
    </xf>
    <xf numFmtId="0" fontId="0" fillId="0" borderId="0" xfId="0" applyAlignment="1">
      <alignment vertical="top"/>
    </xf>
    <xf numFmtId="0" fontId="0" fillId="0" borderId="0" xfId="0" applyAlignment="1">
      <alignment horizontal="center" vertical="top" wrapText="1"/>
    </xf>
    <xf numFmtId="0" fontId="56" fillId="0" borderId="0" xfId="53" applyFont="1" applyFill="1" applyAlignment="1" applyProtection="1">
      <alignment horizontal="centerContinuous"/>
      <protection/>
    </xf>
    <xf numFmtId="0" fontId="0" fillId="0" borderId="11" xfId="0" applyFill="1" applyBorder="1" applyAlignment="1" applyProtection="1">
      <alignment/>
      <protection/>
    </xf>
    <xf numFmtId="0" fontId="57" fillId="0" borderId="0" xfId="53" applyFont="1" applyFill="1" applyAlignment="1" applyProtection="1">
      <alignment horizontal="centerContinuous"/>
      <protection/>
    </xf>
    <xf numFmtId="0" fontId="9" fillId="0" borderId="0" xfId="57" applyFont="1" applyAlignment="1">
      <alignment horizontal="center" vertical="top"/>
      <protection/>
    </xf>
    <xf numFmtId="0" fontId="0" fillId="0" borderId="0" xfId="0" applyFont="1" applyFill="1" applyAlignment="1">
      <alignment horizontal="center" vertical="top" wrapText="1"/>
    </xf>
    <xf numFmtId="0" fontId="58" fillId="0" borderId="0" xfId="0" applyFont="1" applyFill="1" applyAlignment="1" applyProtection="1">
      <alignment/>
      <protection/>
    </xf>
    <xf numFmtId="0" fontId="58" fillId="0" borderId="0" xfId="0" applyFont="1" applyFill="1" applyBorder="1" applyAlignment="1" applyProtection="1">
      <alignment/>
      <protection/>
    </xf>
    <xf numFmtId="0" fontId="58" fillId="0" borderId="0" xfId="0" applyFont="1" applyFill="1" applyBorder="1" applyAlignment="1" applyProtection="1">
      <alignment horizontal="centerContinuous"/>
      <protection/>
    </xf>
    <xf numFmtId="49" fontId="0" fillId="0" borderId="12" xfId="0" applyNumberFormat="1" applyFont="1" applyFill="1" applyBorder="1" applyAlignment="1" applyProtection="1">
      <alignment horizontal="center"/>
      <protection locked="0"/>
    </xf>
    <xf numFmtId="0" fontId="56" fillId="34" borderId="20" xfId="53" applyFont="1" applyFill="1" applyBorder="1" applyAlignment="1" applyProtection="1">
      <alignment/>
      <protection/>
    </xf>
    <xf numFmtId="0" fontId="56" fillId="34" borderId="0" xfId="53" applyFont="1" applyFill="1" applyBorder="1" applyAlignment="1" applyProtection="1">
      <alignment/>
      <protection/>
    </xf>
    <xf numFmtId="0" fontId="57" fillId="34" borderId="0" xfId="53" applyFont="1" applyFill="1" applyAlignment="1" applyProtection="1">
      <alignment/>
      <protection/>
    </xf>
    <xf numFmtId="0" fontId="57" fillId="34" borderId="0" xfId="53" applyFont="1" applyFill="1" applyAlignment="1" applyProtection="1">
      <alignment horizontal="centerContinuous"/>
      <protection/>
    </xf>
    <xf numFmtId="0" fontId="56" fillId="34" borderId="12" xfId="53" applyFont="1" applyFill="1" applyBorder="1" applyAlignment="1" applyProtection="1">
      <alignment/>
      <protection/>
    </xf>
    <xf numFmtId="49" fontId="0" fillId="0" borderId="12" xfId="0" applyNumberFormat="1" applyFont="1" applyFill="1" applyBorder="1" applyAlignment="1" applyProtection="1">
      <alignment horizontal="center"/>
      <protection/>
    </xf>
    <xf numFmtId="49" fontId="0" fillId="0" borderId="12" xfId="0" applyNumberFormat="1" applyFill="1" applyBorder="1" applyAlignment="1" applyProtection="1">
      <alignment horizontal="center"/>
      <protection/>
    </xf>
    <xf numFmtId="0" fontId="59" fillId="0" borderId="0" xfId="53" applyFont="1" applyFill="1" applyAlignment="1" applyProtection="1">
      <alignment horizontal="center" vertical="top"/>
      <protection/>
    </xf>
    <xf numFmtId="0" fontId="59" fillId="34" borderId="23" xfId="53" applyFont="1" applyFill="1" applyBorder="1" applyAlignment="1" applyProtection="1">
      <alignment horizontal="center"/>
      <protection/>
    </xf>
    <xf numFmtId="0" fontId="59" fillId="34" borderId="12" xfId="53" applyFont="1" applyFill="1" applyBorder="1" applyAlignment="1" applyProtection="1">
      <alignment/>
      <protection/>
    </xf>
    <xf numFmtId="0" fontId="60" fillId="34" borderId="0" xfId="53" applyFont="1" applyFill="1" applyAlignment="1" applyProtection="1">
      <alignment horizontal="centerContinuous"/>
      <protection/>
    </xf>
    <xf numFmtId="0" fontId="60" fillId="34" borderId="0" xfId="53" applyFont="1" applyFill="1" applyAlignment="1" applyProtection="1">
      <alignment horizontal="left" vertical="center"/>
      <protection/>
    </xf>
    <xf numFmtId="0" fontId="59" fillId="34" borderId="11" xfId="53" applyFont="1" applyFill="1" applyBorder="1" applyAlignment="1" applyProtection="1">
      <alignment/>
      <protection/>
    </xf>
    <xf numFmtId="0" fontId="59" fillId="34" borderId="10" xfId="53" applyFont="1" applyFill="1" applyBorder="1" applyAlignment="1" applyProtection="1">
      <alignment/>
      <protection/>
    </xf>
    <xf numFmtId="164" fontId="0" fillId="0" borderId="16" xfId="0" applyNumberFormat="1" applyBorder="1" applyAlignment="1">
      <alignment/>
    </xf>
    <xf numFmtId="0" fontId="59" fillId="34" borderId="0" xfId="53" applyFont="1" applyFill="1" applyAlignment="1" applyProtection="1">
      <alignment vertical="center"/>
      <protection/>
    </xf>
    <xf numFmtId="164" fontId="0" fillId="0" borderId="0" xfId="0" applyNumberFormat="1" applyAlignment="1">
      <alignment/>
    </xf>
    <xf numFmtId="0" fontId="60" fillId="34" borderId="0" xfId="53" applyFont="1" applyFill="1" applyAlignment="1" applyProtection="1">
      <alignment horizontal="centerContinuous" vertical="center"/>
      <protection/>
    </xf>
    <xf numFmtId="38" fontId="0" fillId="0" borderId="0" xfId="0" applyNumberFormat="1" applyFont="1" applyFill="1" applyAlignment="1" applyProtection="1">
      <alignment/>
      <protection/>
    </xf>
    <xf numFmtId="0" fontId="12" fillId="34" borderId="0" xfId="53" applyFont="1" applyFill="1" applyBorder="1" applyAlignment="1" applyProtection="1">
      <alignment horizontal="centerContinuous"/>
      <protection/>
    </xf>
    <xf numFmtId="0" fontId="0" fillId="0" borderId="0" xfId="0" applyFont="1" applyAlignment="1">
      <alignment horizontal="center" vertical="top" wrapText="1"/>
    </xf>
    <xf numFmtId="0" fontId="59" fillId="0" borderId="0" xfId="53" applyFont="1" applyAlignment="1" applyProtection="1">
      <alignment horizontal="center" vertical="top" wrapText="1"/>
      <protection/>
    </xf>
    <xf numFmtId="0" fontId="0" fillId="0" borderId="23" xfId="0" applyFont="1" applyFill="1" applyBorder="1" applyAlignment="1" applyProtection="1">
      <alignment horizontal="center"/>
      <protection/>
    </xf>
    <xf numFmtId="0" fontId="0" fillId="0" borderId="21" xfId="0" applyFont="1" applyFill="1" applyBorder="1" applyAlignment="1" applyProtection="1">
      <alignment horizontal="center"/>
      <protection/>
    </xf>
    <xf numFmtId="38" fontId="54" fillId="0" borderId="0" xfId="0" applyNumberFormat="1" applyFont="1" applyFill="1" applyBorder="1" applyAlignment="1" applyProtection="1">
      <alignment/>
      <protection/>
    </xf>
    <xf numFmtId="166" fontId="0" fillId="0" borderId="0" xfId="0" applyNumberFormat="1" applyFont="1" applyFill="1" applyBorder="1" applyAlignment="1" applyProtection="1">
      <alignment/>
      <protection/>
    </xf>
    <xf numFmtId="164" fontId="0" fillId="0" borderId="0" xfId="0" applyNumberFormat="1" applyFill="1" applyAlignment="1">
      <alignment/>
    </xf>
    <xf numFmtId="0" fontId="0" fillId="0" borderId="0" xfId="0" applyFont="1" applyFill="1" applyAlignment="1">
      <alignment horizontal="justify" vertical="top" wrapText="1"/>
    </xf>
    <xf numFmtId="38" fontId="0" fillId="0" borderId="21" xfId="0" applyNumberFormat="1" applyFill="1" applyBorder="1" applyAlignment="1" applyProtection="1">
      <alignment vertical="center"/>
      <protection locked="0"/>
    </xf>
    <xf numFmtId="38" fontId="0" fillId="33" borderId="23" xfId="0" applyNumberFormat="1" applyFont="1" applyFill="1" applyBorder="1" applyAlignment="1" applyProtection="1">
      <alignment/>
      <protection/>
    </xf>
    <xf numFmtId="37" fontId="0" fillId="0" borderId="17" xfId="0" applyNumberFormat="1" applyFont="1" applyFill="1" applyBorder="1" applyAlignment="1" applyProtection="1">
      <alignment/>
      <protection locked="0"/>
    </xf>
    <xf numFmtId="37" fontId="0" fillId="0" borderId="15" xfId="0" applyNumberFormat="1" applyFont="1" applyFill="1" applyBorder="1" applyAlignment="1" applyProtection="1">
      <alignment/>
      <protection/>
    </xf>
    <xf numFmtId="0" fontId="59" fillId="0" borderId="0" xfId="53" applyFont="1" applyFill="1" applyAlignment="1" applyProtection="1">
      <alignment vertical="center"/>
      <protection/>
    </xf>
    <xf numFmtId="38" fontId="0" fillId="0" borderId="0" xfId="0" applyNumberFormat="1" applyFont="1" applyFill="1" applyBorder="1" applyAlignment="1" applyProtection="1">
      <alignment vertical="center" readingOrder="1"/>
      <protection/>
    </xf>
    <xf numFmtId="38" fontId="0" fillId="0" borderId="0" xfId="0" applyNumberFormat="1" applyFill="1" applyBorder="1" applyAlignment="1" applyProtection="1">
      <alignment vertical="center" readingOrder="1"/>
      <protection/>
    </xf>
    <xf numFmtId="0" fontId="59" fillId="0" borderId="0" xfId="53" applyFont="1" applyFill="1" applyBorder="1" applyAlignment="1" applyProtection="1">
      <alignment vertical="center"/>
      <protection/>
    </xf>
    <xf numFmtId="0" fontId="0" fillId="34" borderId="0" xfId="0" applyFill="1" applyAlignment="1" applyProtection="1">
      <alignment vertical="center"/>
      <protection/>
    </xf>
    <xf numFmtId="38" fontId="0" fillId="34" borderId="0" xfId="0" applyNumberFormat="1" applyFill="1" applyBorder="1" applyAlignment="1" applyProtection="1">
      <alignment vertical="center"/>
      <protection/>
    </xf>
    <xf numFmtId="38" fontId="0" fillId="0" borderId="14" xfId="0" applyNumberFormat="1" applyFill="1" applyBorder="1" applyAlignment="1" applyProtection="1">
      <alignment vertical="center"/>
      <protection/>
    </xf>
    <xf numFmtId="0" fontId="54" fillId="0" borderId="0" xfId="0" applyFont="1" applyFill="1" applyBorder="1" applyAlignment="1">
      <alignment horizontal="center"/>
    </xf>
    <xf numFmtId="0" fontId="55" fillId="0" borderId="0" xfId="0" applyFont="1" applyFill="1" applyBorder="1" applyAlignment="1">
      <alignment/>
    </xf>
    <xf numFmtId="38" fontId="0" fillId="33" borderId="21" xfId="0" applyNumberFormat="1" applyFont="1" applyFill="1" applyBorder="1" applyAlignment="1" applyProtection="1">
      <alignment/>
      <protection/>
    </xf>
    <xf numFmtId="38" fontId="0" fillId="33" borderId="14" xfId="0" applyNumberFormat="1" applyFont="1" applyFill="1" applyBorder="1" applyAlignment="1" applyProtection="1">
      <alignment/>
      <protection/>
    </xf>
    <xf numFmtId="38" fontId="0" fillId="33" borderId="10" xfId="0" applyNumberFormat="1" applyFont="1" applyFill="1" applyBorder="1" applyAlignment="1" applyProtection="1">
      <alignment/>
      <protection/>
    </xf>
    <xf numFmtId="38" fontId="0" fillId="33" borderId="11" xfId="0" applyNumberFormat="1" applyFont="1" applyFill="1" applyBorder="1" applyAlignment="1" applyProtection="1">
      <alignment/>
      <protection/>
    </xf>
    <xf numFmtId="38" fontId="0" fillId="33" borderId="22" xfId="0" applyNumberFormat="1" applyFont="1" applyFill="1" applyBorder="1" applyAlignment="1" applyProtection="1">
      <alignment/>
      <protection/>
    </xf>
    <xf numFmtId="166" fontId="0" fillId="0" borderId="0" xfId="0" applyNumberFormat="1" applyFont="1" applyFill="1" applyBorder="1" applyAlignment="1" applyProtection="1">
      <alignment/>
      <protection/>
    </xf>
    <xf numFmtId="0" fontId="59" fillId="34" borderId="20" xfId="53" applyFont="1" applyFill="1" applyBorder="1" applyAlignment="1" applyProtection="1">
      <alignment/>
      <protection/>
    </xf>
    <xf numFmtId="0" fontId="0" fillId="0" borderId="14" xfId="0" applyFill="1" applyBorder="1" applyAlignment="1" applyProtection="1">
      <alignment/>
      <protection locked="0"/>
    </xf>
    <xf numFmtId="164" fontId="0" fillId="0" borderId="0" xfId="0" applyNumberFormat="1" applyFont="1" applyFill="1" applyAlignment="1" applyProtection="1" quotePrefix="1">
      <alignment horizontal="right" vertical="center"/>
      <protection/>
    </xf>
    <xf numFmtId="165" fontId="0" fillId="0" borderId="24" xfId="0" applyNumberFormat="1" applyFill="1" applyBorder="1" applyAlignment="1" applyProtection="1">
      <alignment/>
      <protection locked="0"/>
    </xf>
    <xf numFmtId="38" fontId="0" fillId="0" borderId="13" xfId="0" applyNumberFormat="1" applyFill="1" applyBorder="1" applyAlignment="1" applyProtection="1">
      <alignment/>
      <protection/>
    </xf>
    <xf numFmtId="38" fontId="0" fillId="0" borderId="0" xfId="0" applyNumberFormat="1" applyFill="1" applyBorder="1" applyAlignment="1" applyProtection="1">
      <alignment/>
      <protection/>
    </xf>
    <xf numFmtId="0" fontId="57" fillId="0" borderId="0" xfId="53" applyFont="1" applyFill="1" applyAlignment="1" applyProtection="1">
      <alignment/>
      <protection/>
    </xf>
    <xf numFmtId="38" fontId="0" fillId="35" borderId="13" xfId="0" applyNumberFormat="1" applyFill="1" applyBorder="1" applyAlignment="1" applyProtection="1">
      <alignment vertical="center"/>
      <protection/>
    </xf>
    <xf numFmtId="0" fontId="0" fillId="0" borderId="0" xfId="0" applyFont="1" applyFill="1" applyBorder="1" applyAlignment="1" applyProtection="1">
      <alignment/>
      <protection/>
    </xf>
    <xf numFmtId="164" fontId="0" fillId="0" borderId="0" xfId="0" applyNumberFormat="1" applyFont="1" applyFill="1" applyBorder="1" applyAlignment="1" applyProtection="1" quotePrefix="1">
      <alignment horizontal="right" vertical="center"/>
      <protection/>
    </xf>
    <xf numFmtId="0" fontId="0" fillId="0" borderId="20" xfId="0" applyFont="1" applyFill="1" applyBorder="1" applyAlignment="1" applyProtection="1">
      <alignment horizontal="center"/>
      <protection/>
    </xf>
    <xf numFmtId="0" fontId="0" fillId="0" borderId="20" xfId="0" applyFill="1" applyBorder="1" applyAlignment="1" applyProtection="1">
      <alignment horizontal="center"/>
      <protection/>
    </xf>
    <xf numFmtId="168" fontId="0" fillId="0" borderId="12" xfId="0" applyNumberFormat="1" applyFill="1" applyBorder="1" applyAlignment="1" applyProtection="1">
      <alignment horizontal="center"/>
      <protection locked="0"/>
    </xf>
    <xf numFmtId="0" fontId="0" fillId="0" borderId="0" xfId="0" applyFill="1" applyAlignment="1" applyProtection="1">
      <alignment horizontal="justify" vertical="top" wrapText="1"/>
      <protection/>
    </xf>
    <xf numFmtId="0" fontId="0" fillId="0" borderId="0" xfId="0" applyFill="1" applyAlignment="1" applyProtection="1">
      <alignment vertical="top"/>
      <protection/>
    </xf>
    <xf numFmtId="0" fontId="0" fillId="0" borderId="12" xfId="0" applyFill="1" applyBorder="1" applyAlignment="1" applyProtection="1">
      <alignment/>
      <protection/>
    </xf>
    <xf numFmtId="0" fontId="0" fillId="0" borderId="30" xfId="0" applyFont="1" applyFill="1" applyBorder="1" applyAlignment="1" applyProtection="1">
      <alignment horizontal="center"/>
      <protection locked="0"/>
    </xf>
    <xf numFmtId="0" fontId="0" fillId="0" borderId="30" xfId="0" applyFont="1" applyFill="1" applyBorder="1" applyAlignment="1" applyProtection="1">
      <alignment horizontal="center"/>
      <protection locked="0"/>
    </xf>
    <xf numFmtId="0" fontId="0" fillId="0" borderId="12" xfId="0" applyFill="1" applyBorder="1" applyAlignment="1" applyProtection="1">
      <alignment/>
      <protection locked="0"/>
    </xf>
    <xf numFmtId="0" fontId="0" fillId="0" borderId="0" xfId="0" applyFont="1" applyFill="1" applyAlignment="1" applyProtection="1">
      <alignment/>
      <protection/>
    </xf>
    <xf numFmtId="0" fontId="0" fillId="0" borderId="0" xfId="0" applyFill="1" applyAlignment="1" applyProtection="1">
      <alignment/>
      <protection/>
    </xf>
    <xf numFmtId="0" fontId="0" fillId="0" borderId="0" xfId="0" applyFont="1" applyFill="1" applyAlignment="1">
      <alignment horizontal="left"/>
    </xf>
    <xf numFmtId="0" fontId="0" fillId="0" borderId="31" xfId="0" applyFill="1" applyBorder="1" applyAlignment="1" applyProtection="1">
      <alignment/>
      <protection locked="0"/>
    </xf>
    <xf numFmtId="0" fontId="1" fillId="0" borderId="0" xfId="0" applyFont="1" applyFill="1" applyAlignment="1" applyProtection="1">
      <alignment horizontal="center"/>
      <protection/>
    </xf>
    <xf numFmtId="0" fontId="11" fillId="34" borderId="0" xfId="53" applyFont="1" applyFill="1" applyAlignment="1" applyProtection="1">
      <alignment/>
      <protection/>
    </xf>
    <xf numFmtId="164" fontId="0" fillId="0" borderId="0" xfId="0" applyNumberFormat="1" applyFont="1" applyFill="1" applyAlignment="1" applyProtection="1">
      <alignment/>
      <protection/>
    </xf>
    <xf numFmtId="164" fontId="0" fillId="0" borderId="0" xfId="0" applyNumberFormat="1" applyFill="1" applyAlignment="1" applyProtection="1">
      <alignment/>
      <protection/>
    </xf>
    <xf numFmtId="0" fontId="0" fillId="0" borderId="0" xfId="0" applyFont="1" applyFill="1" applyAlignment="1" applyProtection="1">
      <alignment horizontal="left"/>
      <protection/>
    </xf>
    <xf numFmtId="168" fontId="0" fillId="0" borderId="0" xfId="0" applyNumberFormat="1" applyFont="1" applyFill="1" applyBorder="1" applyAlignment="1" applyProtection="1">
      <alignment horizontal="center"/>
      <protection/>
    </xf>
    <xf numFmtId="0" fontId="0" fillId="0" borderId="0" xfId="0" applyFont="1" applyFill="1" applyAlignment="1" applyProtection="1">
      <alignment horizontal="justify" wrapText="1"/>
      <protection/>
    </xf>
    <xf numFmtId="0" fontId="11" fillId="34" borderId="0" xfId="53" applyFont="1" applyFill="1" applyBorder="1" applyAlignment="1" applyProtection="1">
      <alignment horizontal="center"/>
      <protection/>
    </xf>
    <xf numFmtId="0" fontId="11" fillId="34" borderId="20" xfId="53" applyFont="1" applyFill="1" applyBorder="1" applyAlignment="1" applyProtection="1">
      <alignment horizontal="center"/>
      <protection/>
    </xf>
    <xf numFmtId="0" fontId="1" fillId="0" borderId="0" xfId="0" applyFont="1" applyFill="1" applyBorder="1" applyAlignment="1" applyProtection="1">
      <alignment horizontal="left"/>
      <protection/>
    </xf>
    <xf numFmtId="0" fontId="4" fillId="0" borderId="0" xfId="0" applyFont="1" applyFill="1" applyAlignment="1" applyProtection="1">
      <alignment horizontal="center"/>
      <protection/>
    </xf>
    <xf numFmtId="49" fontId="0" fillId="0" borderId="12" xfId="0" applyNumberFormat="1" applyFont="1" applyFill="1" applyBorder="1" applyAlignment="1" applyProtection="1">
      <alignment/>
      <protection locked="0"/>
    </xf>
    <xf numFmtId="49" fontId="0" fillId="0" borderId="12" xfId="0" applyNumberFormat="1" applyFill="1" applyBorder="1" applyAlignment="1" applyProtection="1">
      <alignment/>
      <protection locked="0"/>
    </xf>
    <xf numFmtId="0" fontId="0" fillId="0" borderId="12" xfId="0" applyFill="1" applyBorder="1" applyAlignment="1" applyProtection="1">
      <alignment horizontal="center"/>
      <protection locked="0"/>
    </xf>
    <xf numFmtId="0" fontId="12" fillId="34" borderId="0" xfId="53" applyFont="1" applyFill="1" applyAlignment="1" applyProtection="1">
      <alignment horizontal="right"/>
      <protection/>
    </xf>
    <xf numFmtId="0" fontId="6" fillId="0" borderId="15" xfId="53" applyFill="1" applyBorder="1" applyAlignment="1" applyProtection="1">
      <alignment horizontal="center" vertical="center"/>
      <protection/>
    </xf>
    <xf numFmtId="49" fontId="0" fillId="0" borderId="12" xfId="0" applyNumberFormat="1" applyFont="1" applyFill="1" applyBorder="1" applyAlignment="1" applyProtection="1">
      <alignment horizontal="center"/>
      <protection locked="0"/>
    </xf>
    <xf numFmtId="49" fontId="0" fillId="0" borderId="12" xfId="0" applyNumberFormat="1" applyFill="1" applyBorder="1" applyAlignment="1" applyProtection="1">
      <alignment horizontal="center"/>
      <protection locked="0"/>
    </xf>
    <xf numFmtId="168" fontId="0" fillId="0" borderId="24" xfId="0" applyNumberFormat="1" applyFill="1" applyBorder="1" applyAlignment="1" applyProtection="1">
      <alignment horizontal="left"/>
      <protection locked="0"/>
    </xf>
    <xf numFmtId="0" fontId="0" fillId="0" borderId="0" xfId="0" applyFill="1" applyAlignment="1" applyProtection="1">
      <alignment horizontal="center"/>
      <protection/>
    </xf>
    <xf numFmtId="0" fontId="0" fillId="0" borderId="0" xfId="0" applyFont="1" applyFill="1" applyAlignment="1" applyProtection="1">
      <alignment horizontal="center"/>
      <protection/>
    </xf>
    <xf numFmtId="168" fontId="0" fillId="0" borderId="12" xfId="0" applyNumberFormat="1" applyFill="1" applyBorder="1" applyAlignment="1" applyProtection="1">
      <alignment horizontal="left"/>
      <protection locked="0"/>
    </xf>
    <xf numFmtId="0" fontId="0" fillId="0" borderId="0" xfId="0" applyFill="1" applyAlignment="1" applyProtection="1">
      <alignment horizontal="left"/>
      <protection/>
    </xf>
    <xf numFmtId="0" fontId="15" fillId="34" borderId="0" xfId="53" applyFont="1" applyFill="1" applyBorder="1" applyAlignment="1" applyProtection="1">
      <alignment horizontal="center"/>
      <protection/>
    </xf>
    <xf numFmtId="0" fontId="15" fillId="34" borderId="15" xfId="53" applyFont="1" applyFill="1" applyBorder="1" applyAlignment="1" applyProtection="1">
      <alignment horizontal="center"/>
      <protection/>
    </xf>
    <xf numFmtId="49" fontId="0" fillId="0" borderId="12" xfId="0" applyNumberFormat="1" applyFont="1" applyFill="1" applyBorder="1" applyAlignment="1" applyProtection="1">
      <alignment horizontal="left"/>
      <protection/>
    </xf>
    <xf numFmtId="49" fontId="0" fillId="0" borderId="12" xfId="0" applyNumberFormat="1" applyFont="1" applyFill="1" applyBorder="1" applyAlignment="1" applyProtection="1">
      <alignment horizontal="center"/>
      <protection/>
    </xf>
    <xf numFmtId="0" fontId="0" fillId="0" borderId="12" xfId="0" applyFont="1" applyFill="1" applyBorder="1" applyAlignment="1" applyProtection="1">
      <alignment horizontal="center"/>
      <protection/>
    </xf>
    <xf numFmtId="0" fontId="6" fillId="0" borderId="0" xfId="53" applyFill="1" applyBorder="1" applyAlignment="1" applyProtection="1">
      <alignment horizontal="center" vertical="center"/>
      <protection/>
    </xf>
    <xf numFmtId="0" fontId="13" fillId="0" borderId="0" xfId="53" applyFont="1" applyFill="1" applyBorder="1" applyAlignment="1" applyProtection="1">
      <alignment horizontal="center" vertical="center"/>
      <protection/>
    </xf>
    <xf numFmtId="49" fontId="0" fillId="0" borderId="12" xfId="0" applyNumberFormat="1" applyFill="1" applyBorder="1" applyAlignment="1" applyProtection="1">
      <alignment horizontal="left"/>
      <protection/>
    </xf>
    <xf numFmtId="0" fontId="0" fillId="0" borderId="12" xfId="0" applyFill="1" applyBorder="1" applyAlignment="1" applyProtection="1">
      <alignment horizontal="left"/>
      <protection/>
    </xf>
    <xf numFmtId="49" fontId="0" fillId="0" borderId="12" xfId="0" applyNumberFormat="1" applyFill="1" applyBorder="1" applyAlignment="1" applyProtection="1">
      <alignment horizontal="center"/>
      <protection/>
    </xf>
    <xf numFmtId="0" fontId="0" fillId="0" borderId="12" xfId="0" applyFill="1" applyBorder="1" applyAlignment="1" applyProtection="1">
      <alignment horizontal="center"/>
      <protection/>
    </xf>
    <xf numFmtId="0" fontId="0" fillId="0" borderId="0" xfId="0" applyFont="1" applyFill="1" applyAlignment="1" applyProtection="1">
      <alignment horizontal="left" vertical="top" wrapText="1"/>
      <protection/>
    </xf>
    <xf numFmtId="0" fontId="0" fillId="0" borderId="15" xfId="0" applyFill="1" applyBorder="1" applyAlignment="1" applyProtection="1">
      <alignment horizontal="left" vertical="top" wrapText="1"/>
      <protection/>
    </xf>
    <xf numFmtId="0" fontId="0" fillId="0" borderId="14" xfId="0" applyFont="1" applyFill="1" applyBorder="1" applyAlignment="1" applyProtection="1">
      <alignment horizontal="center" wrapText="1"/>
      <protection/>
    </xf>
    <xf numFmtId="0" fontId="0" fillId="0" borderId="19" xfId="0" applyFont="1" applyFill="1" applyBorder="1" applyAlignment="1" applyProtection="1">
      <alignment horizontal="center"/>
      <protection/>
    </xf>
    <xf numFmtId="0" fontId="0" fillId="0" borderId="16" xfId="0" applyFont="1" applyFill="1" applyBorder="1" applyAlignment="1" applyProtection="1">
      <alignment horizontal="center"/>
      <protection/>
    </xf>
    <xf numFmtId="0" fontId="6" fillId="0" borderId="20" xfId="53" applyFill="1" applyBorder="1" applyAlignment="1" applyProtection="1">
      <alignment horizontal="center" vertical="center"/>
      <protection/>
    </xf>
    <xf numFmtId="0" fontId="0" fillId="0" borderId="12" xfId="0" applyFont="1" applyFill="1" applyBorder="1" applyAlignment="1" applyProtection="1">
      <alignment horizontal="left"/>
      <protection/>
    </xf>
    <xf numFmtId="38" fontId="54" fillId="0" borderId="19" xfId="0" applyNumberFormat="1" applyFont="1" applyFill="1" applyBorder="1" applyAlignment="1" applyProtection="1">
      <alignment horizontal="center"/>
      <protection/>
    </xf>
    <xf numFmtId="38" fontId="54" fillId="0" borderId="16" xfId="0" applyNumberFormat="1" applyFont="1" applyFill="1" applyBorder="1" applyAlignment="1" applyProtection="1">
      <alignment horizontal="center"/>
      <protection/>
    </xf>
    <xf numFmtId="0" fontId="55" fillId="0" borderId="0" xfId="0" applyFont="1" applyFill="1" applyBorder="1" applyAlignment="1">
      <alignment horizontal="center"/>
    </xf>
    <xf numFmtId="0" fontId="54" fillId="0" borderId="10" xfId="0" applyFont="1" applyFill="1" applyBorder="1" applyAlignment="1" applyProtection="1">
      <alignment horizontal="center" vertical="center" wrapText="1"/>
      <protection/>
    </xf>
    <xf numFmtId="0" fontId="54" fillId="0" borderId="20" xfId="0" applyFont="1" applyFill="1" applyBorder="1" applyAlignment="1" applyProtection="1">
      <alignment horizontal="center" vertical="center" wrapText="1"/>
      <protection/>
    </xf>
    <xf numFmtId="0" fontId="54" fillId="0" borderId="18" xfId="0" applyFont="1" applyFill="1" applyBorder="1" applyAlignment="1" applyProtection="1">
      <alignment horizontal="center" vertical="center" wrapText="1"/>
      <protection/>
    </xf>
    <xf numFmtId="0" fontId="54" fillId="0" borderId="11" xfId="0" applyFont="1" applyFill="1" applyBorder="1" applyAlignment="1" applyProtection="1">
      <alignment horizontal="center" vertical="center" wrapText="1"/>
      <protection/>
    </xf>
    <xf numFmtId="0" fontId="54" fillId="0" borderId="0" xfId="0" applyFont="1" applyFill="1" applyBorder="1" applyAlignment="1" applyProtection="1">
      <alignment horizontal="center" vertical="center" wrapText="1"/>
      <protection/>
    </xf>
    <xf numFmtId="0" fontId="54" fillId="0" borderId="15" xfId="0" applyFont="1" applyFill="1" applyBorder="1" applyAlignment="1" applyProtection="1">
      <alignment horizontal="center" vertical="center" wrapText="1"/>
      <protection/>
    </xf>
    <xf numFmtId="0" fontId="54" fillId="0" borderId="22" xfId="0" applyFont="1" applyFill="1" applyBorder="1" applyAlignment="1" applyProtection="1">
      <alignment horizontal="center" vertical="center" wrapText="1"/>
      <protection/>
    </xf>
    <xf numFmtId="0" fontId="54" fillId="0" borderId="12" xfId="0" applyFont="1" applyFill="1" applyBorder="1" applyAlignment="1" applyProtection="1">
      <alignment horizontal="center" vertical="center" wrapText="1"/>
      <protection/>
    </xf>
    <xf numFmtId="0" fontId="54" fillId="0" borderId="17" xfId="0" applyFont="1" applyFill="1" applyBorder="1" applyAlignment="1" applyProtection="1">
      <alignment horizontal="center" vertical="center" wrapText="1"/>
      <protection/>
    </xf>
    <xf numFmtId="0" fontId="54" fillId="0" borderId="10" xfId="0" applyFont="1" applyFill="1" applyBorder="1" applyAlignment="1">
      <alignment horizontal="center"/>
    </xf>
    <xf numFmtId="0" fontId="54" fillId="0" borderId="18" xfId="0" applyFont="1" applyFill="1" applyBorder="1" applyAlignment="1">
      <alignment horizontal="center"/>
    </xf>
    <xf numFmtId="0" fontId="54" fillId="0" borderId="19" xfId="0" applyFont="1" applyFill="1" applyBorder="1" applyAlignment="1">
      <alignment horizontal="center"/>
    </xf>
    <xf numFmtId="0" fontId="54" fillId="0" borderId="16" xfId="0" applyFont="1" applyFill="1" applyBorder="1" applyAlignment="1">
      <alignment horizontal="center"/>
    </xf>
    <xf numFmtId="0" fontId="54" fillId="0" borderId="22" xfId="0" applyFont="1" applyFill="1" applyBorder="1" applyAlignment="1">
      <alignment horizontal="left"/>
    </xf>
    <xf numFmtId="0" fontId="54" fillId="0" borderId="12" xfId="0" applyFont="1" applyFill="1" applyBorder="1" applyAlignment="1">
      <alignment horizontal="left"/>
    </xf>
    <xf numFmtId="0" fontId="55" fillId="0" borderId="19" xfId="0" applyFont="1" applyFill="1" applyBorder="1" applyAlignment="1">
      <alignment horizontal="center"/>
    </xf>
    <xf numFmtId="0" fontId="55" fillId="0" borderId="24" xfId="0" applyFont="1" applyFill="1" applyBorder="1" applyAlignment="1">
      <alignment horizontal="center"/>
    </xf>
    <xf numFmtId="0" fontId="55" fillId="0" borderId="16" xfId="0" applyFont="1" applyFill="1" applyBorder="1" applyAlignment="1">
      <alignment horizontal="center"/>
    </xf>
    <xf numFmtId="0" fontId="0" fillId="0" borderId="31" xfId="0" applyFont="1" applyFill="1" applyBorder="1" applyAlignment="1" applyProtection="1">
      <alignment/>
      <protection locked="0"/>
    </xf>
    <xf numFmtId="0" fontId="0" fillId="0" borderId="12" xfId="0" applyFont="1" applyFill="1" applyBorder="1" applyAlignment="1" applyProtection="1">
      <alignment/>
      <protection locked="0"/>
    </xf>
    <xf numFmtId="0" fontId="0" fillId="0" borderId="12" xfId="0" applyFont="1" applyFill="1" applyBorder="1" applyAlignment="1" applyProtection="1">
      <alignment horizont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overGen" /></Relationships>
</file>

<file path=xl/drawings/_rels/drawing2.xml.rels><?xml version="1.0" encoding="utf-8" standalone="yes"?><Relationships xmlns="http://schemas.openxmlformats.org/package/2006/relationships"><Relationship Id="rId1" Type="http://schemas.openxmlformats.org/officeDocument/2006/relationships/hyperlink" Target="#Pg1General" /></Relationships>
</file>

<file path=xl/drawings/_rels/drawing3.xml.rels><?xml version="1.0" encoding="utf-8" standalone="yes"?><Relationships xmlns="http://schemas.openxmlformats.org/package/2006/relationships"><Relationship Id="rId1" Type="http://schemas.openxmlformats.org/officeDocument/2006/relationships/hyperlink" Target="#TotalFederalAndStateProjects" /></Relationships>
</file>

<file path=xl/drawings/_rels/drawing4.xml.rels><?xml version="1.0" encoding="utf-8" standalone="yes"?><Relationships xmlns="http://schemas.openxmlformats.org/package/2006/relationships"><Relationship Id="rId1" Type="http://schemas.openxmlformats.org/officeDocument/2006/relationships/hyperlink" Target="#Pg3ClassroomSiteProj" /></Relationships>
</file>

<file path=xl/drawings/_rels/drawing5.xml.rels><?xml version="1.0" encoding="utf-8" standalone="yes"?><Relationships xmlns="http://schemas.openxmlformats.org/package/2006/relationships"><Relationship Id="rId1" Type="http://schemas.openxmlformats.org/officeDocument/2006/relationships/hyperlink" Target="#Pg4StructuredEnglishImmersionProj" /></Relationships>
</file>

<file path=xl/drawings/_rels/drawing6.xml.rels><?xml version="1.0" encoding="utf-8" standalone="yes"?><Relationships xmlns="http://schemas.openxmlformats.org/package/2006/relationships"><Relationship Id="rId1" Type="http://schemas.openxmlformats.org/officeDocument/2006/relationships/hyperlink" Target="#BudgetSummary"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590550</xdr:colOff>
      <xdr:row>7</xdr:row>
      <xdr:rowOff>47625</xdr:rowOff>
    </xdr:from>
    <xdr:to>
      <xdr:col>9</xdr:col>
      <xdr:colOff>847725</xdr:colOff>
      <xdr:row>8</xdr:row>
      <xdr:rowOff>133350</xdr:rowOff>
    </xdr:to>
    <xdr:sp>
      <xdr:nvSpPr>
        <xdr:cNvPr id="1" name="Rectangle 1">
          <a:hlinkClick r:id="rId1"/>
        </xdr:cNvPr>
        <xdr:cNvSpPr>
          <a:spLocks/>
        </xdr:cNvSpPr>
      </xdr:nvSpPr>
      <xdr:spPr>
        <a:xfrm>
          <a:off x="4133850" y="1247775"/>
          <a:ext cx="1009650" cy="31432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1371600</xdr:colOff>
      <xdr:row>2</xdr:row>
      <xdr:rowOff>76200</xdr:rowOff>
    </xdr:from>
    <xdr:to>
      <xdr:col>4</xdr:col>
      <xdr:colOff>152400</xdr:colOff>
      <xdr:row>4</xdr:row>
      <xdr:rowOff>76200</xdr:rowOff>
    </xdr:to>
    <xdr:sp>
      <xdr:nvSpPr>
        <xdr:cNvPr id="1" name="Rectangle 4">
          <a:hlinkClick r:id="rId1"/>
        </xdr:cNvPr>
        <xdr:cNvSpPr>
          <a:spLocks/>
        </xdr:cNvSpPr>
      </xdr:nvSpPr>
      <xdr:spPr>
        <a:xfrm>
          <a:off x="2571750" y="276225"/>
          <a:ext cx="971550" cy="3048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2</xdr:col>
      <xdr:colOff>19050</xdr:colOff>
      <xdr:row>3</xdr:row>
      <xdr:rowOff>180975</xdr:rowOff>
    </xdr:to>
    <xdr:sp>
      <xdr:nvSpPr>
        <xdr:cNvPr id="1" name="Rectangle 7">
          <a:hlinkClick r:id="rId1"/>
        </xdr:cNvPr>
        <xdr:cNvSpPr>
          <a:spLocks/>
        </xdr:cNvSpPr>
      </xdr:nvSpPr>
      <xdr:spPr>
        <a:xfrm>
          <a:off x="257175" y="419100"/>
          <a:ext cx="981075" cy="18097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1114425</xdr:colOff>
      <xdr:row>3</xdr:row>
      <xdr:rowOff>57150</xdr:rowOff>
    </xdr:from>
    <xdr:to>
      <xdr:col>4</xdr:col>
      <xdr:colOff>219075</xdr:colOff>
      <xdr:row>5</xdr:row>
      <xdr:rowOff>19050</xdr:rowOff>
    </xdr:to>
    <xdr:sp>
      <xdr:nvSpPr>
        <xdr:cNvPr id="1" name="Rectangle 5">
          <a:hlinkClick r:id="rId1"/>
        </xdr:cNvPr>
        <xdr:cNvSpPr>
          <a:spLocks/>
        </xdr:cNvSpPr>
      </xdr:nvSpPr>
      <xdr:spPr>
        <a:xfrm>
          <a:off x="2314575" y="390525"/>
          <a:ext cx="2600325" cy="2286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952500</xdr:colOff>
      <xdr:row>2</xdr:row>
      <xdr:rowOff>76200</xdr:rowOff>
    </xdr:from>
    <xdr:to>
      <xdr:col>4</xdr:col>
      <xdr:colOff>180975</xdr:colOff>
      <xdr:row>4</xdr:row>
      <xdr:rowOff>57150</xdr:rowOff>
    </xdr:to>
    <xdr:sp>
      <xdr:nvSpPr>
        <xdr:cNvPr id="1" name="Rectangle 5">
          <a:hlinkClick r:id="rId1"/>
        </xdr:cNvPr>
        <xdr:cNvSpPr>
          <a:spLocks/>
        </xdr:cNvSpPr>
      </xdr:nvSpPr>
      <xdr:spPr>
        <a:xfrm>
          <a:off x="2152650" y="400050"/>
          <a:ext cx="1019175" cy="3048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0</xdr:row>
      <xdr:rowOff>28575</xdr:rowOff>
    </xdr:from>
    <xdr:to>
      <xdr:col>2</xdr:col>
      <xdr:colOff>1000125</xdr:colOff>
      <xdr:row>1</xdr:row>
      <xdr:rowOff>38100</xdr:rowOff>
    </xdr:to>
    <xdr:sp>
      <xdr:nvSpPr>
        <xdr:cNvPr id="1" name="Rectangle 2">
          <a:hlinkClick r:id="rId1"/>
        </xdr:cNvPr>
        <xdr:cNvSpPr>
          <a:spLocks/>
        </xdr:cNvSpPr>
      </xdr:nvSpPr>
      <xdr:spPr>
        <a:xfrm>
          <a:off x="209550" y="28575"/>
          <a:ext cx="1000125" cy="3048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Cindy\AppData\Local\Temp\Temp1_CSBUD18.zip\budge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Page 1"/>
      <sheetName val="Page 2"/>
      <sheetName val="Page 3"/>
      <sheetName val="Page 4"/>
      <sheetName val="Budget Summary"/>
      <sheetName val="Instructions"/>
    </sheetNames>
    <definedNames>
      <definedName name="CA0191Land" refersTo="=Page 2!$E$38"/>
      <definedName name="CA0198CIP" refersTo="=Page 2!$E$42"/>
      <definedName name="CAK3Reading" refersTo="=Page 2!$E$45"/>
      <definedName name="CIP1072P265F1000" refersTo="=Page 4!$N$30"/>
      <definedName name="CIP1072P265F1000PPL" refersTo="=Page 4!$G$30"/>
      <definedName name="CIP1072P265F2100" refersTo="=Page 4!$N$32"/>
      <definedName name="CIP1072P265F2100PPL" refersTo="=Page 4!$G$32"/>
      <definedName name="CIP1072P265F2200" refersTo="=Page 4!$N$33"/>
      <definedName name="CIP1072P265F2200PPL" refersTo="=Page 4!$G$33"/>
      <definedName name="CIP1072P265F2300" refersTo="=Page 4!$N$34"/>
      <definedName name="CIP1072P265F2300PPL" refersTo="=Page 4!$G$34"/>
      <definedName name="CIP1072P265F2400" refersTo="=Page 4!$N$35"/>
      <definedName name="CIP1072P265F2400PPL" refersTo="=Page 4!$G$35"/>
      <definedName name="CIP1072P265F2500" refersTo="=Page 4!$N$36"/>
      <definedName name="CIP1072P265F2500PPL" refersTo="=Page 4!$G$36"/>
      <definedName name="CIP1072P265F2600" refersTo="=Page 4!$N$37"/>
      <definedName name="CIP1072P265F2600PPL" refersTo="=Page 4!$G$37"/>
      <definedName name="CIP1072P265F2900" refersTo="=Page 4!$N$38"/>
      <definedName name="CIP1072P265F2900PPL" refersTo="=Page 4!$G$38"/>
      <definedName name="CIP1072P435F2700" refersTo="=Page 4!$N$42"/>
      <definedName name="CIP1072P435F2700PPL" refersTo="=Page 4!$G$42"/>
      <definedName name="CSP1011P100F2100" refersTo="=Page 3!$K$10"/>
      <definedName name="CSP1011P100F2200" refersTo="=Page 3!$K$11"/>
      <definedName name="CSP1011P200F1000" refersTo="=Page 3!$K$14"/>
      <definedName name="CSP1011P200F2100" refersTo="=Page 3!$K$15"/>
      <definedName name="CSP1011P200F2200" refersTo="=Page 3!$K$16"/>
      <definedName name="CSP1011POtherF1000" refersTo="=Page 3!$K$19"/>
      <definedName name="CSP1011POtherF2100" refersTo="=Page 3!$K$20"/>
      <definedName name="CSP1011POtherF2200" refersTo="=Page 3!$K$21"/>
      <definedName name="CSP1012P100F2100" refersTo="=Page 3!$K$27"/>
      <definedName name="CSP1012P100F2200" refersTo="=Page 3!$K$28"/>
      <definedName name="CSP1012P200F1000" refersTo="=Page 3!$K$31"/>
      <definedName name="CSP1012P200F2100" refersTo="=Page 3!$K$32"/>
      <definedName name="CSP1012P200F2200" refersTo="=Page 3!$K$33"/>
      <definedName name="CSP1012POtherF1000" refersTo="=Page 3!$K$36"/>
      <definedName name="CSP1012POtherF2100" refersTo="=Page 3!$K$37"/>
      <definedName name="CSP1012POtherF2200" refersTo="=Page 3!$K$38"/>
      <definedName name="CSP1013P100F2100" refersTo="=Page 3!$K$44"/>
      <definedName name="CSP1013P100F2200" refersTo="=Page 3!$K$45"/>
      <definedName name="CSP1013P200F1000" refersTo="=Page 3!$K$48"/>
      <definedName name="CSP1013P200F2100" refersTo="=Page 3!$K$49"/>
      <definedName name="CSP1013P200F2200" refersTo="=Page 3!$K$50"/>
      <definedName name="CSP1013P530F1000" refersTo="=Page 3!$K$53"/>
      <definedName name="CSP1013POtherF1000" refersTo="=Page 3!$K$55"/>
      <definedName name="CSP1013POtherF21002200" refersTo="=Page 3!$K$56"/>
      <definedName name="FP1160TitleIV" refersTo="=Page 2!$E$7"/>
      <definedName name="FP11701180TitleV" refersTo="=Page 2!$E$8"/>
      <definedName name="FP1190TitleIII" refersTo="=Page 2!$E$9"/>
      <definedName name="FP1200TitleVII" refersTo="=Page 2!$E$10"/>
      <definedName name="FP1210TitleVI" refersTo="=Page 2!$E$11"/>
      <definedName name="FP1230Johnson" refersTo="=Page 2!$E$13"/>
      <definedName name="FP1240WIA" refersTo="=Page 2!$E$14"/>
      <definedName name="FP1250AEA" refersTo="=Page 2!$E$15"/>
      <definedName name="FP12601270VocEd" refersTo="=Page 2!$E$16"/>
      <definedName name="FP1280TitleX" refersTo="=Page 2!$E$17"/>
      <definedName name="FP1290Medicaid" refersTo="=Page 2!$E$18"/>
      <definedName name="FP1300Charter" refersTo="=Page 2!$E$19"/>
      <definedName name="FP1420ExtendedSchool" refersTo="=Page 2!$E$26"/>
      <definedName name="IIPClassSizeReduction" refersTo="=Page 2!$N$23"/>
      <definedName name="IIPDropoutPreventionPrograms" refersTo="=Page 2!$N$24"/>
      <definedName name="IIPInstructionalImprovementPrograms" refersTo="=Page 2!$N$25"/>
      <definedName name="P200CareerEducation" refersTo="=Page 2!$N$11"/>
      <definedName name="P200ELLCompensatoryInstruction" refersTo="=Page 2!$N$8"/>
      <definedName name="P200ELLIncrementalCosts" refersTo="=Page 2!$N$7"/>
      <definedName name="P200GiftedEducation" refersTo="=Page 2!$N$6"/>
      <definedName name="P200RemedialEducation" refersTo="=Page 2!$N$9"/>
      <definedName name="P200VocationalandTechnologicalEd" refersTo="=Page 2!$N$10"/>
      <definedName name="SEIP1071P260F1000" refersTo="=Page 4!$N$9"/>
      <definedName name="SEIP1071P260F1000PPL" refersTo="=Page 4!$G$9"/>
      <definedName name="SEIP1071P260F2100" refersTo="=Page 4!$N$11"/>
      <definedName name="SEIP1071P260F2100PPL" refersTo="=Page 4!$G$11"/>
      <definedName name="SEIP1071P260F2200" refersTo="=Page 4!$N$12"/>
      <definedName name="SEIP1071P260F2200PPL" refersTo="=Page 4!$G$12"/>
      <definedName name="SEIP1071P260F2300" refersTo="=Page 4!$N$13"/>
      <definedName name="SEIP1071P260F2300PPL" refersTo="=Page 4!$G$13"/>
      <definedName name="SEIP1071P260F2400" refersTo="=Page 4!$N$14"/>
      <definedName name="SEIP1071P260F2400PPL" refersTo="=Page 4!$G$14"/>
      <definedName name="SEIP1071P260F2500" refersTo="=Page 4!$N$15"/>
      <definedName name="SEIP1071P260F2500PPL" refersTo="=Page 4!$G$15"/>
      <definedName name="SEIP1071P260F2600" refersTo="=Page 4!$N$16"/>
      <definedName name="SEIP1071P260F2600PPL" refersTo="=Page 4!$G$16"/>
      <definedName name="SEIP1071P260F2900" refersTo="=Page 4!$N$17"/>
      <definedName name="SEIP1071P260F2900PPL" refersTo="=Page 4!$G$17"/>
      <definedName name="SEIP1071P430F2700" refersTo="=Page 4!$N$21"/>
      <definedName name="SEIP1071P430F2700PPL" refersTo="=Page 4!$G$21"/>
      <definedName name="SP1000CompInstrProj" refersTo="=Page 1!$L$47"/>
      <definedName name="SP1000P100F3000" refersTo="=Page 1!$L$17"/>
      <definedName name="SP1000P100F5000" refersTo="=Page 1!$L$19"/>
      <definedName name="SP1000P200F2200" refersTo="=Page 1!$L$28"/>
      <definedName name="SP1000P200F2300" refersTo="=Page 1!$L$29"/>
      <definedName name="SP1000P200F2400" refersTo="=Page 1!$L$30"/>
      <definedName name="SP1000P200F2500" refersTo="=Page 1!$L$31"/>
      <definedName name="SP1000P200F2600" refersTo="=Page 1!$L$32"/>
      <definedName name="SP1000P200F2900" refersTo="=Page 1!$L$33"/>
      <definedName name="SP1000P200F3000" refersTo="=Page 1!$L$34"/>
      <definedName name="SP1000P200F4000" refersTo="=Page 1!$L$35"/>
      <definedName name="SP1000P200F5000" refersTo="=Page 1!$L$36"/>
      <definedName name="SP1000P400" refersTo="=Page 1!$L$39"/>
      <definedName name="SP1000P530" refersTo="=Page 1!$L$40"/>
      <definedName name="SP1000P540" refersTo="=Page 1!$L$41"/>
      <definedName name="SP1000P550" refersTo="=Page 1!$L$42"/>
      <definedName name="SP1000P610" refersTo="=Page 1!$L$20"/>
      <definedName name="SP1000P630700800900" refersTo="=Page 1!$L$22"/>
      <definedName name="SP1000StruEngImmProj" refersTo="=Page 1!$L$46"/>
      <definedName name="SP1400VocEd" refersTo="=Page 2!$E$24"/>
      <definedName name="SP1410EarlyChildhoodBlockGrant" refersTo="=Page 2!$E$25"/>
      <definedName name="SP1425AdultBasicEd" refersTo="=Page 2!$E$27"/>
      <definedName name="SP1430ChemicalAbuse" refersTo="=Page 2!$E$28"/>
      <definedName name="SP1435AcademicContests" refersTo="=Page 2!$E$29"/>
      <definedName name="SP1450GiftedEd" refersTo="=Page 2!$E$30"/>
      <definedName name="SP1460EnvironmentalSpecialPlate" refersTo="=Page 2!$E$31"/>
      <definedName name="SP1465CharterSchool" refersTo="=Page 2!$E$32"/>
      <definedName name="TotalSEIP" refersTo="=Page 4!$N$22"/>
    </definedNames>
    <sheetDataSet>
      <sheetData sheetId="1">
        <row r="17">
          <cell r="L17">
            <v>0</v>
          </cell>
        </row>
        <row r="19">
          <cell r="L19">
            <v>0</v>
          </cell>
        </row>
        <row r="20">
          <cell r="L20">
            <v>0</v>
          </cell>
        </row>
        <row r="22">
          <cell r="L22">
            <v>0</v>
          </cell>
        </row>
        <row r="28">
          <cell r="L28">
            <v>0</v>
          </cell>
        </row>
        <row r="29">
          <cell r="L29">
            <v>0</v>
          </cell>
        </row>
        <row r="30">
          <cell r="L30">
            <v>0</v>
          </cell>
        </row>
        <row r="31">
          <cell r="L31">
            <v>0</v>
          </cell>
        </row>
        <row r="32">
          <cell r="L32">
            <v>0</v>
          </cell>
        </row>
        <row r="33">
          <cell r="L33">
            <v>0</v>
          </cell>
        </row>
        <row r="34">
          <cell r="L34">
            <v>0</v>
          </cell>
        </row>
        <row r="35">
          <cell r="L35">
            <v>0</v>
          </cell>
        </row>
        <row r="36">
          <cell r="L36">
            <v>0</v>
          </cell>
        </row>
        <row r="39">
          <cell r="L39">
            <v>0</v>
          </cell>
        </row>
        <row r="40">
          <cell r="L40">
            <v>0</v>
          </cell>
        </row>
        <row r="41">
          <cell r="L41">
            <v>0</v>
          </cell>
        </row>
        <row r="42">
          <cell r="L42">
            <v>0</v>
          </cell>
        </row>
        <row r="46">
          <cell r="L46">
            <v>0</v>
          </cell>
        </row>
        <row r="47">
          <cell r="L47">
            <v>0</v>
          </cell>
        </row>
      </sheetData>
      <sheetData sheetId="3">
        <row r="10">
          <cell r="K10">
            <v>0</v>
          </cell>
        </row>
        <row r="11">
          <cell r="K11">
            <v>0</v>
          </cell>
        </row>
        <row r="14">
          <cell r="K14">
            <v>0</v>
          </cell>
        </row>
        <row r="15">
          <cell r="K15">
            <v>0</v>
          </cell>
        </row>
        <row r="16">
          <cell r="K16">
            <v>0</v>
          </cell>
        </row>
        <row r="19">
          <cell r="K19">
            <v>0</v>
          </cell>
        </row>
        <row r="20">
          <cell r="K20">
            <v>0</v>
          </cell>
        </row>
        <row r="21">
          <cell r="K21">
            <v>0</v>
          </cell>
        </row>
        <row r="27">
          <cell r="K27">
            <v>0</v>
          </cell>
        </row>
        <row r="28">
          <cell r="K28">
            <v>0</v>
          </cell>
        </row>
        <row r="31">
          <cell r="K31">
            <v>0</v>
          </cell>
        </row>
        <row r="32">
          <cell r="K32">
            <v>0</v>
          </cell>
        </row>
        <row r="33">
          <cell r="K33">
            <v>0</v>
          </cell>
        </row>
        <row r="36">
          <cell r="K36">
            <v>0</v>
          </cell>
        </row>
        <row r="37">
          <cell r="K37">
            <v>0</v>
          </cell>
        </row>
        <row r="38">
          <cell r="K38">
            <v>0</v>
          </cell>
        </row>
        <row r="44">
          <cell r="K44">
            <v>0</v>
          </cell>
        </row>
        <row r="45">
          <cell r="K45">
            <v>0</v>
          </cell>
        </row>
        <row r="48">
          <cell r="K48">
            <v>0</v>
          </cell>
        </row>
        <row r="49">
          <cell r="K49">
            <v>0</v>
          </cell>
        </row>
        <row r="50">
          <cell r="K50">
            <v>0</v>
          </cell>
        </row>
        <row r="53">
          <cell r="K53">
            <v>0</v>
          </cell>
        </row>
        <row r="55">
          <cell r="K55">
            <v>0</v>
          </cell>
        </row>
        <row r="56">
          <cell r="K56">
            <v>0</v>
          </cell>
        </row>
      </sheetData>
      <sheetData sheetId="4">
        <row r="9">
          <cell r="N9">
            <v>0</v>
          </cell>
        </row>
        <row r="11">
          <cell r="N11">
            <v>0</v>
          </cell>
        </row>
        <row r="12">
          <cell r="N12">
            <v>0</v>
          </cell>
        </row>
        <row r="13">
          <cell r="N13">
            <v>0</v>
          </cell>
        </row>
        <row r="14">
          <cell r="N14">
            <v>0</v>
          </cell>
        </row>
        <row r="15">
          <cell r="N15">
            <v>0</v>
          </cell>
        </row>
        <row r="16">
          <cell r="N16">
            <v>0</v>
          </cell>
        </row>
        <row r="17">
          <cell r="N17">
            <v>0</v>
          </cell>
        </row>
        <row r="21">
          <cell r="N21">
            <v>0</v>
          </cell>
        </row>
        <row r="22">
          <cell r="N22">
            <v>0</v>
          </cell>
        </row>
        <row r="30">
          <cell r="N30">
            <v>0</v>
          </cell>
        </row>
        <row r="32">
          <cell r="N32">
            <v>0</v>
          </cell>
        </row>
        <row r="33">
          <cell r="N33">
            <v>0</v>
          </cell>
        </row>
        <row r="34">
          <cell r="N34">
            <v>0</v>
          </cell>
        </row>
        <row r="35">
          <cell r="N35">
            <v>0</v>
          </cell>
        </row>
        <row r="36">
          <cell r="N36">
            <v>0</v>
          </cell>
        </row>
        <row r="37">
          <cell r="N37">
            <v>0</v>
          </cell>
        </row>
        <row r="38">
          <cell r="N38">
            <v>0</v>
          </cell>
        </row>
        <row r="42">
          <cell r="N4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EmpBenefits" TargetMode="External" /><Relationship Id="rId2" Type="http://schemas.openxmlformats.org/officeDocument/2006/relationships/hyperlink" Target="EmpBenefits"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Pg2Line22" TargetMode="External" /><Relationship Id="rId2" Type="http://schemas.openxmlformats.org/officeDocument/2006/relationships/hyperlink" Target="Pg3InstructionalImprovementProj"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StructuredEnglishImmersionProj"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U44"/>
  <sheetViews>
    <sheetView showGridLines="0" showZeros="0" workbookViewId="0" topLeftCell="A1">
      <selection activeCell="R18" sqref="R18"/>
    </sheetView>
  </sheetViews>
  <sheetFormatPr defaultColWidth="9.140625" defaultRowHeight="12.75" customHeight="1"/>
  <cols>
    <col min="1" max="1" width="8.28125" style="35" customWidth="1"/>
    <col min="2" max="2" width="5.421875" style="35" customWidth="1"/>
    <col min="3" max="3" width="4.7109375" style="35" customWidth="1"/>
    <col min="4" max="4" width="8.28125" style="35" customWidth="1"/>
    <col min="5" max="5" width="5.421875" style="35" customWidth="1"/>
    <col min="6" max="6" width="11.28125" style="35" customWidth="1"/>
    <col min="7" max="7" width="6.7109375" style="35" customWidth="1"/>
    <col min="8" max="8" width="3.00390625" style="44" customWidth="1"/>
    <col min="9" max="9" width="11.28125" style="44" customWidth="1"/>
    <col min="10" max="10" width="14.8515625" style="44" customWidth="1"/>
    <col min="11" max="11" width="9.140625" style="44" customWidth="1"/>
    <col min="12" max="12" width="9.7109375" style="44" customWidth="1"/>
    <col min="13" max="13" width="9.140625" style="44" customWidth="1"/>
    <col min="14" max="14" width="11.421875" style="44" customWidth="1"/>
    <col min="15" max="15" width="15.8515625" style="44" customWidth="1"/>
    <col min="16" max="16" width="8.7109375" style="44" customWidth="1"/>
    <col min="17" max="17" width="3.7109375" style="44" customWidth="1"/>
    <col min="18" max="18" width="13.7109375" style="44" customWidth="1"/>
    <col min="19" max="16384" width="9.140625" style="44" customWidth="1"/>
  </cols>
  <sheetData>
    <row r="1" spans="1:18" ht="12.75" customHeight="1">
      <c r="A1" s="335" t="s">
        <v>0</v>
      </c>
      <c r="B1" s="335"/>
      <c r="C1" s="335"/>
      <c r="D1" s="337" t="s">
        <v>342</v>
      </c>
      <c r="E1" s="338"/>
      <c r="F1" s="338"/>
      <c r="G1" s="338"/>
      <c r="H1" s="338"/>
      <c r="I1" s="338"/>
      <c r="J1" s="37"/>
      <c r="K1" s="18"/>
      <c r="L1" s="42" t="s">
        <v>1</v>
      </c>
      <c r="M1" s="342" t="s">
        <v>340</v>
      </c>
      <c r="N1" s="343"/>
      <c r="O1" s="340" t="s">
        <v>91</v>
      </c>
      <c r="P1" s="340"/>
      <c r="Q1" s="340"/>
      <c r="R1" s="255" t="s">
        <v>341</v>
      </c>
    </row>
    <row r="2" spans="4:18" ht="12.75" customHeight="1">
      <c r="D2" s="314" t="s">
        <v>89</v>
      </c>
      <c r="E2" s="314"/>
      <c r="F2" s="314"/>
      <c r="G2" s="314"/>
      <c r="H2" s="314"/>
      <c r="I2" s="314"/>
      <c r="M2" s="36"/>
      <c r="O2" s="43"/>
      <c r="P2" s="43"/>
      <c r="Q2" s="36"/>
      <c r="R2" s="39"/>
    </row>
    <row r="3" spans="4:18" ht="12.75" customHeight="1">
      <c r="D3" s="321"/>
      <c r="E3" s="321"/>
      <c r="F3" s="321"/>
      <c r="G3" s="321"/>
      <c r="H3" s="321"/>
      <c r="I3" s="321"/>
      <c r="M3" s="36"/>
      <c r="O3" s="43"/>
      <c r="P3" s="43"/>
      <c r="Q3" s="36"/>
      <c r="R3" s="39"/>
    </row>
    <row r="4" spans="4:18" ht="12.75" customHeight="1">
      <c r="D4" s="314" t="s">
        <v>90</v>
      </c>
      <c r="E4" s="314"/>
      <c r="F4" s="314"/>
      <c r="G4" s="314"/>
      <c r="H4" s="314"/>
      <c r="I4" s="314"/>
      <c r="M4" s="36"/>
      <c r="O4" s="43"/>
      <c r="P4" s="43"/>
      <c r="Q4" s="36"/>
      <c r="R4" s="39"/>
    </row>
    <row r="5" spans="13:18" ht="12.75" customHeight="1">
      <c r="M5" s="36"/>
      <c r="O5" s="43"/>
      <c r="P5" s="43"/>
      <c r="Q5" s="36"/>
      <c r="R5" s="39"/>
    </row>
    <row r="6" spans="1:10" ht="18" customHeight="1">
      <c r="A6" s="36"/>
      <c r="B6" s="336" t="s">
        <v>282</v>
      </c>
      <c r="C6" s="336"/>
      <c r="D6" s="336"/>
      <c r="E6" s="336"/>
      <c r="F6" s="336"/>
      <c r="G6" s="336"/>
      <c r="H6" s="336"/>
      <c r="I6" s="336"/>
      <c r="J6" s="36"/>
    </row>
    <row r="7" spans="1:10" ht="12.75">
      <c r="A7" s="36"/>
      <c r="B7" s="36"/>
      <c r="C7" s="36"/>
      <c r="D7" s="36"/>
      <c r="E7" s="36"/>
      <c r="F7" s="36"/>
      <c r="G7" s="36"/>
      <c r="H7" s="37"/>
      <c r="I7" s="37"/>
      <c r="J7" s="45"/>
    </row>
    <row r="8" spans="1:18" ht="18" customHeight="1">
      <c r="A8" s="36"/>
      <c r="B8" s="336" t="s">
        <v>2</v>
      </c>
      <c r="C8" s="336"/>
      <c r="D8" s="336"/>
      <c r="E8" s="336"/>
      <c r="F8" s="336"/>
      <c r="G8" s="336"/>
      <c r="H8" s="336"/>
      <c r="I8" s="336"/>
      <c r="J8" s="46"/>
      <c r="L8" s="36" t="s">
        <v>4</v>
      </c>
      <c r="M8" s="36"/>
      <c r="N8" s="36"/>
      <c r="O8" s="36"/>
      <c r="P8" s="36"/>
      <c r="Q8" s="36"/>
      <c r="R8" s="36"/>
    </row>
    <row r="9" spans="1:18" ht="12.75">
      <c r="A9" s="36"/>
      <c r="B9" s="36"/>
      <c r="C9" s="36"/>
      <c r="D9" s="36"/>
      <c r="E9" s="36"/>
      <c r="F9" s="36"/>
      <c r="G9" s="36"/>
      <c r="H9" s="37"/>
      <c r="I9" s="37"/>
      <c r="J9" s="45"/>
      <c r="L9" s="36"/>
      <c r="M9" s="36"/>
      <c r="N9" s="36"/>
      <c r="O9" s="36"/>
      <c r="P9" s="36"/>
      <c r="Q9" s="36"/>
      <c r="R9" s="36"/>
    </row>
    <row r="10" spans="1:11" ht="12.75" customHeight="1">
      <c r="A10" s="36"/>
      <c r="B10" s="326" t="s">
        <v>3</v>
      </c>
      <c r="C10" s="326"/>
      <c r="D10" s="326"/>
      <c r="E10" s="326"/>
      <c r="F10" s="326"/>
      <c r="G10" s="326"/>
      <c r="H10" s="326"/>
      <c r="I10" s="326"/>
      <c r="J10" s="341"/>
      <c r="K10" s="248"/>
    </row>
    <row r="11" spans="1:18" ht="12.75" customHeight="1">
      <c r="A11" s="36"/>
      <c r="B11" s="326"/>
      <c r="C11" s="326"/>
      <c r="D11" s="326"/>
      <c r="E11" s="326"/>
      <c r="F11" s="326"/>
      <c r="G11" s="326"/>
      <c r="H11" s="326"/>
      <c r="I11" s="326"/>
      <c r="J11" s="341"/>
      <c r="K11" s="47" t="s">
        <v>44</v>
      </c>
      <c r="L11" s="328" t="s">
        <v>284</v>
      </c>
      <c r="M11" s="329"/>
      <c r="N11" s="329"/>
      <c r="O11" s="329"/>
      <c r="P11" s="329"/>
      <c r="Q11" s="48" t="s">
        <v>5</v>
      </c>
      <c r="R11" s="49">
        <v>3035201</v>
      </c>
    </row>
    <row r="12" spans="1:10" ht="12.75" customHeight="1">
      <c r="A12" s="36"/>
      <c r="B12" s="36"/>
      <c r="C12" s="36"/>
      <c r="D12" s="321" t="s">
        <v>82</v>
      </c>
      <c r="E12" s="321"/>
      <c r="F12" s="321"/>
      <c r="G12" s="321"/>
      <c r="H12" s="321"/>
      <c r="I12" s="37"/>
      <c r="J12" s="45"/>
    </row>
    <row r="13" spans="2:17" ht="12.75" customHeight="1">
      <c r="B13" s="333" t="s">
        <v>80</v>
      </c>
      <c r="C13" s="333"/>
      <c r="D13" s="334"/>
      <c r="E13" s="334"/>
      <c r="F13" s="334"/>
      <c r="G13" s="334"/>
      <c r="H13" s="334"/>
      <c r="I13" s="333"/>
      <c r="J13" s="50"/>
      <c r="K13" s="47" t="s">
        <v>45</v>
      </c>
      <c r="L13" s="327" t="s">
        <v>285</v>
      </c>
      <c r="M13" s="327"/>
      <c r="N13" s="327"/>
      <c r="O13" s="327"/>
      <c r="P13" s="327"/>
      <c r="Q13" s="327"/>
    </row>
    <row r="14" ht="12.75" customHeight="1">
      <c r="J14" s="50"/>
    </row>
    <row r="15" spans="1:18" ht="12.75" customHeight="1">
      <c r="A15" s="37"/>
      <c r="B15" s="37"/>
      <c r="C15" s="37"/>
      <c r="I15" s="37"/>
      <c r="J15" s="50"/>
      <c r="O15" s="44" t="s">
        <v>6</v>
      </c>
      <c r="P15" s="51" t="s">
        <v>7</v>
      </c>
      <c r="Q15" s="52" t="s">
        <v>5</v>
      </c>
      <c r="R15" s="53">
        <v>51500</v>
      </c>
    </row>
    <row r="16" spans="1:18" ht="12.75" customHeight="1">
      <c r="A16" s="38"/>
      <c r="B16" s="345" t="s">
        <v>81</v>
      </c>
      <c r="C16" s="345"/>
      <c r="D16" s="345"/>
      <c r="E16" s="345"/>
      <c r="F16" s="345"/>
      <c r="G16" s="345"/>
      <c r="H16" s="345"/>
      <c r="I16" s="345"/>
      <c r="J16" s="50"/>
      <c r="O16" s="44" t="s">
        <v>9</v>
      </c>
      <c r="P16" s="51" t="s">
        <v>10</v>
      </c>
      <c r="Q16" s="52" t="s">
        <v>5</v>
      </c>
      <c r="R16" s="49"/>
    </row>
    <row r="17" spans="10:18" ht="12.75" customHeight="1">
      <c r="J17" s="50"/>
      <c r="O17" s="44" t="s">
        <v>8</v>
      </c>
      <c r="P17" s="51" t="s">
        <v>69</v>
      </c>
      <c r="Q17" s="52" t="s">
        <v>5</v>
      </c>
      <c r="R17" s="54">
        <v>2207217</v>
      </c>
    </row>
    <row r="18" spans="2:18" ht="12.75" customHeight="1">
      <c r="B18" s="37"/>
      <c r="C18" s="37"/>
      <c r="D18" s="37"/>
      <c r="E18" s="37"/>
      <c r="F18" s="37"/>
      <c r="G18" s="37"/>
      <c r="H18" s="37"/>
      <c r="I18" s="37"/>
      <c r="J18" s="50"/>
      <c r="O18" s="44" t="s">
        <v>11</v>
      </c>
      <c r="P18" s="51" t="s">
        <v>70</v>
      </c>
      <c r="Q18" s="52" t="s">
        <v>5</v>
      </c>
      <c r="R18" s="54">
        <v>775611</v>
      </c>
    </row>
    <row r="19" spans="2:18" ht="12.75" customHeight="1">
      <c r="B19" s="346" t="s">
        <v>283</v>
      </c>
      <c r="C19" s="345"/>
      <c r="D19" s="345"/>
      <c r="E19" s="345"/>
      <c r="F19" s="345"/>
      <c r="G19" s="345"/>
      <c r="H19" s="345"/>
      <c r="I19" s="345"/>
      <c r="J19" s="50"/>
      <c r="O19" s="35" t="s">
        <v>46</v>
      </c>
      <c r="Q19" s="52" t="s">
        <v>5</v>
      </c>
      <c r="R19" s="55">
        <f>SUM(R15:R18)</f>
        <v>3034328</v>
      </c>
    </row>
    <row r="20" spans="3:10" ht="12.75" customHeight="1">
      <c r="C20" s="348" t="s">
        <v>82</v>
      </c>
      <c r="D20" s="348"/>
      <c r="F20" s="347">
        <v>42901</v>
      </c>
      <c r="G20" s="347"/>
      <c r="H20" s="347"/>
      <c r="J20" s="50"/>
    </row>
    <row r="21" spans="3:10" ht="12.75" customHeight="1">
      <c r="C21" s="348" t="s">
        <v>83</v>
      </c>
      <c r="D21" s="348"/>
      <c r="F21" s="344"/>
      <c r="G21" s="344"/>
      <c r="H21" s="344"/>
      <c r="I21" s="18"/>
      <c r="J21" s="50"/>
    </row>
    <row r="22" spans="1:18" ht="12.75" customHeight="1">
      <c r="A22" s="39"/>
      <c r="C22" s="348" t="s">
        <v>84</v>
      </c>
      <c r="D22" s="348"/>
      <c r="F22" s="344"/>
      <c r="G22" s="344"/>
      <c r="H22" s="344"/>
      <c r="J22" s="56"/>
      <c r="L22" s="330"/>
      <c r="M22" s="330"/>
      <c r="N22" s="330"/>
      <c r="O22" s="330"/>
      <c r="P22" s="330"/>
      <c r="Q22" s="330"/>
      <c r="R22" s="330"/>
    </row>
    <row r="23" spans="6:21" ht="12.75" customHeight="1">
      <c r="F23" s="314" t="s">
        <v>85</v>
      </c>
      <c r="G23" s="314"/>
      <c r="H23" s="314"/>
      <c r="I23" s="18"/>
      <c r="J23" s="50"/>
      <c r="N23" s="331"/>
      <c r="O23" s="331"/>
      <c r="R23" s="332"/>
      <c r="S23" s="332"/>
      <c r="T23" s="332"/>
      <c r="U23" s="332"/>
    </row>
    <row r="24" spans="2:18" ht="12.75" customHeight="1">
      <c r="B24" s="57"/>
      <c r="E24" s="58"/>
      <c r="I24" s="18"/>
      <c r="J24" s="50"/>
      <c r="L24" s="17"/>
      <c r="M24" s="17"/>
      <c r="N24" s="17"/>
      <c r="O24" s="17"/>
      <c r="P24" s="17"/>
      <c r="Q24" s="17"/>
      <c r="R24" s="17"/>
    </row>
    <row r="25" spans="1:18" ht="12.75" customHeight="1">
      <c r="A25" s="349" t="s">
        <v>307</v>
      </c>
      <c r="B25" s="349"/>
      <c r="C25" s="349"/>
      <c r="D25" s="349"/>
      <c r="E25" s="349"/>
      <c r="F25" s="349"/>
      <c r="G25" s="349"/>
      <c r="H25" s="349"/>
      <c r="I25" s="349"/>
      <c r="J25" s="350"/>
      <c r="L25" s="324" t="s">
        <v>140</v>
      </c>
      <c r="M25" s="324"/>
      <c r="N25" s="324"/>
      <c r="O25" s="319" t="s">
        <v>343</v>
      </c>
      <c r="P25" s="320"/>
      <c r="Q25" s="320"/>
      <c r="R25" s="320"/>
    </row>
    <row r="26" spans="1:18" ht="12.75" customHeight="1">
      <c r="A26" s="349" t="s">
        <v>308</v>
      </c>
      <c r="B26" s="349"/>
      <c r="C26" s="349"/>
      <c r="D26" s="349"/>
      <c r="E26" s="349"/>
      <c r="F26" s="349"/>
      <c r="G26" s="349"/>
      <c r="H26" s="349"/>
      <c r="I26" s="349"/>
      <c r="J26" s="350"/>
      <c r="L26" s="59" t="s">
        <v>138</v>
      </c>
      <c r="M26" s="319" t="s">
        <v>344</v>
      </c>
      <c r="N26" s="320"/>
      <c r="O26" s="52" t="s">
        <v>139</v>
      </c>
      <c r="P26" s="388" t="s">
        <v>345</v>
      </c>
      <c r="Q26" s="325"/>
      <c r="R26" s="325"/>
    </row>
    <row r="27" spans="1:10" ht="12.75" customHeight="1">
      <c r="A27" s="349" t="s">
        <v>329</v>
      </c>
      <c r="B27" s="349"/>
      <c r="C27" s="349"/>
      <c r="D27" s="349"/>
      <c r="E27" s="349"/>
      <c r="F27" s="349"/>
      <c r="G27" s="349"/>
      <c r="H27" s="349"/>
      <c r="I27" s="349"/>
      <c r="J27" s="350"/>
    </row>
    <row r="28" spans="2:10" ht="12.75" customHeight="1">
      <c r="B28" s="38"/>
      <c r="C28" s="57"/>
      <c r="D28" s="61"/>
      <c r="E28" s="37"/>
      <c r="F28" s="39"/>
      <c r="G28" s="62"/>
      <c r="H28" s="60"/>
      <c r="I28" s="60"/>
      <c r="J28" s="46"/>
    </row>
    <row r="29" spans="1:18" ht="12.75" customHeight="1">
      <c r="A29" s="318"/>
      <c r="B29" s="318"/>
      <c r="C29" s="318"/>
      <c r="D29" s="318"/>
      <c r="E29" s="318"/>
      <c r="F29" s="38"/>
      <c r="G29" s="390" t="s">
        <v>348</v>
      </c>
      <c r="H29" s="339"/>
      <c r="I29" s="339"/>
      <c r="J29" s="46"/>
      <c r="L29" s="322" t="s">
        <v>295</v>
      </c>
      <c r="M29" s="323"/>
      <c r="N29" s="323"/>
      <c r="O29" s="323"/>
      <c r="P29" s="323"/>
      <c r="Q29" s="323"/>
      <c r="R29" s="323"/>
    </row>
    <row r="30" spans="1:18" ht="12.75" customHeight="1">
      <c r="A30" s="37"/>
      <c r="B30" s="37"/>
      <c r="C30" s="37"/>
      <c r="D30" s="37"/>
      <c r="E30" s="37"/>
      <c r="F30" s="37"/>
      <c r="G30" s="37"/>
      <c r="H30" s="60"/>
      <c r="I30" s="60"/>
      <c r="J30" s="46"/>
      <c r="L30" s="315">
        <v>42901</v>
      </c>
      <c r="M30" s="315"/>
      <c r="N30" s="316" t="s">
        <v>87</v>
      </c>
      <c r="O30" s="316"/>
      <c r="P30" s="316"/>
      <c r="Q30" s="316"/>
      <c r="R30" s="316"/>
    </row>
    <row r="31" spans="1:18" ht="12.75" customHeight="1">
      <c r="A31" s="318"/>
      <c r="B31" s="318"/>
      <c r="C31" s="318"/>
      <c r="D31" s="318"/>
      <c r="E31" s="318"/>
      <c r="F31" s="38"/>
      <c r="G31" s="390" t="s">
        <v>349</v>
      </c>
      <c r="H31" s="339"/>
      <c r="I31" s="339"/>
      <c r="J31" s="50"/>
      <c r="L31" s="37"/>
      <c r="M31" s="63"/>
      <c r="N31" s="63"/>
      <c r="O31" s="63"/>
      <c r="P31" s="63"/>
      <c r="Q31" s="63"/>
      <c r="R31" s="63"/>
    </row>
    <row r="32" spans="1:18" ht="12.75" customHeight="1">
      <c r="A32" s="40"/>
      <c r="B32" s="40"/>
      <c r="C32" s="40"/>
      <c r="D32" s="40"/>
      <c r="E32" s="40"/>
      <c r="F32" s="37"/>
      <c r="G32" s="40"/>
      <c r="H32" s="18"/>
      <c r="I32" s="18"/>
      <c r="J32" s="50"/>
      <c r="L32" s="317"/>
      <c r="M32" s="317"/>
      <c r="N32" s="317"/>
      <c r="O32" s="64"/>
      <c r="P32" s="65"/>
      <c r="Q32" s="65"/>
      <c r="R32" s="65"/>
    </row>
    <row r="33" spans="1:18" ht="12.75" customHeight="1">
      <c r="A33" s="318"/>
      <c r="B33" s="318"/>
      <c r="C33" s="318"/>
      <c r="D33" s="318"/>
      <c r="E33" s="318"/>
      <c r="F33" s="38"/>
      <c r="G33" s="390" t="s">
        <v>349</v>
      </c>
      <c r="H33" s="339"/>
      <c r="I33" s="339"/>
      <c r="J33" s="50"/>
      <c r="M33" s="63"/>
      <c r="N33" s="63"/>
      <c r="O33" s="63"/>
      <c r="P33" s="63"/>
      <c r="Q33" s="63"/>
      <c r="R33" s="63"/>
    </row>
    <row r="34" spans="1:18" s="35" customFormat="1" ht="12.75" customHeight="1">
      <c r="A34" s="40"/>
      <c r="B34" s="40"/>
      <c r="C34" s="40"/>
      <c r="D34" s="40"/>
      <c r="E34" s="40"/>
      <c r="F34" s="37"/>
      <c r="G34" s="40"/>
      <c r="H34" s="18"/>
      <c r="I34" s="18"/>
      <c r="J34" s="50"/>
      <c r="M34" s="63"/>
      <c r="N34" s="63"/>
      <c r="O34" s="63"/>
      <c r="P34" s="63"/>
      <c r="Q34" s="63"/>
      <c r="R34" s="63"/>
    </row>
    <row r="35" spans="1:18" s="35" customFormat="1" ht="12.75" customHeight="1">
      <c r="A35" s="318"/>
      <c r="B35" s="318"/>
      <c r="C35" s="318"/>
      <c r="D35" s="318"/>
      <c r="E35" s="318"/>
      <c r="F35" s="38"/>
      <c r="G35" s="390" t="s">
        <v>349</v>
      </c>
      <c r="H35" s="339"/>
      <c r="I35" s="339"/>
      <c r="J35" s="66"/>
      <c r="L35" s="318"/>
      <c r="M35" s="318"/>
      <c r="N35" s="318"/>
      <c r="P35" s="318"/>
      <c r="Q35" s="318"/>
      <c r="R35" s="318"/>
    </row>
    <row r="36" spans="1:18" s="35" customFormat="1" ht="12.75" customHeight="1">
      <c r="A36" s="37"/>
      <c r="B36" s="37"/>
      <c r="C36" s="37"/>
      <c r="D36" s="60"/>
      <c r="E36" s="60"/>
      <c r="F36" s="60"/>
      <c r="G36" s="60"/>
      <c r="H36" s="67"/>
      <c r="I36" s="67"/>
      <c r="J36" s="66"/>
      <c r="L36" s="313" t="s">
        <v>253</v>
      </c>
      <c r="M36" s="314"/>
      <c r="N36" s="314"/>
      <c r="P36" s="313" t="s">
        <v>253</v>
      </c>
      <c r="Q36" s="314"/>
      <c r="R36" s="314"/>
    </row>
    <row r="37" spans="1:10" s="37" customFormat="1" ht="12.75" customHeight="1">
      <c r="A37" s="318"/>
      <c r="B37" s="318"/>
      <c r="C37" s="318"/>
      <c r="D37" s="318"/>
      <c r="E37" s="318"/>
      <c r="F37" s="38"/>
      <c r="G37" s="390" t="s">
        <v>349</v>
      </c>
      <c r="H37" s="339"/>
      <c r="I37" s="339"/>
      <c r="J37" s="66"/>
    </row>
    <row r="38" spans="1:10" s="35" customFormat="1" ht="12.75" customHeight="1">
      <c r="A38" s="37"/>
      <c r="B38" s="37"/>
      <c r="C38" s="37"/>
      <c r="D38" s="60"/>
      <c r="E38" s="60"/>
      <c r="F38" s="60"/>
      <c r="G38" s="60"/>
      <c r="H38" s="67"/>
      <c r="I38" s="67"/>
      <c r="J38" s="66"/>
    </row>
    <row r="39" spans="1:18" s="37" customFormat="1" ht="12.75" customHeight="1">
      <c r="A39" s="318"/>
      <c r="B39" s="318"/>
      <c r="C39" s="318"/>
      <c r="D39" s="318"/>
      <c r="E39" s="318"/>
      <c r="F39" s="38"/>
      <c r="G39" s="339"/>
      <c r="H39" s="339"/>
      <c r="I39" s="339"/>
      <c r="J39" s="66"/>
      <c r="L39" s="389" t="s">
        <v>347</v>
      </c>
      <c r="M39" s="321"/>
      <c r="N39" s="321"/>
      <c r="O39" s="65"/>
      <c r="P39" s="389" t="s">
        <v>346</v>
      </c>
      <c r="Q39" s="321"/>
      <c r="R39" s="321"/>
    </row>
    <row r="40" spans="1:18" s="35" customFormat="1" ht="12.75" customHeight="1">
      <c r="A40" s="37"/>
      <c r="B40" s="37"/>
      <c r="C40" s="37"/>
      <c r="D40" s="60"/>
      <c r="E40" s="60"/>
      <c r="F40" s="60"/>
      <c r="G40" s="60"/>
      <c r="H40" s="67"/>
      <c r="I40" s="67"/>
      <c r="J40" s="66"/>
      <c r="L40" s="313" t="s">
        <v>255</v>
      </c>
      <c r="M40" s="314"/>
      <c r="N40" s="314"/>
      <c r="O40" s="65"/>
      <c r="P40" s="313" t="s">
        <v>255</v>
      </c>
      <c r="Q40" s="314"/>
      <c r="R40" s="314"/>
    </row>
    <row r="41" spans="1:18" s="37" customFormat="1" ht="12.75" customHeight="1">
      <c r="A41" s="318"/>
      <c r="B41" s="318"/>
      <c r="C41" s="318"/>
      <c r="D41" s="318"/>
      <c r="E41" s="318"/>
      <c r="F41" s="38"/>
      <c r="G41" s="339"/>
      <c r="H41" s="339"/>
      <c r="I41" s="339"/>
      <c r="J41" s="66"/>
      <c r="M41" s="65"/>
      <c r="N41" s="65"/>
      <c r="O41" s="65"/>
      <c r="P41" s="65"/>
      <c r="Q41" s="65"/>
      <c r="R41" s="65"/>
    </row>
    <row r="42" spans="1:18" s="35" customFormat="1" ht="12.75" customHeight="1">
      <c r="A42" s="314" t="s">
        <v>86</v>
      </c>
      <c r="B42" s="314"/>
      <c r="C42" s="314"/>
      <c r="D42" s="314"/>
      <c r="E42" s="314"/>
      <c r="F42" s="38"/>
      <c r="G42" s="314" t="s">
        <v>43</v>
      </c>
      <c r="H42" s="314"/>
      <c r="I42" s="314"/>
      <c r="J42" s="50"/>
      <c r="M42" s="65"/>
      <c r="N42" s="65"/>
      <c r="O42" s="65"/>
      <c r="P42" s="65"/>
      <c r="Q42" s="65"/>
      <c r="R42" s="65"/>
    </row>
    <row r="43" spans="8:11" s="35" customFormat="1" ht="12.75" customHeight="1">
      <c r="H43" s="18"/>
      <c r="I43" s="18"/>
      <c r="J43" s="18"/>
      <c r="K43" s="37"/>
    </row>
    <row r="44" spans="8:11" s="35" customFormat="1" ht="12.75" customHeight="1">
      <c r="H44" s="18"/>
      <c r="I44" s="18"/>
      <c r="J44" s="18"/>
      <c r="K44" s="37"/>
    </row>
  </sheetData>
  <sheetProtection sheet="1"/>
  <mergeCells count="63">
    <mergeCell ref="A26:J26"/>
    <mergeCell ref="A27:J27"/>
    <mergeCell ref="A25:J25"/>
    <mergeCell ref="D12:H12"/>
    <mergeCell ref="C20:D20"/>
    <mergeCell ref="C21:D21"/>
    <mergeCell ref="G35:I35"/>
    <mergeCell ref="A33:E33"/>
    <mergeCell ref="F23:H23"/>
    <mergeCell ref="G33:I33"/>
    <mergeCell ref="F20:H20"/>
    <mergeCell ref="C22:D22"/>
    <mergeCell ref="A35:E35"/>
    <mergeCell ref="A29:E29"/>
    <mergeCell ref="A31:E31"/>
    <mergeCell ref="F21:H21"/>
    <mergeCell ref="O1:Q1"/>
    <mergeCell ref="J10:J11"/>
    <mergeCell ref="M1:N1"/>
    <mergeCell ref="G29:I29"/>
    <mergeCell ref="G31:I31"/>
    <mergeCell ref="G42:I42"/>
    <mergeCell ref="F22:H22"/>
    <mergeCell ref="B16:I16"/>
    <mergeCell ref="B19:I19"/>
    <mergeCell ref="A41:E41"/>
    <mergeCell ref="A42:E42"/>
    <mergeCell ref="G37:I37"/>
    <mergeCell ref="G39:I39"/>
    <mergeCell ref="A37:E37"/>
    <mergeCell ref="A39:E39"/>
    <mergeCell ref="G41:I41"/>
    <mergeCell ref="A1:C1"/>
    <mergeCell ref="B6:I6"/>
    <mergeCell ref="B8:I8"/>
    <mergeCell ref="B10:I10"/>
    <mergeCell ref="D1:I1"/>
    <mergeCell ref="D2:I2"/>
    <mergeCell ref="D3:I3"/>
    <mergeCell ref="D4:I4"/>
    <mergeCell ref="B11:I11"/>
    <mergeCell ref="L13:Q13"/>
    <mergeCell ref="L11:P11"/>
    <mergeCell ref="L22:R22"/>
    <mergeCell ref="N23:O23"/>
    <mergeCell ref="R23:U23"/>
    <mergeCell ref="B13:I13"/>
    <mergeCell ref="L25:N25"/>
    <mergeCell ref="P36:R36"/>
    <mergeCell ref="P35:R35"/>
    <mergeCell ref="P39:R39"/>
    <mergeCell ref="P26:R26"/>
    <mergeCell ref="L36:N36"/>
    <mergeCell ref="L40:N40"/>
    <mergeCell ref="L30:M30"/>
    <mergeCell ref="N30:R30"/>
    <mergeCell ref="L32:N32"/>
    <mergeCell ref="L35:N35"/>
    <mergeCell ref="O25:R25"/>
    <mergeCell ref="P40:R40"/>
    <mergeCell ref="L39:N39"/>
    <mergeCell ref="L29:R29"/>
    <mergeCell ref="M26:N26"/>
  </mergeCells>
  <dataValidations count="4">
    <dataValidation type="list" allowBlank="1" showErrorMessage="1" errorTitle="Invalid Entry" error="Please select the budget version from the drop down list." sqref="D12:H12">
      <formula1>"Proposed, Adopted, Revised #1, Revised #2, Revised #3, Revised #4"</formula1>
    </dataValidation>
    <dataValidation type="textLength" operator="equal" allowBlank="1" showInputMessage="1" showErrorMessage="1" error="This cell will only accept entries of 9 digits.  Enter your CTD number plus 3 zeros." sqref="R1">
      <formula1>9</formula1>
    </dataValidation>
    <dataValidation type="date" operator="greaterThan" allowBlank="1" showInputMessage="1" showErrorMessage="1" promptTitle="Enter Date as" prompt="MM/DD/YYYY" errorTitle="Date" error="Enter a Valid Date&#10;MM/DD/YYYY" sqref="L30:M30">
      <formula1>42139</formula1>
    </dataValidation>
    <dataValidation type="date" operator="greaterThan" allowBlank="1" showInputMessage="1" showErrorMessage="1" promptTitle="Enter Date as" prompt="MM/DD/YYYY" errorTitle="Date" error="Enter a Valid Date&#10;MM/DD/YYYY" sqref="F20:H22">
      <formula1>42870</formula1>
    </dataValidation>
  </dataValidations>
  <hyperlinks>
    <hyperlink ref="L13:Q13" location="EstimatedRevenues" display="ESTIMATED REVENUES BY SOURCE FOR FISCAL YEAR 2014"/>
    <hyperlink ref="O1:Q1" location="CTDSNumber" display="CTDS NUMBER"/>
    <hyperlink ref="B13:I13" location="Version" display="Version"/>
    <hyperlink ref="A25:J27" location="AdditionalTeacherSalaryIncreaseCover" display="We further attest that the Budget for Fiscal Year 2018, including the "/>
  </hyperlinks>
  <printOptions horizontalCentered="1" verticalCentered="1"/>
  <pageMargins left="0.75" right="0.5" top="0.25" bottom="0.25" header="0" footer="0"/>
  <pageSetup horizontalDpi="600" verticalDpi="600" orientation="landscape" paperSize="5" r:id="rId2"/>
  <headerFooter>
    <oddFooter>&amp;L&amp;"Arial,Bold"Rev. 5/17&amp;C&amp;"Arial,Bold"FY 2018</oddFooter>
  </headerFooter>
  <drawing r:id="rId1"/>
</worksheet>
</file>

<file path=xl/worksheets/sheet2.xml><?xml version="1.0" encoding="utf-8"?>
<worksheet xmlns="http://schemas.openxmlformats.org/spreadsheetml/2006/main" xmlns:r="http://schemas.openxmlformats.org/officeDocument/2006/relationships">
  <sheetPr codeName="Sheet2"/>
  <dimension ref="A1:R52"/>
  <sheetViews>
    <sheetView showGridLines="0" workbookViewId="0" topLeftCell="A4">
      <selection activeCell="F9" sqref="F9"/>
    </sheetView>
  </sheetViews>
  <sheetFormatPr defaultColWidth="9.140625" defaultRowHeight="12.75" customHeight="1"/>
  <cols>
    <col min="1" max="1" width="1.57421875" style="17" customWidth="1"/>
    <col min="2" max="2" width="1.7109375" style="17" customWidth="1"/>
    <col min="3" max="3" width="14.7109375" style="17" customWidth="1"/>
    <col min="4" max="4" width="32.8515625" style="17" customWidth="1"/>
    <col min="5" max="5" width="3.8515625" style="17" customWidth="1"/>
    <col min="6" max="13" width="12.7109375" style="17" customWidth="1"/>
    <col min="14" max="14" width="3.8515625" style="15" customWidth="1"/>
    <col min="15" max="16384" width="9.140625" style="17" customWidth="1"/>
  </cols>
  <sheetData>
    <row r="1" spans="1:14" ht="12" customHeight="1">
      <c r="A1" s="17" t="s">
        <v>0</v>
      </c>
      <c r="D1" s="351" t="str">
        <f>Cover!D1</f>
        <v>Destiny School</v>
      </c>
      <c r="E1" s="351"/>
      <c r="F1" s="351"/>
      <c r="H1" s="70" t="s">
        <v>54</v>
      </c>
      <c r="I1" s="352" t="str">
        <f>Cover!M1</f>
        <v>Gila</v>
      </c>
      <c r="J1" s="352"/>
      <c r="L1" s="70" t="s">
        <v>91</v>
      </c>
      <c r="M1" s="353" t="str">
        <f>Cover!R1</f>
        <v>048701000</v>
      </c>
      <c r="N1" s="353"/>
    </row>
    <row r="2" spans="1:14" ht="3.75" customHeight="1">
      <c r="A2" s="122"/>
      <c r="B2" s="122"/>
      <c r="C2" s="122"/>
      <c r="D2" s="122"/>
      <c r="E2" s="122"/>
      <c r="F2" s="122"/>
      <c r="G2" s="122"/>
      <c r="H2" s="122"/>
      <c r="I2" s="122"/>
      <c r="J2" s="31"/>
      <c r="K2" s="31"/>
      <c r="L2" s="31"/>
      <c r="M2" s="31"/>
      <c r="N2" s="69"/>
    </row>
    <row r="3" spans="2:14" ht="12" customHeight="1">
      <c r="B3" s="252"/>
      <c r="F3" s="84"/>
      <c r="H3" s="84" t="s">
        <v>15</v>
      </c>
      <c r="I3" s="84"/>
      <c r="J3" s="84"/>
      <c r="K3" s="79" t="s">
        <v>62</v>
      </c>
      <c r="L3" s="80"/>
      <c r="M3" s="97"/>
      <c r="N3" s="123"/>
    </row>
    <row r="4" spans="1:14" ht="12" customHeight="1">
      <c r="A4" s="17" t="s">
        <v>13</v>
      </c>
      <c r="D4" s="354"/>
      <c r="F4" s="85"/>
      <c r="G4" s="264" t="s">
        <v>14</v>
      </c>
      <c r="H4" s="84" t="s">
        <v>18</v>
      </c>
      <c r="J4" s="85"/>
      <c r="K4" s="278" t="s">
        <v>250</v>
      </c>
      <c r="L4" s="84" t="s">
        <v>63</v>
      </c>
      <c r="M4" s="98" t="s">
        <v>64</v>
      </c>
      <c r="N4" s="123"/>
    </row>
    <row r="5" spans="4:14" ht="12" customHeight="1">
      <c r="D5" s="354"/>
      <c r="F5" s="84" t="s">
        <v>16</v>
      </c>
      <c r="G5" s="264" t="s">
        <v>17</v>
      </c>
      <c r="H5" s="84" t="s">
        <v>21</v>
      </c>
      <c r="I5" s="84" t="s">
        <v>19</v>
      </c>
      <c r="J5" s="84" t="s">
        <v>20</v>
      </c>
      <c r="K5" s="84" t="s">
        <v>55</v>
      </c>
      <c r="L5" s="84" t="s">
        <v>55</v>
      </c>
      <c r="M5" s="98" t="s">
        <v>65</v>
      </c>
      <c r="N5" s="123"/>
    </row>
    <row r="6" spans="1:14" ht="12" customHeight="1">
      <c r="A6" s="31" t="s">
        <v>12</v>
      </c>
      <c r="B6" s="31"/>
      <c r="C6" s="31"/>
      <c r="D6" s="31"/>
      <c r="E6" s="31"/>
      <c r="F6" s="87">
        <v>6100</v>
      </c>
      <c r="G6" s="87">
        <v>6200</v>
      </c>
      <c r="H6" s="87">
        <v>6500</v>
      </c>
      <c r="I6" s="87">
        <v>6600</v>
      </c>
      <c r="J6" s="87">
        <v>6800</v>
      </c>
      <c r="K6" s="84">
        <v>2017</v>
      </c>
      <c r="L6" s="98">
        <v>2018</v>
      </c>
      <c r="M6" s="98" t="s">
        <v>66</v>
      </c>
      <c r="N6" s="123"/>
    </row>
    <row r="7" spans="1:14" ht="12" customHeight="1">
      <c r="A7" s="17" t="s">
        <v>22</v>
      </c>
      <c r="F7" s="128"/>
      <c r="G7" s="128"/>
      <c r="H7" s="128"/>
      <c r="I7" s="128"/>
      <c r="J7" s="130"/>
      <c r="K7" s="1"/>
      <c r="L7" s="1"/>
      <c r="M7" s="77"/>
      <c r="N7" s="69"/>
    </row>
    <row r="8" spans="2:14" ht="12" customHeight="1">
      <c r="B8" s="17" t="s">
        <v>23</v>
      </c>
      <c r="E8" s="124">
        <v>1</v>
      </c>
      <c r="F8" s="106">
        <v>608500</v>
      </c>
      <c r="G8" s="106">
        <v>131863</v>
      </c>
      <c r="H8" s="106">
        <v>44605</v>
      </c>
      <c r="I8" s="106">
        <v>49800</v>
      </c>
      <c r="J8" s="168"/>
      <c r="K8" s="170">
        <v>813268</v>
      </c>
      <c r="L8" s="171">
        <f>SUM(F8:J8)</f>
        <v>834768</v>
      </c>
      <c r="M8" s="172">
        <f>IF(K8=0," ",(L8-K8)/K8)</f>
        <v>0.026</v>
      </c>
      <c r="N8" s="2">
        <v>1</v>
      </c>
    </row>
    <row r="9" spans="2:14" ht="12" customHeight="1">
      <c r="B9" s="17" t="s">
        <v>24</v>
      </c>
      <c r="E9" s="124"/>
      <c r="F9" s="128"/>
      <c r="G9" s="128"/>
      <c r="H9" s="128"/>
      <c r="I9" s="128"/>
      <c r="J9" s="130"/>
      <c r="K9" s="77"/>
      <c r="L9" s="77"/>
      <c r="M9" s="77"/>
      <c r="N9" s="2"/>
    </row>
    <row r="10" spans="2:14" ht="12" customHeight="1">
      <c r="B10" s="17" t="s">
        <v>131</v>
      </c>
      <c r="E10" s="124">
        <v>2</v>
      </c>
      <c r="F10" s="106">
        <v>79500</v>
      </c>
      <c r="G10" s="106">
        <v>20090</v>
      </c>
      <c r="H10" s="106"/>
      <c r="I10" s="106">
        <v>32000</v>
      </c>
      <c r="J10" s="168"/>
      <c r="K10" s="106">
        <v>130890</v>
      </c>
      <c r="L10" s="108">
        <f>SUM(F10:J10)</f>
        <v>131590</v>
      </c>
      <c r="M10" s="167">
        <f>IF(K10=0," ",(L10-K10)/K10)</f>
        <v>0.005</v>
      </c>
      <c r="N10" s="2">
        <v>2</v>
      </c>
    </row>
    <row r="11" spans="2:14" ht="12" customHeight="1">
      <c r="B11" s="17" t="s">
        <v>149</v>
      </c>
      <c r="E11" s="124">
        <v>3</v>
      </c>
      <c r="F11" s="25">
        <v>72880</v>
      </c>
      <c r="G11" s="25">
        <v>17992</v>
      </c>
      <c r="H11" s="25"/>
      <c r="I11" s="25"/>
      <c r="J11" s="25"/>
      <c r="K11" s="25">
        <v>90272</v>
      </c>
      <c r="L11" s="6">
        <f aca="true" t="shared" si="0" ref="L11:L23">SUM(F11:J11)</f>
        <v>90872</v>
      </c>
      <c r="M11" s="12">
        <f aca="true" t="shared" si="1" ref="M11:M23">IF(K11=0," ",(L11-K11)/K11)</f>
        <v>0.007</v>
      </c>
      <c r="N11" s="91">
        <v>3</v>
      </c>
    </row>
    <row r="12" spans="2:14" ht="12" customHeight="1">
      <c r="B12" s="17" t="s">
        <v>25</v>
      </c>
      <c r="E12" s="124">
        <v>4</v>
      </c>
      <c r="F12" s="25">
        <v>147000</v>
      </c>
      <c r="G12" s="25">
        <v>28960</v>
      </c>
      <c r="H12" s="25"/>
      <c r="I12" s="25">
        <v>8800</v>
      </c>
      <c r="J12" s="25">
        <v>37025</v>
      </c>
      <c r="K12" s="26">
        <v>218585</v>
      </c>
      <c r="L12" s="6">
        <f t="shared" si="0"/>
        <v>221785</v>
      </c>
      <c r="M12" s="12">
        <f t="shared" si="1"/>
        <v>0.015</v>
      </c>
      <c r="N12" s="91">
        <v>4</v>
      </c>
    </row>
    <row r="13" spans="2:14" ht="12" customHeight="1">
      <c r="B13" s="17" t="s">
        <v>26</v>
      </c>
      <c r="E13" s="124">
        <v>5</v>
      </c>
      <c r="F13" s="25">
        <v>70125</v>
      </c>
      <c r="G13" s="25">
        <v>32300</v>
      </c>
      <c r="H13" s="25">
        <v>15500</v>
      </c>
      <c r="I13" s="25">
        <v>4300</v>
      </c>
      <c r="J13" s="25">
        <v>1380</v>
      </c>
      <c r="K13" s="26">
        <v>123311</v>
      </c>
      <c r="L13" s="6">
        <f t="shared" si="0"/>
        <v>123605</v>
      </c>
      <c r="M13" s="12">
        <f t="shared" si="1"/>
        <v>0.002</v>
      </c>
      <c r="N13" s="91">
        <v>5</v>
      </c>
    </row>
    <row r="14" spans="2:14" ht="12" customHeight="1">
      <c r="B14" s="17" t="s">
        <v>150</v>
      </c>
      <c r="E14" s="124">
        <v>6</v>
      </c>
      <c r="F14" s="25"/>
      <c r="G14" s="25"/>
      <c r="H14" s="25"/>
      <c r="I14" s="25"/>
      <c r="J14" s="25">
        <v>118500</v>
      </c>
      <c r="K14" s="26">
        <v>118500</v>
      </c>
      <c r="L14" s="6">
        <f>SUM(F14:J14)</f>
        <v>118500</v>
      </c>
      <c r="M14" s="12">
        <f t="shared" si="1"/>
        <v>0</v>
      </c>
      <c r="N14" s="91">
        <v>6</v>
      </c>
    </row>
    <row r="15" spans="2:14" ht="12" customHeight="1">
      <c r="B15" s="17" t="s">
        <v>151</v>
      </c>
      <c r="E15" s="124">
        <v>7</v>
      </c>
      <c r="F15" s="25">
        <v>140318</v>
      </c>
      <c r="G15" s="25">
        <v>28147</v>
      </c>
      <c r="H15" s="25">
        <v>36800</v>
      </c>
      <c r="I15" s="25">
        <v>79640</v>
      </c>
      <c r="J15" s="25">
        <v>38000</v>
      </c>
      <c r="K15" s="26">
        <v>322905</v>
      </c>
      <c r="L15" s="6">
        <f t="shared" si="0"/>
        <v>322905</v>
      </c>
      <c r="M15" s="12">
        <f t="shared" si="1"/>
        <v>0</v>
      </c>
      <c r="N15" s="91">
        <v>7</v>
      </c>
    </row>
    <row r="16" spans="2:14" ht="12" customHeight="1">
      <c r="B16" s="17" t="s">
        <v>76</v>
      </c>
      <c r="E16" s="124">
        <v>8</v>
      </c>
      <c r="F16" s="25"/>
      <c r="G16" s="25"/>
      <c r="H16" s="25">
        <v>20000</v>
      </c>
      <c r="I16" s="25"/>
      <c r="J16" s="25"/>
      <c r="K16" s="26">
        <v>20000</v>
      </c>
      <c r="L16" s="6">
        <f t="shared" si="0"/>
        <v>20000</v>
      </c>
      <c r="M16" s="12">
        <f t="shared" si="1"/>
        <v>0</v>
      </c>
      <c r="N16" s="91">
        <v>8</v>
      </c>
    </row>
    <row r="17" spans="2:14" ht="12" customHeight="1">
      <c r="B17" s="17" t="s">
        <v>27</v>
      </c>
      <c r="E17" s="124">
        <v>9</v>
      </c>
      <c r="F17" s="25"/>
      <c r="G17" s="25"/>
      <c r="H17" s="25"/>
      <c r="I17" s="25"/>
      <c r="J17" s="25"/>
      <c r="K17" s="26">
        <f>[1]!SP1000P100F3000</f>
        <v>0</v>
      </c>
      <c r="L17" s="6">
        <f t="shared" si="0"/>
        <v>0</v>
      </c>
      <c r="M17" s="12" t="str">
        <f t="shared" si="1"/>
        <v> </v>
      </c>
      <c r="N17" s="91">
        <v>9</v>
      </c>
    </row>
    <row r="18" spans="2:14" ht="12" customHeight="1">
      <c r="B18" s="17" t="s">
        <v>152</v>
      </c>
      <c r="E18" s="3">
        <v>10</v>
      </c>
      <c r="F18" s="25"/>
      <c r="G18" s="25"/>
      <c r="H18" s="25"/>
      <c r="I18" s="25">
        <v>25000</v>
      </c>
      <c r="J18" s="25"/>
      <c r="K18" s="26">
        <v>32000</v>
      </c>
      <c r="L18" s="6">
        <f t="shared" si="0"/>
        <v>25000</v>
      </c>
      <c r="M18" s="12">
        <f t="shared" si="1"/>
        <v>-0.219</v>
      </c>
      <c r="N18" s="91">
        <v>10</v>
      </c>
    </row>
    <row r="19" spans="1:14" ht="12" customHeight="1">
      <c r="A19" s="14"/>
      <c r="B19" s="14" t="s">
        <v>28</v>
      </c>
      <c r="C19" s="14"/>
      <c r="D19" s="14"/>
      <c r="E19" s="21">
        <v>11</v>
      </c>
      <c r="F19" s="125"/>
      <c r="G19" s="25"/>
      <c r="H19" s="25"/>
      <c r="I19" s="25"/>
      <c r="J19" s="25"/>
      <c r="K19" s="26">
        <f>[1]!SP1000P100F5000</f>
        <v>0</v>
      </c>
      <c r="L19" s="6">
        <f t="shared" si="0"/>
        <v>0</v>
      </c>
      <c r="M19" s="12" t="str">
        <f t="shared" si="1"/>
        <v> </v>
      </c>
      <c r="N19" s="91">
        <v>11</v>
      </c>
    </row>
    <row r="20" spans="1:14" ht="12" customHeight="1">
      <c r="A20" s="14" t="s">
        <v>77</v>
      </c>
      <c r="B20" s="14"/>
      <c r="C20" s="14"/>
      <c r="D20" s="14"/>
      <c r="E20" s="21">
        <v>12</v>
      </c>
      <c r="F20" s="125"/>
      <c r="G20" s="25"/>
      <c r="H20" s="25"/>
      <c r="I20" s="25"/>
      <c r="J20" s="25"/>
      <c r="K20" s="25">
        <f>[1]!SP1000P610</f>
        <v>0</v>
      </c>
      <c r="L20" s="6">
        <f t="shared" si="0"/>
        <v>0</v>
      </c>
      <c r="M20" s="12" t="str">
        <f t="shared" si="1"/>
        <v> </v>
      </c>
      <c r="N20" s="91">
        <v>12</v>
      </c>
    </row>
    <row r="21" spans="1:14" ht="12" customHeight="1">
      <c r="A21" s="14" t="s">
        <v>79</v>
      </c>
      <c r="B21" s="14"/>
      <c r="C21" s="14"/>
      <c r="D21" s="14"/>
      <c r="E21" s="21">
        <v>13</v>
      </c>
      <c r="F21" s="125">
        <v>33940</v>
      </c>
      <c r="G21" s="25"/>
      <c r="H21" s="25">
        <v>1850</v>
      </c>
      <c r="I21" s="25">
        <v>1000</v>
      </c>
      <c r="J21" s="25"/>
      <c r="K21" s="25">
        <v>38790</v>
      </c>
      <c r="L21" s="6">
        <f>SUM(F21:J21)</f>
        <v>36790</v>
      </c>
      <c r="M21" s="12">
        <f t="shared" si="1"/>
        <v>-0.052</v>
      </c>
      <c r="N21" s="91">
        <v>13</v>
      </c>
    </row>
    <row r="22" spans="1:14" ht="12" customHeight="1">
      <c r="A22" s="14" t="s">
        <v>78</v>
      </c>
      <c r="B22" s="14"/>
      <c r="C22" s="14"/>
      <c r="D22" s="14"/>
      <c r="E22" s="21">
        <v>14</v>
      </c>
      <c r="F22" s="125"/>
      <c r="G22" s="25"/>
      <c r="H22" s="25"/>
      <c r="I22" s="25"/>
      <c r="J22" s="25"/>
      <c r="K22" s="25">
        <f>[1]!SP1000P630700800900</f>
        <v>0</v>
      </c>
      <c r="L22" s="6">
        <f t="shared" si="0"/>
        <v>0</v>
      </c>
      <c r="M22" s="12" t="str">
        <f t="shared" si="1"/>
        <v> </v>
      </c>
      <c r="N22" s="91">
        <v>14</v>
      </c>
    </row>
    <row r="23" spans="1:14" ht="12" customHeight="1">
      <c r="A23" s="31"/>
      <c r="B23" s="31" t="s">
        <v>144</v>
      </c>
      <c r="C23" s="31"/>
      <c r="D23" s="31"/>
      <c r="E23" s="23">
        <v>15</v>
      </c>
      <c r="F23" s="6">
        <f>SUM(F7:F22)</f>
        <v>1152263</v>
      </c>
      <c r="G23" s="6">
        <f>SUM(G7:G22)</f>
        <v>259352</v>
      </c>
      <c r="H23" s="6">
        <f>SUM(H7:H22)</f>
        <v>118755</v>
      </c>
      <c r="I23" s="6">
        <f>SUM(I7:I22)</f>
        <v>200540</v>
      </c>
      <c r="J23" s="6">
        <f>SUM(J7:J22)</f>
        <v>194905</v>
      </c>
      <c r="K23" s="164">
        <f>SUM(K8:K22)</f>
        <v>1908521</v>
      </c>
      <c r="L23" s="164">
        <f t="shared" si="0"/>
        <v>1925815</v>
      </c>
      <c r="M23" s="12">
        <f t="shared" si="1"/>
        <v>0.009</v>
      </c>
      <c r="N23" s="91">
        <v>15</v>
      </c>
    </row>
    <row r="24" spans="1:14" ht="12" customHeight="1">
      <c r="A24" s="303" t="s">
        <v>29</v>
      </c>
      <c r="B24" s="256"/>
      <c r="C24" s="256"/>
      <c r="D24" s="257"/>
      <c r="E24" s="124"/>
      <c r="F24" s="128"/>
      <c r="G24" s="128"/>
      <c r="H24" s="128"/>
      <c r="I24" s="128"/>
      <c r="J24" s="130"/>
      <c r="K24" s="77"/>
      <c r="L24" s="77"/>
      <c r="M24" s="77"/>
      <c r="N24" s="91"/>
    </row>
    <row r="25" spans="2:14" ht="12" customHeight="1">
      <c r="B25" s="17" t="s">
        <v>23</v>
      </c>
      <c r="D25" s="14"/>
      <c r="E25" s="124">
        <v>16</v>
      </c>
      <c r="F25" s="106">
        <v>80000</v>
      </c>
      <c r="G25" s="106">
        <v>28750</v>
      </c>
      <c r="H25" s="106">
        <v>34800</v>
      </c>
      <c r="I25" s="106">
        <v>24900</v>
      </c>
      <c r="J25" s="168"/>
      <c r="K25" s="106">
        <v>167555</v>
      </c>
      <c r="L25" s="108">
        <f>SUM(F25:J25)</f>
        <v>168450</v>
      </c>
      <c r="M25" s="237">
        <f>IF(K25=0," ",(L25-K25)/K25)</f>
        <v>0.005</v>
      </c>
      <c r="N25" s="91">
        <v>16</v>
      </c>
    </row>
    <row r="26" spans="2:14" ht="12" customHeight="1">
      <c r="B26" s="17" t="s">
        <v>24</v>
      </c>
      <c r="E26" s="124"/>
      <c r="F26" s="128"/>
      <c r="G26" s="128"/>
      <c r="H26" s="128"/>
      <c r="I26" s="128"/>
      <c r="J26" s="130"/>
      <c r="K26" s="77"/>
      <c r="L26" s="77"/>
      <c r="M26" s="77"/>
      <c r="N26" s="91"/>
    </row>
    <row r="27" spans="2:14" ht="12" customHeight="1">
      <c r="B27" s="17" t="s">
        <v>131</v>
      </c>
      <c r="E27" s="21">
        <v>17</v>
      </c>
      <c r="F27" s="106"/>
      <c r="G27" s="106"/>
      <c r="H27" s="106"/>
      <c r="I27" s="106"/>
      <c r="J27" s="168"/>
      <c r="K27" s="106"/>
      <c r="L27" s="108">
        <f>SUM(F27:J27)</f>
        <v>0</v>
      </c>
      <c r="M27" s="237" t="str">
        <f>IF(K27=0," ",(L27-K27)/K27)</f>
        <v> </v>
      </c>
      <c r="N27" s="91">
        <v>17</v>
      </c>
    </row>
    <row r="28" spans="2:14" ht="12" customHeight="1">
      <c r="B28" s="17" t="s">
        <v>149</v>
      </c>
      <c r="E28" s="21">
        <v>18</v>
      </c>
      <c r="F28" s="25"/>
      <c r="G28" s="25"/>
      <c r="H28" s="25"/>
      <c r="I28" s="25"/>
      <c r="J28" s="25"/>
      <c r="K28" s="25">
        <f>[1]!SP1000P200F2200</f>
        <v>0</v>
      </c>
      <c r="L28" s="6">
        <f aca="true" t="shared" si="2" ref="L28:L42">SUM(F28:J28)</f>
        <v>0</v>
      </c>
      <c r="M28" s="131" t="str">
        <f aca="true" t="shared" si="3" ref="M28:M48">IF(K28=0," ",(L28-K28)/K28)</f>
        <v> </v>
      </c>
      <c r="N28" s="91">
        <v>18</v>
      </c>
    </row>
    <row r="29" spans="2:14" ht="12" customHeight="1">
      <c r="B29" s="17" t="s">
        <v>25</v>
      </c>
      <c r="E29" s="21">
        <v>19</v>
      </c>
      <c r="F29" s="25"/>
      <c r="G29" s="25"/>
      <c r="H29" s="25"/>
      <c r="I29" s="25"/>
      <c r="J29" s="25"/>
      <c r="K29" s="26">
        <f>[1]!SP1000P200F2300</f>
        <v>0</v>
      </c>
      <c r="L29" s="6">
        <f t="shared" si="2"/>
        <v>0</v>
      </c>
      <c r="M29" s="12" t="str">
        <f t="shared" si="3"/>
        <v> </v>
      </c>
      <c r="N29" s="91">
        <v>19</v>
      </c>
    </row>
    <row r="30" spans="2:14" ht="12" customHeight="1">
      <c r="B30" s="17" t="s">
        <v>26</v>
      </c>
      <c r="E30" s="21">
        <v>20</v>
      </c>
      <c r="F30" s="25"/>
      <c r="G30" s="25"/>
      <c r="H30" s="25"/>
      <c r="I30" s="25"/>
      <c r="J30" s="25"/>
      <c r="K30" s="26">
        <f>[1]!SP1000P200F2400</f>
        <v>0</v>
      </c>
      <c r="L30" s="6">
        <f t="shared" si="2"/>
        <v>0</v>
      </c>
      <c r="M30" s="12" t="str">
        <f t="shared" si="3"/>
        <v> </v>
      </c>
      <c r="N30" s="91">
        <v>20</v>
      </c>
    </row>
    <row r="31" spans="2:14" ht="12" customHeight="1">
      <c r="B31" s="17" t="s">
        <v>150</v>
      </c>
      <c r="E31" s="21">
        <v>21</v>
      </c>
      <c r="F31" s="25"/>
      <c r="G31" s="25"/>
      <c r="H31" s="25"/>
      <c r="I31" s="25"/>
      <c r="J31" s="25"/>
      <c r="K31" s="26">
        <f>[1]!SP1000P200F2500</f>
        <v>0</v>
      </c>
      <c r="L31" s="6">
        <f>SUM(F31:J31)</f>
        <v>0</v>
      </c>
      <c r="M31" s="12" t="str">
        <f t="shared" si="3"/>
        <v> </v>
      </c>
      <c r="N31" s="91">
        <v>21</v>
      </c>
    </row>
    <row r="32" spans="2:14" ht="12" customHeight="1">
      <c r="B32" s="17" t="s">
        <v>151</v>
      </c>
      <c r="E32" s="21">
        <v>22</v>
      </c>
      <c r="F32" s="25"/>
      <c r="G32" s="25"/>
      <c r="H32" s="25"/>
      <c r="I32" s="25"/>
      <c r="J32" s="25"/>
      <c r="K32" s="26">
        <f>[1]!SP1000P200F2600</f>
        <v>0</v>
      </c>
      <c r="L32" s="6">
        <f t="shared" si="2"/>
        <v>0</v>
      </c>
      <c r="M32" s="12" t="str">
        <f t="shared" si="3"/>
        <v> </v>
      </c>
      <c r="N32" s="91">
        <v>22</v>
      </c>
    </row>
    <row r="33" spans="2:14" ht="12" customHeight="1">
      <c r="B33" s="17" t="s">
        <v>76</v>
      </c>
      <c r="E33" s="21">
        <v>23</v>
      </c>
      <c r="F33" s="25"/>
      <c r="G33" s="25"/>
      <c r="H33" s="25"/>
      <c r="I33" s="25"/>
      <c r="J33" s="25"/>
      <c r="K33" s="26">
        <f>[1]!SP1000P200F2900</f>
        <v>0</v>
      </c>
      <c r="L33" s="6">
        <f t="shared" si="2"/>
        <v>0</v>
      </c>
      <c r="M33" s="12" t="str">
        <f t="shared" si="3"/>
        <v> </v>
      </c>
      <c r="N33" s="91">
        <v>23</v>
      </c>
    </row>
    <row r="34" spans="2:18" ht="12" customHeight="1">
      <c r="B34" s="17" t="s">
        <v>27</v>
      </c>
      <c r="E34" s="21">
        <v>24</v>
      </c>
      <c r="F34" s="25"/>
      <c r="G34" s="25"/>
      <c r="H34" s="25"/>
      <c r="I34" s="25"/>
      <c r="J34" s="25"/>
      <c r="K34" s="26">
        <f>[1]!SP1000P200F3000</f>
        <v>0</v>
      </c>
      <c r="L34" s="6">
        <f t="shared" si="2"/>
        <v>0</v>
      </c>
      <c r="M34" s="12" t="str">
        <f t="shared" si="3"/>
        <v> </v>
      </c>
      <c r="N34" s="91">
        <v>24</v>
      </c>
      <c r="R34" s="252"/>
    </row>
    <row r="35" spans="2:14" ht="12" customHeight="1">
      <c r="B35" s="17" t="s">
        <v>152</v>
      </c>
      <c r="E35" s="21">
        <v>25</v>
      </c>
      <c r="F35" s="25"/>
      <c r="G35" s="25"/>
      <c r="H35" s="25"/>
      <c r="I35" s="25"/>
      <c r="J35" s="25"/>
      <c r="K35" s="26">
        <f>[1]!SP1000P200F4000</f>
        <v>0</v>
      </c>
      <c r="L35" s="6">
        <f t="shared" si="2"/>
        <v>0</v>
      </c>
      <c r="M35" s="12" t="str">
        <f t="shared" si="3"/>
        <v> </v>
      </c>
      <c r="N35" s="91">
        <v>25</v>
      </c>
    </row>
    <row r="36" spans="1:14" ht="12" customHeight="1">
      <c r="A36" s="14"/>
      <c r="B36" s="14" t="s">
        <v>28</v>
      </c>
      <c r="C36" s="14"/>
      <c r="D36" s="14"/>
      <c r="E36" s="3">
        <v>26</v>
      </c>
      <c r="F36" s="25"/>
      <c r="G36" s="25"/>
      <c r="H36" s="25"/>
      <c r="I36" s="25"/>
      <c r="J36" s="25"/>
      <c r="K36" s="26">
        <f>[1]!SP1000P200F5000</f>
        <v>0</v>
      </c>
      <c r="L36" s="6">
        <f t="shared" si="2"/>
        <v>0</v>
      </c>
      <c r="M36" s="12" t="str">
        <f t="shared" si="3"/>
        <v> </v>
      </c>
      <c r="N36" s="91">
        <v>26</v>
      </c>
    </row>
    <row r="37" spans="1:14" ht="12" customHeight="1">
      <c r="A37" s="31"/>
      <c r="B37" s="31" t="s">
        <v>88</v>
      </c>
      <c r="C37" s="31"/>
      <c r="D37" s="31"/>
      <c r="E37" s="23">
        <v>27</v>
      </c>
      <c r="F37" s="20">
        <f>SUM(F24:F36)</f>
        <v>80000</v>
      </c>
      <c r="G37" s="20">
        <f>SUM(G24:G36)</f>
        <v>28750</v>
      </c>
      <c r="H37" s="20">
        <f>SUM(H24:H36)</f>
        <v>34800</v>
      </c>
      <c r="I37" s="20">
        <f>SUM(I24:I36)</f>
        <v>24900</v>
      </c>
      <c r="J37" s="20">
        <f>SUM(J24:J36)</f>
        <v>0</v>
      </c>
      <c r="K37" s="20">
        <f>SUM(K25:K36)</f>
        <v>167555</v>
      </c>
      <c r="L37" s="20">
        <f t="shared" si="2"/>
        <v>168450</v>
      </c>
      <c r="M37" s="131">
        <f t="shared" si="3"/>
        <v>0.005</v>
      </c>
      <c r="N37" s="91">
        <v>27</v>
      </c>
    </row>
    <row r="38" spans="1:14" s="14" customFormat="1" ht="0.75" customHeight="1">
      <c r="A38" t="s">
        <v>153</v>
      </c>
      <c r="B38"/>
      <c r="C38"/>
      <c r="D38"/>
      <c r="E38" s="3">
        <v>28</v>
      </c>
      <c r="F38" s="7"/>
      <c r="G38" s="7"/>
      <c r="H38" s="7"/>
      <c r="I38" s="7"/>
      <c r="J38" s="7"/>
      <c r="K38" s="7"/>
      <c r="L38" s="7"/>
      <c r="M38" s="302"/>
      <c r="N38" s="2">
        <v>28</v>
      </c>
    </row>
    <row r="39" spans="1:14" s="14" customFormat="1" ht="12" customHeight="1">
      <c r="A39" s="31" t="s">
        <v>30</v>
      </c>
      <c r="B39" s="31"/>
      <c r="C39" s="31"/>
      <c r="D39" s="31"/>
      <c r="E39" s="23">
        <v>28</v>
      </c>
      <c r="F39" s="25"/>
      <c r="G39" s="25"/>
      <c r="H39" s="25"/>
      <c r="I39" s="25"/>
      <c r="J39" s="25"/>
      <c r="K39" s="25">
        <f>[1]!SP1000P400</f>
        <v>0</v>
      </c>
      <c r="L39" s="6">
        <f t="shared" si="2"/>
        <v>0</v>
      </c>
      <c r="M39" s="12" t="str">
        <f t="shared" si="3"/>
        <v> </v>
      </c>
      <c r="N39" s="91">
        <v>28</v>
      </c>
    </row>
    <row r="40" spans="1:14" ht="12" customHeight="1">
      <c r="A40" s="31" t="s">
        <v>31</v>
      </c>
      <c r="B40" s="31"/>
      <c r="C40" s="31"/>
      <c r="D40" s="31"/>
      <c r="E40" s="5">
        <v>29</v>
      </c>
      <c r="F40" s="25"/>
      <c r="G40" s="25"/>
      <c r="H40" s="25"/>
      <c r="I40" s="25"/>
      <c r="J40" s="25"/>
      <c r="K40" s="26">
        <f>[1]!SP1000P530</f>
        <v>0</v>
      </c>
      <c r="L40" s="6">
        <f>SUM(F40:J40)</f>
        <v>0</v>
      </c>
      <c r="M40" s="12" t="str">
        <f t="shared" si="3"/>
        <v> </v>
      </c>
      <c r="N40" s="91">
        <v>29</v>
      </c>
    </row>
    <row r="41" spans="1:14" ht="12" customHeight="1">
      <c r="A41" s="31" t="s">
        <v>154</v>
      </c>
      <c r="B41" s="31"/>
      <c r="C41" s="31"/>
      <c r="D41" s="31"/>
      <c r="E41" s="5">
        <v>30</v>
      </c>
      <c r="F41" s="25"/>
      <c r="G41" s="25"/>
      <c r="H41" s="25"/>
      <c r="I41" s="25"/>
      <c r="J41" s="25"/>
      <c r="K41" s="26">
        <f>[1]!SP1000P540</f>
        <v>0</v>
      </c>
      <c r="L41" s="6">
        <f t="shared" si="2"/>
        <v>0</v>
      </c>
      <c r="M41" s="12" t="str">
        <f t="shared" si="3"/>
        <v> </v>
      </c>
      <c r="N41" s="91">
        <v>30</v>
      </c>
    </row>
    <row r="42" spans="1:14" ht="12" customHeight="1">
      <c r="A42" s="265" t="s">
        <v>218</v>
      </c>
      <c r="B42" s="260"/>
      <c r="C42" s="260"/>
      <c r="D42" s="260"/>
      <c r="E42" s="5">
        <v>31</v>
      </c>
      <c r="F42" s="25"/>
      <c r="G42" s="25"/>
      <c r="H42" s="25"/>
      <c r="I42" s="25"/>
      <c r="J42" s="25"/>
      <c r="K42" s="26">
        <f>[1]!SP1000P550</f>
        <v>0</v>
      </c>
      <c r="L42" s="6">
        <f t="shared" si="2"/>
        <v>0</v>
      </c>
      <c r="M42" s="12" t="str">
        <f t="shared" si="3"/>
        <v> </v>
      </c>
      <c r="N42" s="91">
        <v>31</v>
      </c>
    </row>
    <row r="43" spans="1:14" ht="12" customHeight="1">
      <c r="A43" s="31"/>
      <c r="B43" s="137" t="s">
        <v>274</v>
      </c>
      <c r="C43" s="31"/>
      <c r="D43" s="31"/>
      <c r="E43" s="5">
        <v>32</v>
      </c>
      <c r="F43" s="6">
        <f aca="true" t="shared" si="4" ref="F43:K43">SUM(F37:F42)+F23</f>
        <v>1232263</v>
      </c>
      <c r="G43" s="6">
        <f t="shared" si="4"/>
        <v>288102</v>
      </c>
      <c r="H43" s="6">
        <f t="shared" si="4"/>
        <v>153555</v>
      </c>
      <c r="I43" s="6">
        <f t="shared" si="4"/>
        <v>225440</v>
      </c>
      <c r="J43" s="6">
        <f t="shared" si="4"/>
        <v>194905</v>
      </c>
      <c r="K43" s="6">
        <f t="shared" si="4"/>
        <v>2076076</v>
      </c>
      <c r="L43" s="6">
        <f>SUM(F43:J43)</f>
        <v>2094265</v>
      </c>
      <c r="M43" s="12">
        <f t="shared" si="3"/>
        <v>0.009</v>
      </c>
      <c r="N43" s="91">
        <v>32</v>
      </c>
    </row>
    <row r="44" spans="1:14" ht="12" customHeight="1">
      <c r="A44" s="137" t="s">
        <v>265</v>
      </c>
      <c r="B44" s="31"/>
      <c r="C44" s="31"/>
      <c r="D44" s="31"/>
      <c r="E44" s="5">
        <v>33</v>
      </c>
      <c r="F44" s="6">
        <f>TotalCSP6100</f>
        <v>132600</v>
      </c>
      <c r="G44" s="6">
        <f>TotalCSP6200</f>
        <v>0</v>
      </c>
      <c r="H44" s="6">
        <f>TotalCSP630064006500</f>
        <v>0</v>
      </c>
      <c r="I44" s="6">
        <f>TotalCSP6600</f>
        <v>0</v>
      </c>
      <c r="J44" s="127"/>
      <c r="K44" s="25">
        <v>123386</v>
      </c>
      <c r="L44" s="6">
        <f>SUM(F44:J44)</f>
        <v>132600</v>
      </c>
      <c r="M44" s="12">
        <f t="shared" si="3"/>
        <v>0.075</v>
      </c>
      <c r="N44" s="91">
        <v>33</v>
      </c>
    </row>
    <row r="45" spans="1:14" ht="12" customHeight="1">
      <c r="A45" s="137" t="s">
        <v>266</v>
      </c>
      <c r="B45" s="31"/>
      <c r="C45" s="31"/>
      <c r="D45" s="31"/>
      <c r="E45" s="5">
        <v>34</v>
      </c>
      <c r="F45" s="127"/>
      <c r="G45" s="127"/>
      <c r="H45" s="127"/>
      <c r="I45" s="127"/>
      <c r="J45" s="127"/>
      <c r="K45" s="25">
        <v>8954</v>
      </c>
      <c r="L45" s="6">
        <f>TotalInstructionalImprovement</f>
        <v>9150</v>
      </c>
      <c r="M45" s="12">
        <f t="shared" si="3"/>
        <v>0.022</v>
      </c>
      <c r="N45" s="91">
        <v>34</v>
      </c>
    </row>
    <row r="46" spans="1:14" ht="12" customHeight="1">
      <c r="A46" s="137" t="s">
        <v>267</v>
      </c>
      <c r="B46" s="31"/>
      <c r="C46" s="31"/>
      <c r="D46" s="31"/>
      <c r="E46" s="5">
        <v>35</v>
      </c>
      <c r="F46" s="6">
        <f>TotalSEIP6100</f>
        <v>0</v>
      </c>
      <c r="G46" s="6">
        <f>TotalSEIP6200</f>
        <v>0</v>
      </c>
      <c r="H46" s="6">
        <f>TotalSEIP630064006500</f>
        <v>0</v>
      </c>
      <c r="I46" s="6">
        <f>TotalSEIP6600</f>
        <v>0</v>
      </c>
      <c r="J46" s="6">
        <f>TotalSEIP6800</f>
        <v>0</v>
      </c>
      <c r="K46" s="25">
        <f>[1]!SP1000StruEngImmProj</f>
        <v>0</v>
      </c>
      <c r="L46" s="6">
        <f>TotalSEIP</f>
        <v>0</v>
      </c>
      <c r="M46" s="12" t="str">
        <f t="shared" si="3"/>
        <v> </v>
      </c>
      <c r="N46" s="91">
        <v>35</v>
      </c>
    </row>
    <row r="47" spans="1:14" ht="12" customHeight="1">
      <c r="A47" s="137" t="s">
        <v>268</v>
      </c>
      <c r="B47" s="31"/>
      <c r="C47" s="31"/>
      <c r="D47" s="31"/>
      <c r="E47" s="5">
        <v>36</v>
      </c>
      <c r="F47" s="6">
        <f>TotalCIP6100</f>
        <v>0</v>
      </c>
      <c r="G47" s="6">
        <f>TotalCIP6200</f>
        <v>0</v>
      </c>
      <c r="H47" s="6">
        <f>TotalCIP630064006500</f>
        <v>0</v>
      </c>
      <c r="I47" s="6">
        <f>TotalCIP6600</f>
        <v>0</v>
      </c>
      <c r="J47" s="6">
        <f>TotalCIP6800</f>
        <v>0</v>
      </c>
      <c r="K47" s="26">
        <f>[1]!SP1000CompInstrProj</f>
        <v>0</v>
      </c>
      <c r="L47" s="6">
        <f>TotalCIP</f>
        <v>0</v>
      </c>
      <c r="M47" s="12" t="str">
        <f t="shared" si="3"/>
        <v> </v>
      </c>
      <c r="N47" s="91">
        <v>36</v>
      </c>
    </row>
    <row r="48" spans="1:14" ht="12" customHeight="1">
      <c r="A48" s="265" t="s">
        <v>311</v>
      </c>
      <c r="B48" s="260"/>
      <c r="C48" s="260"/>
      <c r="D48" s="260"/>
      <c r="E48" s="270">
        <v>37</v>
      </c>
      <c r="F48" s="127"/>
      <c r="G48" s="127"/>
      <c r="H48" s="127"/>
      <c r="I48" s="127"/>
      <c r="J48" s="127"/>
      <c r="K48" s="26">
        <v>826738</v>
      </c>
      <c r="L48" s="6">
        <f>FederalandStateProjectsTotal</f>
        <v>796015</v>
      </c>
      <c r="M48" s="12">
        <f t="shared" si="3"/>
        <v>-0.037</v>
      </c>
      <c r="N48" s="91">
        <v>37</v>
      </c>
    </row>
    <row r="49" spans="1:14" ht="12" customHeight="1">
      <c r="A49" s="96"/>
      <c r="B49" s="137" t="s">
        <v>281</v>
      </c>
      <c r="C49" s="31"/>
      <c r="D49" s="31"/>
      <c r="E49" s="5">
        <v>38</v>
      </c>
      <c r="F49" s="13">
        <f>SUM(F43+F44+F46+F47)</f>
        <v>1364863</v>
      </c>
      <c r="G49" s="13">
        <f>SUM(G43+G44+G46+G47)</f>
        <v>288102</v>
      </c>
      <c r="H49" s="13">
        <f>SUM(H43+H44+H46+H47)</f>
        <v>153555</v>
      </c>
      <c r="I49" s="13">
        <f>SUM(I43+I44+I46+I47)</f>
        <v>225440</v>
      </c>
      <c r="J49" s="13">
        <f>SUM(J43+J46+J47)</f>
        <v>194905</v>
      </c>
      <c r="K49" s="10">
        <f>SUM(K43:K48)</f>
        <v>3035154</v>
      </c>
      <c r="L49" s="10">
        <f>SUM(L43:L48)</f>
        <v>3032030</v>
      </c>
      <c r="M49" s="12">
        <f>IF(K49=0," ",(L49-K49)/K49)</f>
        <v>-0.001</v>
      </c>
      <c r="N49" s="91">
        <v>38</v>
      </c>
    </row>
    <row r="52" ht="12.75" customHeight="1">
      <c r="F52" s="252"/>
    </row>
  </sheetData>
  <sheetProtection sheet="1"/>
  <mergeCells count="4">
    <mergeCell ref="D1:F1"/>
    <mergeCell ref="I1:J1"/>
    <mergeCell ref="M1:N1"/>
    <mergeCell ref="D4:D5"/>
  </mergeCells>
  <hyperlinks>
    <hyperlink ref="G4" r:id="rId1" display="Employee"/>
    <hyperlink ref="G5" r:id="rId2" display="Benefits"/>
    <hyperlink ref="A24:D24" location="Pg1Program200" display="200 Special Education"/>
    <hyperlink ref="A42:D42" location="Pg1Program550" display="550 K-3 Reading"/>
    <hyperlink ref="G4:G5" location="Pg1EmployeeBenefits" display="Employee"/>
    <hyperlink ref="A48:D48" location="Pg1Line37" display="Federal and State Projects (from page 2, line 30)"/>
  </hyperlinks>
  <printOptions horizontalCentered="1" verticalCentered="1"/>
  <pageMargins left="0.75" right="0.5" top="0.25" bottom="0.25" header="0" footer="0"/>
  <pageSetup horizontalDpi="300" verticalDpi="300" orientation="landscape" paperSize="5" scale="97" r:id="rId4"/>
  <headerFooter>
    <oddFooter>&amp;L&amp;"Arial,Bold"Rev. 5/17&amp;C&amp;"Arial,Bold"FY 2018&amp;R&amp;"Arial,Bold"Page  1 of 4</oddFooter>
  </headerFooter>
  <ignoredErrors>
    <ignoredError sqref="L41 F23:J23 L28:L36 L11:L20 L39 L22" formulaRange="1"/>
  </ignoredErrors>
  <drawing r:id="rId3"/>
</worksheet>
</file>

<file path=xl/worksheets/sheet3.xml><?xml version="1.0" encoding="utf-8"?>
<worksheet xmlns="http://schemas.openxmlformats.org/spreadsheetml/2006/main" xmlns:r="http://schemas.openxmlformats.org/officeDocument/2006/relationships">
  <sheetPr codeName="Sheet3"/>
  <dimension ref="A1:X51"/>
  <sheetViews>
    <sheetView showGridLines="0" zoomScale="80" zoomScaleNormal="80" workbookViewId="0" topLeftCell="A1">
      <selection activeCell="N28" sqref="N28"/>
    </sheetView>
  </sheetViews>
  <sheetFormatPr defaultColWidth="9.140625" defaultRowHeight="12.75" customHeight="1"/>
  <cols>
    <col min="1" max="1" width="3.7109375" style="44" customWidth="1"/>
    <col min="2" max="2" width="14.57421875" style="44" customWidth="1"/>
    <col min="3" max="3" width="35.140625" style="44" customWidth="1"/>
    <col min="4" max="5" width="12.28125" style="44" customWidth="1"/>
    <col min="6" max="6" width="3.7109375" style="44" customWidth="1"/>
    <col min="7" max="7" width="5.28125" style="44" customWidth="1"/>
    <col min="8" max="8" width="27.421875" style="44" customWidth="1"/>
    <col min="9" max="9" width="6.7109375" style="44" customWidth="1"/>
    <col min="10" max="10" width="6.421875" style="44" customWidth="1"/>
    <col min="11" max="11" width="5.421875" style="44" customWidth="1"/>
    <col min="12" max="12" width="7.140625" style="44" customWidth="1"/>
    <col min="13" max="14" width="12.28125" style="44" customWidth="1"/>
    <col min="15" max="15" width="3.7109375" style="44" customWidth="1"/>
    <col min="16" max="16" width="7.7109375" style="44" customWidth="1"/>
    <col min="17" max="16384" width="9.140625" style="44" customWidth="1"/>
  </cols>
  <sheetData>
    <row r="1" spans="1:24" ht="13.5" customHeight="1">
      <c r="A1" s="113" t="s">
        <v>0</v>
      </c>
      <c r="C1" s="356" t="str">
        <f>Cover!D1</f>
        <v>Destiny School</v>
      </c>
      <c r="D1" s="357"/>
      <c r="E1" s="357"/>
      <c r="F1" s="357"/>
      <c r="H1" s="114" t="s">
        <v>1</v>
      </c>
      <c r="I1" s="358" t="str">
        <f>Cover!M1</f>
        <v>Gila</v>
      </c>
      <c r="J1" s="359"/>
      <c r="K1" s="359"/>
      <c r="M1" s="48" t="s">
        <v>91</v>
      </c>
      <c r="N1" s="262" t="str">
        <f>Cover!R1</f>
        <v>048701000</v>
      </c>
      <c r="P1" s="113"/>
      <c r="Q1" s="113"/>
      <c r="R1" s="113"/>
      <c r="S1" s="113"/>
      <c r="T1" s="113"/>
      <c r="U1" s="113"/>
      <c r="V1" s="113"/>
      <c r="W1" s="113"/>
      <c r="X1" s="113"/>
    </row>
    <row r="2" spans="1:24" ht="7.5" customHeight="1">
      <c r="A2" s="115"/>
      <c r="B2" s="36"/>
      <c r="C2" s="36"/>
      <c r="D2" s="60"/>
      <c r="E2" s="60"/>
      <c r="H2" s="249"/>
      <c r="I2" s="247"/>
      <c r="J2" s="247"/>
      <c r="K2" s="247"/>
      <c r="L2" s="247"/>
      <c r="M2" s="247"/>
      <c r="N2" s="247"/>
      <c r="O2" s="35"/>
      <c r="P2" s="113"/>
      <c r="Q2" s="113"/>
      <c r="R2" s="113"/>
      <c r="S2" s="113"/>
      <c r="T2" s="113"/>
      <c r="U2" s="113"/>
      <c r="V2" s="113"/>
      <c r="W2" s="113"/>
      <c r="X2" s="113"/>
    </row>
    <row r="3" spans="1:24" ht="12" customHeight="1">
      <c r="A3" s="340" t="s">
        <v>74</v>
      </c>
      <c r="B3" s="340"/>
      <c r="C3" s="340"/>
      <c r="D3" s="275"/>
      <c r="E3" s="275"/>
      <c r="H3" s="266" t="s">
        <v>57</v>
      </c>
      <c r="I3" s="259"/>
      <c r="J3" s="259"/>
      <c r="K3" s="259"/>
      <c r="L3" s="259"/>
      <c r="M3" s="259"/>
      <c r="N3" s="259"/>
      <c r="O3" s="35"/>
      <c r="P3" s="113"/>
      <c r="Q3" s="355"/>
      <c r="R3" s="355"/>
      <c r="S3" s="113"/>
      <c r="T3" s="113"/>
      <c r="U3" s="113"/>
      <c r="V3" s="113"/>
      <c r="W3" s="113"/>
      <c r="X3" s="113"/>
    </row>
    <row r="4" spans="1:24" ht="40.5" customHeight="1">
      <c r="A4" t="s">
        <v>32</v>
      </c>
      <c r="B4"/>
      <c r="C4"/>
      <c r="D4" s="140" t="s">
        <v>286</v>
      </c>
      <c r="E4" s="140" t="s">
        <v>287</v>
      </c>
      <c r="H4" s="36"/>
      <c r="I4" s="36"/>
      <c r="J4" s="36"/>
      <c r="K4" s="36"/>
      <c r="M4" s="140" t="s">
        <v>288</v>
      </c>
      <c r="N4" s="140" t="s">
        <v>289</v>
      </c>
      <c r="O4" s="18"/>
      <c r="P4" s="113"/>
      <c r="Q4" s="355"/>
      <c r="R4" s="355"/>
      <c r="S4" s="113"/>
      <c r="T4" s="113"/>
      <c r="U4" s="113"/>
      <c r="V4" s="113"/>
      <c r="W4" s="113"/>
      <c r="X4" s="113"/>
    </row>
    <row r="5" spans="1:24" ht="12" customHeight="1">
      <c r="A5" s="153">
        <v>1</v>
      </c>
      <c r="B5" s="155" t="s">
        <v>183</v>
      </c>
      <c r="C5" s="154"/>
      <c r="D5" s="148">
        <v>139591</v>
      </c>
      <c r="E5" s="148">
        <v>138825</v>
      </c>
      <c r="F5" s="117">
        <v>1</v>
      </c>
      <c r="G5" s="157">
        <v>1</v>
      </c>
      <c r="H5" s="271" t="s">
        <v>271</v>
      </c>
      <c r="I5" s="271"/>
      <c r="J5" s="292"/>
      <c r="K5" s="154"/>
      <c r="M5" s="149">
        <v>167550</v>
      </c>
      <c r="N5" s="149">
        <v>168450</v>
      </c>
      <c r="O5" s="32">
        <v>1</v>
      </c>
      <c r="P5" s="113"/>
      <c r="Q5" s="113"/>
      <c r="R5" s="274"/>
      <c r="S5" s="274"/>
      <c r="T5" s="113"/>
      <c r="U5" s="113"/>
      <c r="V5" s="113"/>
      <c r="W5" s="113"/>
      <c r="X5" s="113"/>
    </row>
    <row r="6" spans="1:24" ht="12" customHeight="1">
      <c r="A6" s="153">
        <v>2</v>
      </c>
      <c r="B6" s="155" t="s">
        <v>184</v>
      </c>
      <c r="C6" s="154"/>
      <c r="D6" s="148">
        <v>20000</v>
      </c>
      <c r="E6" s="148">
        <v>20000</v>
      </c>
      <c r="F6" s="117">
        <v>2</v>
      </c>
      <c r="G6" s="157">
        <v>2</v>
      </c>
      <c r="H6" s="154" t="s">
        <v>34</v>
      </c>
      <c r="I6" s="154"/>
      <c r="J6" s="154"/>
      <c r="K6" s="154"/>
      <c r="M6" s="149">
        <f>[1]!P200GiftedEducation</f>
        <v>0</v>
      </c>
      <c r="N6" s="149"/>
      <c r="O6" s="32">
        <v>2</v>
      </c>
      <c r="P6" s="113"/>
      <c r="Q6" s="113"/>
      <c r="R6" s="274"/>
      <c r="S6" s="274"/>
      <c r="T6" s="113"/>
      <c r="U6" s="113"/>
      <c r="V6" s="113"/>
      <c r="W6" s="113"/>
      <c r="X6" s="113"/>
    </row>
    <row r="7" spans="1:24" ht="12" customHeight="1">
      <c r="A7" s="153">
        <v>3</v>
      </c>
      <c r="B7" s="155" t="s">
        <v>185</v>
      </c>
      <c r="C7" s="154"/>
      <c r="D7" s="148">
        <f>[1]!FP1160TitleIV</f>
        <v>0</v>
      </c>
      <c r="E7" s="148"/>
      <c r="F7" s="117">
        <v>3</v>
      </c>
      <c r="G7" s="157">
        <v>3</v>
      </c>
      <c r="H7" s="154" t="s">
        <v>147</v>
      </c>
      <c r="I7" s="154"/>
      <c r="J7" s="154"/>
      <c r="K7" s="154"/>
      <c r="M7" s="148">
        <f>[1]!P200ELLIncrementalCosts</f>
        <v>0</v>
      </c>
      <c r="N7" s="148"/>
      <c r="O7" s="32">
        <v>3</v>
      </c>
      <c r="P7" s="113"/>
      <c r="Q7" s="113"/>
      <c r="R7" s="274"/>
      <c r="S7" s="274"/>
      <c r="T7" s="113"/>
      <c r="U7" s="113"/>
      <c r="V7" s="113"/>
      <c r="W7" s="113"/>
      <c r="X7" s="113"/>
    </row>
    <row r="8" spans="1:24" ht="12" customHeight="1">
      <c r="A8" s="153">
        <v>4</v>
      </c>
      <c r="B8" s="155" t="s">
        <v>186</v>
      </c>
      <c r="C8" s="154"/>
      <c r="D8" s="148">
        <f>[1]!FP11701180TitleV</f>
        <v>0</v>
      </c>
      <c r="E8" s="148"/>
      <c r="F8" s="117">
        <v>4</v>
      </c>
      <c r="G8" s="157">
        <v>4</v>
      </c>
      <c r="H8" s="154" t="s">
        <v>148</v>
      </c>
      <c r="I8" s="154"/>
      <c r="J8" s="154"/>
      <c r="K8" s="154"/>
      <c r="M8" s="148">
        <f>[1]!P200ELLCompensatoryInstruction</f>
        <v>0</v>
      </c>
      <c r="N8" s="148"/>
      <c r="O8" s="32">
        <v>4</v>
      </c>
      <c r="P8" s="113"/>
      <c r="Q8" s="113"/>
      <c r="R8" s="274"/>
      <c r="S8" s="274"/>
      <c r="T8" s="113"/>
      <c r="U8" s="113"/>
      <c r="V8" s="113"/>
      <c r="W8" s="113"/>
      <c r="X8" s="113"/>
    </row>
    <row r="9" spans="1:24" ht="12" customHeight="1">
      <c r="A9" s="153">
        <v>5</v>
      </c>
      <c r="B9" s="155" t="s">
        <v>187</v>
      </c>
      <c r="C9" s="154"/>
      <c r="D9" s="148">
        <f>[1]!FP1190TitleIII</f>
        <v>0</v>
      </c>
      <c r="E9" s="148"/>
      <c r="F9" s="117">
        <v>5</v>
      </c>
      <c r="G9" s="157">
        <v>5</v>
      </c>
      <c r="H9" s="154" t="s">
        <v>35</v>
      </c>
      <c r="I9" s="154"/>
      <c r="J9" s="154"/>
      <c r="K9" s="154"/>
      <c r="M9" s="148">
        <f>[1]!P200RemedialEducation</f>
        <v>0</v>
      </c>
      <c r="N9" s="148"/>
      <c r="O9" s="32">
        <v>5</v>
      </c>
      <c r="P9" s="113"/>
      <c r="Q9" s="113"/>
      <c r="R9" s="274"/>
      <c r="S9" s="274"/>
      <c r="T9" s="113"/>
      <c r="U9" s="113"/>
      <c r="V9" s="113"/>
      <c r="W9" s="113"/>
      <c r="X9" s="113"/>
    </row>
    <row r="10" spans="1:24" ht="12" customHeight="1">
      <c r="A10" s="153">
        <v>6</v>
      </c>
      <c r="B10" s="155" t="s">
        <v>188</v>
      </c>
      <c r="C10" s="154"/>
      <c r="D10" s="148">
        <f>[1]!FP1200TitleVII</f>
        <v>0</v>
      </c>
      <c r="E10" s="148"/>
      <c r="F10" s="117">
        <v>6</v>
      </c>
      <c r="G10" s="157">
        <v>6</v>
      </c>
      <c r="H10" s="154" t="s">
        <v>181</v>
      </c>
      <c r="I10" s="154"/>
      <c r="J10" s="154"/>
      <c r="K10" s="154"/>
      <c r="M10" s="148">
        <f>[1]!P200VocationalandTechnologicalEd</f>
        <v>0</v>
      </c>
      <c r="N10" s="148"/>
      <c r="O10" s="32">
        <v>6</v>
      </c>
      <c r="P10" s="113"/>
      <c r="Q10" s="113"/>
      <c r="R10" s="274"/>
      <c r="S10" s="274"/>
      <c r="T10" s="113"/>
      <c r="U10" s="113"/>
      <c r="V10" s="113"/>
      <c r="W10" s="113"/>
      <c r="X10" s="113"/>
    </row>
    <row r="11" spans="1:24" ht="12" customHeight="1">
      <c r="A11" s="153">
        <v>7</v>
      </c>
      <c r="B11" s="155" t="s">
        <v>189</v>
      </c>
      <c r="C11" s="154"/>
      <c r="D11" s="148">
        <f>[1]!FP1210TitleVI</f>
        <v>0</v>
      </c>
      <c r="E11" s="148"/>
      <c r="F11" s="117">
        <v>7</v>
      </c>
      <c r="G11" s="157">
        <v>7</v>
      </c>
      <c r="H11" s="154" t="s">
        <v>36</v>
      </c>
      <c r="I11" s="154"/>
      <c r="J11" s="154"/>
      <c r="K11" s="154"/>
      <c r="M11" s="148">
        <f>[1]!P200CareerEducation</f>
        <v>0</v>
      </c>
      <c r="N11" s="148"/>
      <c r="O11" s="32">
        <v>7</v>
      </c>
      <c r="P11" s="113"/>
      <c r="Q11" s="113"/>
      <c r="R11" s="274"/>
      <c r="S11" s="274"/>
      <c r="T11" s="113"/>
      <c r="U11" s="113"/>
      <c r="V11" s="113"/>
      <c r="W11" s="113"/>
      <c r="X11" s="113"/>
    </row>
    <row r="12" spans="1:24" ht="12" customHeight="1">
      <c r="A12" s="153">
        <v>8</v>
      </c>
      <c r="B12" s="154" t="s">
        <v>47</v>
      </c>
      <c r="C12" s="154"/>
      <c r="D12" s="148">
        <v>35415</v>
      </c>
      <c r="E12" s="148">
        <v>36425</v>
      </c>
      <c r="F12" s="117">
        <v>8</v>
      </c>
      <c r="G12" s="157">
        <v>8</v>
      </c>
      <c r="H12" s="271" t="s">
        <v>270</v>
      </c>
      <c r="I12" s="271"/>
      <c r="J12" s="292"/>
      <c r="K12" s="154"/>
      <c r="M12" s="294">
        <f>SUM(M5:M11)</f>
        <v>167550</v>
      </c>
      <c r="N12" s="294">
        <f>SUM(N5:N11)</f>
        <v>168450</v>
      </c>
      <c r="O12" s="32">
        <v>8</v>
      </c>
      <c r="P12" s="113"/>
      <c r="Q12" s="113"/>
      <c r="R12" s="274"/>
      <c r="S12" s="274"/>
      <c r="T12" s="113"/>
      <c r="U12" s="113"/>
      <c r="V12" s="113"/>
      <c r="W12" s="113"/>
      <c r="X12" s="113"/>
    </row>
    <row r="13" spans="1:24" ht="12" customHeight="1">
      <c r="A13" s="153">
        <v>9</v>
      </c>
      <c r="B13" s="154" t="s">
        <v>48</v>
      </c>
      <c r="C13" s="154"/>
      <c r="D13" s="148">
        <f>[1]!FP1230Johnson</f>
        <v>0</v>
      </c>
      <c r="E13" s="148"/>
      <c r="F13" s="117">
        <v>9</v>
      </c>
      <c r="G13" s="157"/>
      <c r="H13" s="155"/>
      <c r="I13" s="154"/>
      <c r="J13" s="154"/>
      <c r="K13" s="154"/>
      <c r="M13" s="160"/>
      <c r="N13" s="160"/>
      <c r="O13" s="32"/>
      <c r="P13" s="113"/>
      <c r="Q13" s="113"/>
      <c r="R13" s="274"/>
      <c r="S13" s="274"/>
      <c r="T13" s="113"/>
      <c r="U13" s="113"/>
      <c r="V13" s="113"/>
      <c r="W13" s="113"/>
      <c r="X13" s="113"/>
    </row>
    <row r="14" spans="1:24" ht="12" customHeight="1">
      <c r="A14" s="153">
        <v>10</v>
      </c>
      <c r="B14" s="154" t="s">
        <v>133</v>
      </c>
      <c r="C14" s="154"/>
      <c r="D14" s="148">
        <f>[1]!FP1240WIA</f>
        <v>0</v>
      </c>
      <c r="E14" s="148"/>
      <c r="F14" s="117">
        <v>10</v>
      </c>
      <c r="G14" s="157"/>
      <c r="H14" s="266" t="s">
        <v>176</v>
      </c>
      <c r="I14" s="259"/>
      <c r="J14" s="259"/>
      <c r="K14" s="259"/>
      <c r="L14" s="259"/>
      <c r="M14" s="160"/>
      <c r="N14" s="160"/>
      <c r="O14" s="32"/>
      <c r="P14" s="113"/>
      <c r="Q14" s="113"/>
      <c r="R14" s="274"/>
      <c r="S14" s="274"/>
      <c r="T14" s="113"/>
      <c r="U14" s="113"/>
      <c r="V14" s="113"/>
      <c r="W14" s="113"/>
      <c r="X14" s="113"/>
    </row>
    <row r="15" spans="1:24" ht="12" customHeight="1">
      <c r="A15" s="153">
        <v>11</v>
      </c>
      <c r="B15" s="155" t="s">
        <v>190</v>
      </c>
      <c r="C15" s="154"/>
      <c r="D15" s="148">
        <f>[1]!FP1250AEA</f>
        <v>0</v>
      </c>
      <c r="E15" s="148"/>
      <c r="F15" s="117">
        <v>11</v>
      </c>
      <c r="G15" s="157"/>
      <c r="H15" s="158" t="s">
        <v>136</v>
      </c>
      <c r="I15" s="14"/>
      <c r="M15" s="290"/>
      <c r="N15" s="289"/>
      <c r="O15" s="32"/>
      <c r="P15" s="113"/>
      <c r="Q15" s="113"/>
      <c r="R15" s="274"/>
      <c r="S15" s="274"/>
      <c r="T15" s="113"/>
      <c r="U15" s="113"/>
      <c r="V15" s="113"/>
      <c r="W15" s="113"/>
      <c r="X15" s="113"/>
    </row>
    <row r="16" spans="1:24" ht="12" customHeight="1">
      <c r="A16" s="153">
        <v>12</v>
      </c>
      <c r="B16" s="155" t="s">
        <v>191</v>
      </c>
      <c r="C16" s="154"/>
      <c r="D16" s="148">
        <f>[1]!FP12601270VocEd</f>
        <v>0</v>
      </c>
      <c r="E16" s="148"/>
      <c r="F16" s="117">
        <v>12</v>
      </c>
      <c r="G16" s="157"/>
      <c r="H16" s="154"/>
      <c r="I16" s="154"/>
      <c r="J16" s="154"/>
      <c r="K16" s="154"/>
      <c r="M16" s="362" t="s">
        <v>290</v>
      </c>
      <c r="N16" s="362" t="s">
        <v>287</v>
      </c>
      <c r="O16" s="32"/>
      <c r="P16" s="113"/>
      <c r="Q16" s="113"/>
      <c r="R16" s="274"/>
      <c r="S16" s="274"/>
      <c r="T16" s="113"/>
      <c r="U16" s="113"/>
      <c r="V16" s="113"/>
      <c r="W16" s="113"/>
      <c r="X16" s="113"/>
    </row>
    <row r="17" spans="1:24" ht="12" customHeight="1">
      <c r="A17" s="153">
        <v>13</v>
      </c>
      <c r="B17" s="155" t="s">
        <v>192</v>
      </c>
      <c r="C17" s="154"/>
      <c r="D17" s="148">
        <f>[1]!FP1280TitleX</f>
        <v>0</v>
      </c>
      <c r="E17" s="148"/>
      <c r="F17" s="117">
        <v>13</v>
      </c>
      <c r="G17" s="157"/>
      <c r="H17" s="154"/>
      <c r="I17" s="154"/>
      <c r="J17" s="154"/>
      <c r="K17" s="154"/>
      <c r="M17" s="362"/>
      <c r="N17" s="362"/>
      <c r="O17" s="32"/>
      <c r="P17" s="113"/>
      <c r="Q17" s="113"/>
      <c r="R17" s="274"/>
      <c r="S17" s="274"/>
      <c r="T17" s="113"/>
      <c r="U17" s="113"/>
      <c r="V17" s="113"/>
      <c r="W17" s="113"/>
      <c r="X17" s="113"/>
    </row>
    <row r="18" spans="1:24" ht="12" customHeight="1">
      <c r="A18" s="153">
        <v>14</v>
      </c>
      <c r="B18" s="155" t="s">
        <v>67</v>
      </c>
      <c r="C18" s="154"/>
      <c r="D18" s="148">
        <f>[1]!FP1290Medicaid</f>
        <v>0</v>
      </c>
      <c r="E18" s="148"/>
      <c r="F18" s="117">
        <v>14</v>
      </c>
      <c r="G18" s="153" t="s">
        <v>44</v>
      </c>
      <c r="H18" s="158" t="s">
        <v>134</v>
      </c>
      <c r="I18" s="158"/>
      <c r="J18" s="154"/>
      <c r="K18" s="154"/>
      <c r="M18" s="149">
        <v>8954</v>
      </c>
      <c r="N18" s="149">
        <v>9150</v>
      </c>
      <c r="O18" s="153" t="s">
        <v>44</v>
      </c>
      <c r="P18" s="113"/>
      <c r="Q18" s="113"/>
      <c r="R18" s="274"/>
      <c r="S18" s="274"/>
      <c r="T18" s="113"/>
      <c r="U18" s="113"/>
      <c r="V18" s="113"/>
      <c r="W18" s="113"/>
      <c r="X18" s="113"/>
    </row>
    <row r="19" spans="1:24" ht="12" customHeight="1">
      <c r="A19" s="153">
        <v>15</v>
      </c>
      <c r="B19" s="154" t="s">
        <v>75</v>
      </c>
      <c r="C19" s="154"/>
      <c r="D19" s="149">
        <f>[1]!FP1300Charter</f>
        <v>0</v>
      </c>
      <c r="E19" s="149"/>
      <c r="F19" s="117">
        <v>15</v>
      </c>
      <c r="G19" s="153" t="s">
        <v>45</v>
      </c>
      <c r="H19" s="159" t="s">
        <v>135</v>
      </c>
      <c r="I19" s="159"/>
      <c r="J19" s="288"/>
      <c r="M19" s="149">
        <f>[1]!IIPClassSizeReduction</f>
        <v>0</v>
      </c>
      <c r="N19" s="149"/>
      <c r="O19" s="153" t="s">
        <v>45</v>
      </c>
      <c r="P19" s="113"/>
      <c r="Q19" s="113"/>
      <c r="R19" s="274"/>
      <c r="S19" s="274"/>
      <c r="T19" s="113"/>
      <c r="U19" s="113"/>
      <c r="V19" s="113"/>
      <c r="W19" s="113"/>
      <c r="X19" s="113"/>
    </row>
    <row r="20" spans="1:24" ht="12" customHeight="1">
      <c r="A20" s="153">
        <v>16</v>
      </c>
      <c r="B20" s="155" t="s">
        <v>257</v>
      </c>
      <c r="C20" s="154"/>
      <c r="D20" s="284">
        <v>511000</v>
      </c>
      <c r="E20" s="284">
        <v>480000</v>
      </c>
      <c r="F20" s="117">
        <v>16</v>
      </c>
      <c r="G20" s="153" t="s">
        <v>107</v>
      </c>
      <c r="H20" s="271" t="s">
        <v>236</v>
      </c>
      <c r="I20" s="271"/>
      <c r="J20" s="292"/>
      <c r="K20" s="293"/>
      <c r="M20" s="149">
        <f>[1]!IIPDropoutPreventionPrograms</f>
        <v>0</v>
      </c>
      <c r="N20" s="149"/>
      <c r="O20" s="153" t="s">
        <v>107</v>
      </c>
      <c r="P20" s="113"/>
      <c r="Q20" s="113"/>
      <c r="R20" s="274"/>
      <c r="S20" s="274"/>
      <c r="T20" s="113"/>
      <c r="U20" s="113"/>
      <c r="V20" s="113"/>
      <c r="W20" s="113"/>
      <c r="X20" s="113"/>
    </row>
    <row r="21" spans="1:24" ht="12" customHeight="1" thickBot="1">
      <c r="A21" s="153">
        <v>17</v>
      </c>
      <c r="B21" s="154" t="s">
        <v>71</v>
      </c>
      <c r="C21" s="154"/>
      <c r="D21" s="150">
        <v>115000</v>
      </c>
      <c r="E21" s="150">
        <v>115000</v>
      </c>
      <c r="F21" s="117">
        <v>17</v>
      </c>
      <c r="G21" s="153" t="s">
        <v>108</v>
      </c>
      <c r="H21" s="271" t="s">
        <v>237</v>
      </c>
      <c r="I21" s="271"/>
      <c r="J21" s="292"/>
      <c r="K21" s="293"/>
      <c r="M21" s="150">
        <f>[1]!IIPInstructionalImprovementPrograms</f>
        <v>0</v>
      </c>
      <c r="N21" s="150"/>
      <c r="O21" s="153" t="s">
        <v>108</v>
      </c>
      <c r="P21" s="113"/>
      <c r="Q21" s="113"/>
      <c r="R21" s="274"/>
      <c r="S21" s="274"/>
      <c r="T21" s="113"/>
      <c r="U21" s="113"/>
      <c r="V21" s="113"/>
      <c r="W21" s="113"/>
      <c r="X21" s="113"/>
    </row>
    <row r="22" spans="1:24" ht="12" customHeight="1" thickBot="1">
      <c r="A22" s="153">
        <v>18</v>
      </c>
      <c r="B22" s="155" t="s">
        <v>256</v>
      </c>
      <c r="C22" s="154"/>
      <c r="D22" s="152">
        <f>SUM(D5:D21)</f>
        <v>821006</v>
      </c>
      <c r="E22" s="152">
        <f>SUM(E5:E21)</f>
        <v>790250</v>
      </c>
      <c r="F22" s="117">
        <v>18</v>
      </c>
      <c r="G22" s="153" t="s">
        <v>109</v>
      </c>
      <c r="H22" s="158" t="s">
        <v>137</v>
      </c>
      <c r="I22" s="158"/>
      <c r="J22" s="154"/>
      <c r="K22" s="154"/>
      <c r="M22" s="152">
        <f>SUM(M18:M21)</f>
        <v>8954</v>
      </c>
      <c r="N22" s="152">
        <f>SUM(N18:N21)</f>
        <v>9150</v>
      </c>
      <c r="O22" s="153" t="s">
        <v>109</v>
      </c>
      <c r="P22" s="113"/>
      <c r="Q22" s="113"/>
      <c r="R22" s="274"/>
      <c r="S22" s="274"/>
      <c r="T22" s="113"/>
      <c r="U22" s="113"/>
      <c r="V22" s="113"/>
      <c r="W22" s="113"/>
      <c r="X22" s="113"/>
    </row>
    <row r="23" spans="1:24" ht="12" customHeight="1" thickTop="1">
      <c r="A23" s="156" t="s">
        <v>33</v>
      </c>
      <c r="B23" s="154"/>
      <c r="C23" s="154"/>
      <c r="D23" s="194"/>
      <c r="E23" s="195"/>
      <c r="F23" s="117"/>
      <c r="K23" s="291"/>
      <c r="P23" s="113"/>
      <c r="Q23" s="113"/>
      <c r="R23" s="274"/>
      <c r="S23" s="274"/>
      <c r="T23" s="113"/>
      <c r="U23" s="113"/>
      <c r="V23" s="113"/>
      <c r="W23" s="113"/>
      <c r="X23" s="113"/>
    </row>
    <row r="24" spans="1:24" ht="12" customHeight="1">
      <c r="A24" s="153">
        <v>19</v>
      </c>
      <c r="B24" s="154" t="s">
        <v>49</v>
      </c>
      <c r="C24" s="154"/>
      <c r="D24" s="193">
        <f>[1]!SP1400VocEd</f>
        <v>0</v>
      </c>
      <c r="E24" s="193"/>
      <c r="F24" s="117">
        <v>19</v>
      </c>
      <c r="H24" s="115" t="s">
        <v>58</v>
      </c>
      <c r="I24" s="36"/>
      <c r="J24" s="36"/>
      <c r="L24" s="266" t="s">
        <v>60</v>
      </c>
      <c r="M24" s="259"/>
      <c r="N24" s="259"/>
      <c r="O24" s="259"/>
      <c r="P24" s="113"/>
      <c r="Q24" s="113"/>
      <c r="R24" s="274"/>
      <c r="S24" s="274"/>
      <c r="T24" s="113"/>
      <c r="U24" s="113"/>
      <c r="V24" s="113"/>
      <c r="W24" s="113"/>
      <c r="X24" s="113"/>
    </row>
    <row r="25" spans="1:24" ht="12" customHeight="1">
      <c r="A25" s="153">
        <v>20</v>
      </c>
      <c r="B25" s="154" t="s">
        <v>68</v>
      </c>
      <c r="C25" s="154"/>
      <c r="D25" s="148">
        <f>[1]!SP1410EarlyChildhoodBlockGrant</f>
        <v>0</v>
      </c>
      <c r="E25" s="148"/>
      <c r="F25" s="117">
        <v>20</v>
      </c>
      <c r="H25" s="115" t="s">
        <v>59</v>
      </c>
      <c r="I25" s="36"/>
      <c r="J25" s="36"/>
      <c r="L25" s="36" t="s">
        <v>40</v>
      </c>
      <c r="M25" s="36"/>
      <c r="N25" s="36"/>
      <c r="P25" s="113"/>
      <c r="Q25" s="113"/>
      <c r="R25" s="274"/>
      <c r="S25" s="274"/>
      <c r="T25" s="113"/>
      <c r="U25" s="113"/>
      <c r="V25" s="113"/>
      <c r="W25" s="113"/>
      <c r="X25" s="113"/>
    </row>
    <row r="26" spans="1:24" ht="12" customHeight="1">
      <c r="A26" s="153">
        <v>21</v>
      </c>
      <c r="B26" s="155" t="s">
        <v>193</v>
      </c>
      <c r="C26" s="154"/>
      <c r="D26" s="148">
        <f>[1]!FP1420ExtendedSchool</f>
        <v>0</v>
      </c>
      <c r="E26" s="148"/>
      <c r="F26" s="117">
        <v>21</v>
      </c>
      <c r="H26" s="44" t="s">
        <v>37</v>
      </c>
      <c r="I26" s="114" t="s">
        <v>38</v>
      </c>
      <c r="J26" s="119">
        <v>15</v>
      </c>
      <c r="L26" s="57" t="s">
        <v>41</v>
      </c>
      <c r="N26" s="28">
        <v>12600</v>
      </c>
      <c r="P26" s="113"/>
      <c r="Q26" s="113"/>
      <c r="R26" s="274"/>
      <c r="S26" s="274"/>
      <c r="T26" s="113"/>
      <c r="U26" s="113"/>
      <c r="V26" s="113"/>
      <c r="W26" s="113"/>
      <c r="X26" s="113"/>
    </row>
    <row r="27" spans="1:24" ht="12" customHeight="1">
      <c r="A27" s="153">
        <v>22</v>
      </c>
      <c r="B27" s="154" t="s">
        <v>50</v>
      </c>
      <c r="C27" s="154"/>
      <c r="D27" s="148">
        <f>[1]!SP1425AdultBasicEd</f>
        <v>0</v>
      </c>
      <c r="E27" s="148"/>
      <c r="F27" s="117">
        <v>22</v>
      </c>
      <c r="G27" s="282"/>
      <c r="H27" s="44" t="s">
        <v>39</v>
      </c>
      <c r="I27" s="114" t="s">
        <v>38</v>
      </c>
      <c r="J27" s="306">
        <v>10</v>
      </c>
      <c r="K27" s="154"/>
      <c r="L27" s="141" t="s">
        <v>42</v>
      </c>
      <c r="N27" s="28">
        <v>760880</v>
      </c>
      <c r="O27" s="32"/>
      <c r="P27" s="113"/>
      <c r="Q27" s="113"/>
      <c r="R27" s="274"/>
      <c r="S27" s="274"/>
      <c r="T27" s="113"/>
      <c r="U27" s="113"/>
      <c r="V27" s="113"/>
      <c r="W27" s="113"/>
      <c r="X27" s="113"/>
    </row>
    <row r="28" spans="1:24" ht="12" customHeight="1">
      <c r="A28" s="153">
        <v>23</v>
      </c>
      <c r="B28" s="154" t="s">
        <v>51</v>
      </c>
      <c r="C28" s="154"/>
      <c r="D28" s="148">
        <f>[1]!SP1430ChemicalAbuse</f>
        <v>0</v>
      </c>
      <c r="E28" s="148"/>
      <c r="F28" s="117">
        <v>23</v>
      </c>
      <c r="I28" s="114"/>
      <c r="J28" s="120"/>
      <c r="L28" s="141"/>
      <c r="N28" s="308"/>
      <c r="P28" s="113"/>
      <c r="Q28" s="113"/>
      <c r="R28" s="113"/>
      <c r="S28" s="113"/>
      <c r="T28" s="113"/>
      <c r="U28" s="113"/>
      <c r="V28" s="113"/>
      <c r="W28" s="113"/>
      <c r="X28" s="113"/>
    </row>
    <row r="29" spans="1:24" ht="12" customHeight="1">
      <c r="A29" s="153">
        <v>24</v>
      </c>
      <c r="B29" s="154" t="s">
        <v>52</v>
      </c>
      <c r="C29" s="154"/>
      <c r="D29" s="148">
        <f>[1]!SP1435AcademicContests</f>
        <v>0</v>
      </c>
      <c r="E29" s="148"/>
      <c r="F29" s="117">
        <v>24</v>
      </c>
      <c r="H29" s="267" t="s">
        <v>222</v>
      </c>
      <c r="I29" s="258"/>
      <c r="J29" s="258"/>
      <c r="K29" s="258"/>
      <c r="L29" s="258"/>
      <c r="M29" s="258"/>
      <c r="P29" s="113"/>
      <c r="Q29" s="113"/>
      <c r="R29" s="113"/>
      <c r="S29" s="113"/>
      <c r="T29" s="113"/>
      <c r="U29" s="113"/>
      <c r="V29" s="113"/>
      <c r="W29" s="113"/>
      <c r="X29" s="113"/>
    </row>
    <row r="30" spans="1:24" ht="12" customHeight="1">
      <c r="A30" s="153">
        <v>25</v>
      </c>
      <c r="B30" s="154" t="s">
        <v>155</v>
      </c>
      <c r="C30" s="154"/>
      <c r="D30" s="148">
        <f>[1]!SP1450GiftedEd</f>
        <v>0</v>
      </c>
      <c r="E30" s="148"/>
      <c r="F30" s="117">
        <v>25</v>
      </c>
      <c r="H30" s="267" t="s">
        <v>223</v>
      </c>
      <c r="I30" s="258"/>
      <c r="J30" s="258"/>
      <c r="K30" s="258"/>
      <c r="L30" s="258"/>
      <c r="M30" s="258"/>
      <c r="O30" s="118"/>
      <c r="P30" s="113"/>
      <c r="Q30" s="113"/>
      <c r="R30" s="113"/>
      <c r="S30" s="113"/>
      <c r="T30" s="113"/>
      <c r="U30" s="113"/>
      <c r="V30" s="113"/>
      <c r="W30" s="113"/>
      <c r="X30" s="113"/>
    </row>
    <row r="31" spans="1:24" ht="12" customHeight="1">
      <c r="A31" s="153">
        <v>26</v>
      </c>
      <c r="B31" s="271" t="s">
        <v>300</v>
      </c>
      <c r="C31" s="271"/>
      <c r="D31" s="310"/>
      <c r="E31" s="148"/>
      <c r="F31" s="117">
        <v>26</v>
      </c>
      <c r="H31" s="155" t="s">
        <v>220</v>
      </c>
      <c r="K31" s="36"/>
      <c r="M31" s="309"/>
      <c r="O31" s="118"/>
      <c r="P31" s="113"/>
      <c r="Q31" s="113"/>
      <c r="R31" s="113"/>
      <c r="S31" s="113"/>
      <c r="T31" s="113"/>
      <c r="U31" s="113"/>
      <c r="V31" s="113"/>
      <c r="W31" s="113"/>
      <c r="X31" s="113"/>
    </row>
    <row r="32" spans="1:24" ht="12" customHeight="1">
      <c r="A32" s="153">
        <v>27</v>
      </c>
      <c r="B32" s="271" t="s">
        <v>301</v>
      </c>
      <c r="C32" s="271"/>
      <c r="D32" s="310"/>
      <c r="E32" s="148"/>
      <c r="F32" s="117">
        <v>27</v>
      </c>
      <c r="H32" s="155" t="s">
        <v>221</v>
      </c>
      <c r="M32" s="309"/>
      <c r="N32" s="304">
        <v>2508</v>
      </c>
      <c r="O32" s="118"/>
      <c r="P32" s="113"/>
      <c r="Q32" s="113"/>
      <c r="R32" s="113"/>
      <c r="S32" s="113"/>
      <c r="T32" s="113"/>
      <c r="U32" s="113"/>
      <c r="V32" s="113"/>
      <c r="W32" s="113"/>
      <c r="X32" s="113"/>
    </row>
    <row r="33" spans="1:24" ht="12" customHeight="1">
      <c r="A33" s="153">
        <v>28</v>
      </c>
      <c r="B33" s="154" t="s">
        <v>53</v>
      </c>
      <c r="C33" s="154"/>
      <c r="D33" s="148">
        <f>[1]!SP1460EnvironmentalSpecialPlate</f>
        <v>0</v>
      </c>
      <c r="E33" s="148"/>
      <c r="F33" s="117">
        <v>28</v>
      </c>
      <c r="H33" s="155"/>
      <c r="K33" s="36"/>
      <c r="O33" s="35"/>
      <c r="P33" s="113"/>
      <c r="Q33" s="113"/>
      <c r="R33" s="113"/>
      <c r="S33" s="113"/>
      <c r="T33" s="113"/>
      <c r="U33" s="113"/>
      <c r="V33" s="113"/>
      <c r="W33" s="113"/>
      <c r="X33" s="113"/>
    </row>
    <row r="34" spans="1:24" ht="12" customHeight="1">
      <c r="A34" s="153">
        <v>29</v>
      </c>
      <c r="B34" s="154" t="s">
        <v>72</v>
      </c>
      <c r="C34" s="154"/>
      <c r="D34" s="148">
        <f>[1]!SP1465CharterSchool</f>
        <v>0</v>
      </c>
      <c r="E34" s="148"/>
      <c r="F34" s="117">
        <v>29</v>
      </c>
      <c r="H34" s="155"/>
      <c r="N34" s="146"/>
      <c r="P34" s="113"/>
      <c r="Q34" s="113"/>
      <c r="R34" s="113"/>
      <c r="S34" s="113"/>
      <c r="T34" s="113"/>
      <c r="U34" s="113"/>
      <c r="V34" s="113"/>
      <c r="W34" s="113"/>
      <c r="X34" s="113"/>
    </row>
    <row r="35" spans="1:24" ht="12" customHeight="1" thickBot="1">
      <c r="A35" s="153">
        <v>30</v>
      </c>
      <c r="B35" s="43" t="s">
        <v>73</v>
      </c>
      <c r="C35" s="43"/>
      <c r="D35" s="148">
        <v>5732</v>
      </c>
      <c r="E35" s="148">
        <v>5765</v>
      </c>
      <c r="F35" s="117">
        <v>30</v>
      </c>
      <c r="H35" s="273" t="s">
        <v>297</v>
      </c>
      <c r="I35" s="266"/>
      <c r="J35" s="273"/>
      <c r="K35" s="266"/>
      <c r="L35" s="273"/>
      <c r="M35" s="266"/>
      <c r="N35" s="267"/>
      <c r="P35" s="113"/>
      <c r="Q35" s="113"/>
      <c r="R35" s="113"/>
      <c r="S35" s="113"/>
      <c r="T35" s="113"/>
      <c r="U35" s="113"/>
      <c r="V35" s="113"/>
      <c r="W35" s="113"/>
      <c r="X35" s="113"/>
    </row>
    <row r="36" spans="1:24" ht="12" customHeight="1" thickBot="1">
      <c r="A36" s="153">
        <v>31</v>
      </c>
      <c r="B36" s="155" t="s">
        <v>305</v>
      </c>
      <c r="C36" s="154"/>
      <c r="D36" s="151">
        <f>SUM(D24:D35)</f>
        <v>5732</v>
      </c>
      <c r="E36" s="151">
        <f>SUM(E23:E35)</f>
        <v>5765</v>
      </c>
      <c r="F36" s="117">
        <v>31</v>
      </c>
      <c r="G36" s="153">
        <v>1</v>
      </c>
      <c r="H36" s="271" t="s">
        <v>331</v>
      </c>
      <c r="I36" s="271"/>
      <c r="J36" s="271"/>
      <c r="K36" s="271"/>
      <c r="L36" s="271"/>
      <c r="M36" s="271"/>
      <c r="N36" s="28">
        <v>13</v>
      </c>
      <c r="O36" s="153">
        <v>1</v>
      </c>
      <c r="P36" s="113"/>
      <c r="Q36" s="113"/>
      <c r="R36" s="113"/>
      <c r="S36" s="113"/>
      <c r="T36" s="113"/>
      <c r="U36" s="113"/>
      <c r="V36" s="113"/>
      <c r="W36" s="113"/>
      <c r="X36" s="113"/>
    </row>
    <row r="37" spans="1:24" ht="12" customHeight="1" thickBot="1" thickTop="1">
      <c r="A37" s="272">
        <v>32</v>
      </c>
      <c r="B37" s="155" t="s">
        <v>306</v>
      </c>
      <c r="C37" s="154"/>
      <c r="D37" s="152">
        <f>D22+D36</f>
        <v>826738</v>
      </c>
      <c r="E37" s="152">
        <f>E22+E36</f>
        <v>796015</v>
      </c>
      <c r="F37" s="117">
        <v>32</v>
      </c>
      <c r="G37" s="153">
        <v>2</v>
      </c>
      <c r="H37" s="271" t="s">
        <v>332</v>
      </c>
      <c r="I37" s="271"/>
      <c r="J37" s="271"/>
      <c r="K37" s="271"/>
      <c r="L37" s="271"/>
      <c r="M37" s="271"/>
      <c r="N37" s="27">
        <v>13</v>
      </c>
      <c r="O37" s="153">
        <v>2</v>
      </c>
      <c r="P37" s="113"/>
      <c r="Q37" s="113"/>
      <c r="R37" s="113"/>
      <c r="S37" s="113"/>
      <c r="T37" s="113"/>
      <c r="U37" s="113"/>
      <c r="V37" s="113"/>
      <c r="W37" s="113"/>
      <c r="X37" s="113"/>
    </row>
    <row r="38" spans="1:24" ht="12" customHeight="1" thickTop="1">
      <c r="A38" s="116"/>
      <c r="F38" s="32"/>
      <c r="G38" s="153">
        <v>3</v>
      </c>
      <c r="H38" s="271" t="s">
        <v>333</v>
      </c>
      <c r="I38" s="271"/>
      <c r="J38" s="292"/>
      <c r="K38" s="293"/>
      <c r="L38" s="271"/>
      <c r="M38" s="271"/>
      <c r="N38" s="27">
        <v>459751</v>
      </c>
      <c r="O38" s="153">
        <v>3</v>
      </c>
      <c r="P38" s="113"/>
      <c r="Q38" s="113"/>
      <c r="R38" s="113"/>
      <c r="S38" s="113"/>
      <c r="T38" s="113"/>
      <c r="U38" s="113"/>
      <c r="V38" s="113"/>
      <c r="W38" s="113"/>
      <c r="X38" s="113"/>
    </row>
    <row r="39" spans="2:24" ht="13.5" customHeight="1">
      <c r="B39" s="273" t="s">
        <v>61</v>
      </c>
      <c r="C39" s="266"/>
      <c r="D39" s="140" t="s">
        <v>251</v>
      </c>
      <c r="E39" s="140" t="s">
        <v>56</v>
      </c>
      <c r="F39" s="32"/>
      <c r="G39" s="153">
        <v>4</v>
      </c>
      <c r="H39" s="271" t="s">
        <v>334</v>
      </c>
      <c r="I39" s="271"/>
      <c r="J39" s="292"/>
      <c r="K39" s="293"/>
      <c r="L39" s="271"/>
      <c r="M39" s="271"/>
      <c r="N39" s="27">
        <v>459751</v>
      </c>
      <c r="O39" s="153">
        <v>4</v>
      </c>
      <c r="P39" s="113"/>
      <c r="Q39" s="113"/>
      <c r="R39" s="113"/>
      <c r="S39" s="113"/>
      <c r="T39" s="113"/>
      <c r="U39" s="113"/>
      <c r="V39" s="113"/>
      <c r="W39" s="113"/>
      <c r="X39" s="113"/>
    </row>
    <row r="40" spans="1:24" ht="12.75">
      <c r="A40" s="157">
        <v>1</v>
      </c>
      <c r="B40" s="154" t="s">
        <v>173</v>
      </c>
      <c r="D40" s="27">
        <f>[1]!CA0191Land</f>
        <v>0</v>
      </c>
      <c r="E40" s="28"/>
      <c r="F40" s="32">
        <v>1</v>
      </c>
      <c r="G40" s="153">
        <v>5</v>
      </c>
      <c r="H40" s="43" t="s">
        <v>314</v>
      </c>
      <c r="I40" s="43"/>
      <c r="J40" s="43"/>
      <c r="K40" s="43"/>
      <c r="L40" s="43"/>
      <c r="M40" s="43"/>
      <c r="N40" s="307">
        <f>N39*0.0106</f>
        <v>4873</v>
      </c>
      <c r="O40" s="153">
        <v>5</v>
      </c>
      <c r="P40" s="113"/>
      <c r="Q40" s="113"/>
      <c r="R40" s="113"/>
      <c r="S40" s="113"/>
      <c r="T40" s="113"/>
      <c r="U40" s="113"/>
      <c r="V40" s="113"/>
      <c r="W40" s="113"/>
      <c r="X40" s="113"/>
    </row>
    <row r="41" spans="1:24" ht="12" customHeight="1">
      <c r="A41" s="157">
        <v>2</v>
      </c>
      <c r="B41" s="154" t="s">
        <v>156</v>
      </c>
      <c r="D41" s="27">
        <v>3500</v>
      </c>
      <c r="E41" s="27">
        <v>3500</v>
      </c>
      <c r="F41" s="32">
        <v>2</v>
      </c>
      <c r="G41" s="153">
        <v>6</v>
      </c>
      <c r="H41" s="271" t="s">
        <v>315</v>
      </c>
      <c r="I41" s="271"/>
      <c r="J41" s="292"/>
      <c r="K41" s="293"/>
      <c r="L41" s="271"/>
      <c r="M41" s="271"/>
      <c r="N41" s="27">
        <v>560</v>
      </c>
      <c r="O41" s="153">
        <v>6</v>
      </c>
      <c r="P41" s="113"/>
      <c r="Q41" s="113"/>
      <c r="R41" s="113"/>
      <c r="S41" s="113"/>
      <c r="T41" s="113"/>
      <c r="U41" s="113"/>
      <c r="V41" s="113"/>
      <c r="W41" s="113"/>
      <c r="X41" s="113"/>
    </row>
    <row r="42" spans="1:16" ht="12" customHeight="1">
      <c r="A42" s="157">
        <v>3</v>
      </c>
      <c r="B42" s="154" t="s">
        <v>157</v>
      </c>
      <c r="D42" s="27">
        <v>20000</v>
      </c>
      <c r="E42" s="27">
        <v>20000</v>
      </c>
      <c r="F42" s="32">
        <v>3</v>
      </c>
      <c r="G42" s="305">
        <v>7</v>
      </c>
      <c r="H42" s="271" t="s">
        <v>316</v>
      </c>
      <c r="I42" s="271"/>
      <c r="J42" s="292"/>
      <c r="K42" s="293"/>
      <c r="L42" s="271"/>
      <c r="M42" s="271"/>
      <c r="N42" s="307">
        <f>N40*0.0765</f>
        <v>373</v>
      </c>
      <c r="O42" s="305">
        <v>7</v>
      </c>
      <c r="P42" s="113"/>
    </row>
    <row r="43" spans="1:15" ht="12" customHeight="1">
      <c r="A43" s="157">
        <v>4</v>
      </c>
      <c r="B43" s="154" t="s">
        <v>158</v>
      </c>
      <c r="D43" s="27">
        <v>15000</v>
      </c>
      <c r="E43" s="27">
        <v>15000</v>
      </c>
      <c r="F43" s="32">
        <v>4</v>
      </c>
      <c r="G43" s="305">
        <v>8</v>
      </c>
      <c r="H43" s="271" t="s">
        <v>318</v>
      </c>
      <c r="I43" s="271"/>
      <c r="J43" s="292"/>
      <c r="K43" s="293"/>
      <c r="L43" s="271"/>
      <c r="M43" s="271"/>
      <c r="N43" s="307">
        <f>SUM(N40:N42)</f>
        <v>5806</v>
      </c>
      <c r="O43" s="305">
        <v>8</v>
      </c>
    </row>
    <row r="44" spans="1:16" ht="12" customHeight="1" thickBot="1">
      <c r="A44" s="157">
        <v>5</v>
      </c>
      <c r="B44" s="154" t="s">
        <v>159</v>
      </c>
      <c r="D44" s="121">
        <f>[1]!CA0198CIP</f>
        <v>0</v>
      </c>
      <c r="E44" s="121"/>
      <c r="F44" s="32">
        <v>5</v>
      </c>
      <c r="G44" s="305"/>
      <c r="H44" s="311"/>
      <c r="I44" s="18"/>
      <c r="J44" s="18"/>
      <c r="K44" s="18"/>
      <c r="L44" s="18"/>
      <c r="M44" s="18"/>
      <c r="N44" s="160"/>
      <c r="O44" s="312"/>
      <c r="P44" s="18"/>
    </row>
    <row r="45" spans="1:16" ht="12" customHeight="1" thickBot="1">
      <c r="A45" s="272">
        <v>6</v>
      </c>
      <c r="B45" s="154" t="s">
        <v>160</v>
      </c>
      <c r="D45" s="152">
        <f>SUM(D40:D44)</f>
        <v>38500</v>
      </c>
      <c r="E45" s="152">
        <f>SUM(E40:E44)</f>
        <v>38500</v>
      </c>
      <c r="F45" s="32">
        <v>6</v>
      </c>
      <c r="H45" s="311"/>
      <c r="I45" s="37"/>
      <c r="J45" s="37"/>
      <c r="K45" s="37"/>
      <c r="L45" s="37"/>
      <c r="M45" s="37"/>
      <c r="N45" s="308"/>
      <c r="O45" s="18"/>
      <c r="P45" s="18"/>
    </row>
    <row r="46" spans="8:16" ht="6" customHeight="1" thickTop="1">
      <c r="H46" s="18"/>
      <c r="I46" s="18"/>
      <c r="J46" s="18"/>
      <c r="K46" s="18"/>
      <c r="L46" s="18"/>
      <c r="M46" s="18"/>
      <c r="N46" s="18"/>
      <c r="O46" s="18"/>
      <c r="P46" s="18"/>
    </row>
    <row r="47" spans="1:16" ht="27" customHeight="1">
      <c r="A47" s="236">
        <v>7</v>
      </c>
      <c r="B47" s="360" t="s">
        <v>219</v>
      </c>
      <c r="C47" s="361"/>
      <c r="D47" s="28">
        <f>[1]!CAK3Reading</f>
        <v>0</v>
      </c>
      <c r="E47" s="147"/>
      <c r="F47" s="32">
        <v>7</v>
      </c>
      <c r="H47" s="18"/>
      <c r="I47" s="37"/>
      <c r="J47" s="37"/>
      <c r="K47" s="37"/>
      <c r="L47" s="37"/>
      <c r="M47" s="37"/>
      <c r="N47" s="308"/>
      <c r="O47" s="18"/>
      <c r="P47" s="18"/>
    </row>
    <row r="48" ht="12" customHeight="1"/>
    <row r="51" ht="12.75" customHeight="1">
      <c r="I51" s="16"/>
    </row>
  </sheetData>
  <sheetProtection sheet="1"/>
  <mergeCells count="8">
    <mergeCell ref="Q3:Q4"/>
    <mergeCell ref="R3:R4"/>
    <mergeCell ref="C1:F1"/>
    <mergeCell ref="I1:K1"/>
    <mergeCell ref="B47:C47"/>
    <mergeCell ref="A3:C3"/>
    <mergeCell ref="M16:M17"/>
    <mergeCell ref="N16:N17"/>
  </mergeCells>
  <dataValidations count="1">
    <dataValidation type="whole" operator="lessThanOrEqual" allowBlank="1" showInputMessage="1" showErrorMessage="1" error="The employer share of retirement system expense for the teacher salary increases may not exceed the ASRS contribution rate of 11.5%." sqref="N41">
      <formula1>N40*0.115</formula1>
    </dataValidation>
  </dataValidations>
  <hyperlinks>
    <hyperlink ref="L24:O24" location="Pg2ExpensesByType" display="SELECTED EXPENSES BY TYPE"/>
    <hyperlink ref="H3:N3" location="Pg2SpecialEd" display="SPECIAL EDUCATION PROGRAMS BY TYPE"/>
    <hyperlink ref="B39:C39" location="CapitalAcquisitions" display="CAPITAL ACQUISITIONS"/>
    <hyperlink ref="A3:E3" location="TotalFederalAndStateProjects" display="FEDERAL AND STATE PROJECTS"/>
    <hyperlink ref="H12" r:id="rId1" display="TOTAL (lines 14 and 21) (1)"/>
    <hyperlink ref="H14:K14" r:id="rId2" display="INSTRUCTIONAL IMPROVEMENT PROJECT"/>
    <hyperlink ref="H14:L14" location="Pg2InstructionalImprovementProj" display="INSTRUCTIONAL IMPROVEMENT PROJECT"/>
    <hyperlink ref="H20:K20" location="Pg2Lines3and4" display="Dropout Prevention Programs"/>
    <hyperlink ref="H21:K21" location="Pg2Lines3and4" display="Instructional Improvement Programs"/>
    <hyperlink ref="H12:J12" location="Pg2Line8" display="TOTAL (lines 15 and 22)"/>
    <hyperlink ref="H5:J5" location="Pg2Line1" display="Total All Categories"/>
    <hyperlink ref="H29:M30" location="Pg2StateEqualAssist" display="STATE EQUALIZATION ASSISTANCE BUDGETED"/>
    <hyperlink ref="H38:M38" location="AdditionalTeacherSalaryIncreaseLine3" display="Total FY 2018 eligible teachers' salaries before 1.06% salary increase (1)"/>
    <hyperlink ref="H39:M39" location="AdditionalTeacherSalaryIncreaseLine4" display="Total FY 2017 eligible teachers' salaries (2)"/>
    <hyperlink ref="H41:M41" location="AdditionalTeacherSalaryIncreaseLine6" display="Employer share of retirement system expense for increase on line 5"/>
    <hyperlink ref="H42:M42" location="AdditionalTeacherSalaryIncreaseLine7" display="Employer share of FICA expense for increase on line 5"/>
    <hyperlink ref="B31:C31" location="CollegeCreditExamIncentives" display="1456 College Credit Exam Incentives"/>
    <hyperlink ref="B32:C32" location="ResultsBasedFunding" display="1457 Results-based Funding"/>
    <hyperlink ref="H35:M35" location="AdditionalTeacherSalaryIncrease" display="ADDITIONAL TEACHER SALARY INCREASES (LAWS 2017, CH. 305, §33)"/>
    <hyperlink ref="H43:M43" location="AdditionalTeacherSalaryIncreaseLine8" display="Total amount needed to fund lines 5-7 (sum lines 5-7)"/>
    <hyperlink ref="H36" location="AdditionalTeacherSalaryIncreaseLine1" display="Number of teachers eligible for increase"/>
    <hyperlink ref="H37:M37" location="AdditionalTeacherSalaryIncreaseLine2" display="Number of teachers eligible for increase (FTE)"/>
  </hyperlinks>
  <printOptions horizontalCentered="1" verticalCentered="1"/>
  <pageMargins left="0.75" right="0.5" top="0.25" bottom="0.25" header="0" footer="0"/>
  <pageSetup horizontalDpi="600" verticalDpi="600" orientation="landscape" paperSize="5" scale="97" r:id="rId4"/>
  <headerFooter>
    <oddFooter>&amp;L&amp;"Arial,Bold"Rev. 5/17&amp;C&amp;"Arial,Bold"FY 2018&amp;R&amp;"Arial,Bold"Page 2 of 4</oddFooter>
  </headerFooter>
  <drawing r:id="rId3"/>
</worksheet>
</file>

<file path=xl/worksheets/sheet4.xml><?xml version="1.0" encoding="utf-8"?>
<worksheet xmlns="http://schemas.openxmlformats.org/spreadsheetml/2006/main" xmlns:r="http://schemas.openxmlformats.org/officeDocument/2006/relationships">
  <sheetPr codeName="Sheet5"/>
  <dimension ref="A1:O59"/>
  <sheetViews>
    <sheetView showGridLines="0" zoomScale="80" zoomScaleNormal="80" workbookViewId="0" topLeftCell="A1">
      <selection activeCell="G49" sqref="G49"/>
    </sheetView>
  </sheetViews>
  <sheetFormatPr defaultColWidth="9.140625" defaultRowHeight="12.75" customHeight="1"/>
  <cols>
    <col min="1" max="1" width="1.57421875" style="17" customWidth="1"/>
    <col min="2" max="2" width="1.7109375" style="17" customWidth="1"/>
    <col min="3" max="3" width="14.7109375" style="17" customWidth="1"/>
    <col min="4" max="4" width="52.421875" style="17" customWidth="1"/>
    <col min="5" max="5" width="3.7109375" style="17" customWidth="1"/>
    <col min="6" max="12" width="15.421875" style="17" customWidth="1"/>
    <col min="13" max="13" width="3.7109375" style="17" customWidth="1"/>
    <col min="14" max="15" width="13.7109375" style="17" customWidth="1"/>
    <col min="16" max="16" width="3.8515625" style="17" customWidth="1"/>
    <col min="17" max="16384" width="9.140625" style="17" customWidth="1"/>
  </cols>
  <sheetData>
    <row r="1" spans="1:13" ht="12.75" customHeight="1">
      <c r="A1" s="17" t="s">
        <v>0</v>
      </c>
      <c r="D1" s="68" t="str">
        <f>Cover!D1</f>
        <v>Destiny School</v>
      </c>
      <c r="E1" s="69"/>
      <c r="F1" s="70" t="s">
        <v>54</v>
      </c>
      <c r="G1" s="41" t="str">
        <f>Cover!M1</f>
        <v>Gila</v>
      </c>
      <c r="H1" s="101"/>
      <c r="I1" s="101"/>
      <c r="J1" s="101"/>
      <c r="K1" s="70" t="s">
        <v>91</v>
      </c>
      <c r="L1" s="261" t="str">
        <f>Cover!R1</f>
        <v>048701000</v>
      </c>
      <c r="M1" s="101"/>
    </row>
    <row r="2" spans="1:15" ht="3" customHeight="1">
      <c r="A2" s="71"/>
      <c r="B2" s="71"/>
      <c r="C2" s="71"/>
      <c r="D2" s="71"/>
      <c r="E2" s="71"/>
      <c r="F2" s="71"/>
      <c r="G2" s="71"/>
      <c r="H2" s="71"/>
      <c r="I2" s="71"/>
      <c r="J2" s="71"/>
      <c r="K2" s="71"/>
      <c r="L2" s="14"/>
      <c r="M2" s="14"/>
      <c r="N2" s="14"/>
      <c r="O2" s="14"/>
    </row>
    <row r="3" spans="1:15" ht="10.5" customHeight="1">
      <c r="A3" s="71"/>
      <c r="B3" s="71"/>
      <c r="C3" s="71"/>
      <c r="D3" s="71"/>
      <c r="E3" s="71"/>
      <c r="F3" s="71"/>
      <c r="G3" s="71"/>
      <c r="H3" s="71"/>
      <c r="I3" s="71"/>
      <c r="J3" s="71"/>
      <c r="K3" s="71"/>
      <c r="L3" s="14"/>
      <c r="M3" s="14"/>
      <c r="N3" s="14"/>
      <c r="O3" s="14"/>
    </row>
    <row r="4" spans="1:15" ht="10.5" customHeight="1">
      <c r="A4" s="102"/>
      <c r="B4" s="103"/>
      <c r="C4" s="103"/>
      <c r="D4" s="365"/>
      <c r="E4" s="76"/>
      <c r="F4" s="104"/>
      <c r="G4" s="97" t="s">
        <v>96</v>
      </c>
      <c r="H4" s="162" t="s">
        <v>15</v>
      </c>
      <c r="I4" s="78"/>
      <c r="J4" s="363" t="s">
        <v>62</v>
      </c>
      <c r="K4" s="364"/>
      <c r="L4" s="78" t="s">
        <v>64</v>
      </c>
      <c r="M4" s="14"/>
      <c r="N4" s="14"/>
      <c r="O4" s="14"/>
    </row>
    <row r="5" spans="1:12" ht="10.5" customHeight="1">
      <c r="A5" s="4" t="s">
        <v>94</v>
      </c>
      <c r="B5" s="14"/>
      <c r="C5" s="14"/>
      <c r="D5" s="354"/>
      <c r="E5" s="81"/>
      <c r="F5" s="84" t="s">
        <v>16</v>
      </c>
      <c r="G5" s="98" t="s">
        <v>17</v>
      </c>
      <c r="H5" s="161" t="s">
        <v>18</v>
      </c>
      <c r="I5" s="84" t="s">
        <v>19</v>
      </c>
      <c r="J5" s="278" t="s">
        <v>251</v>
      </c>
      <c r="K5" s="84" t="s">
        <v>56</v>
      </c>
      <c r="L5" s="84" t="s">
        <v>65</v>
      </c>
    </row>
    <row r="6" spans="1:12" ht="10.5" customHeight="1">
      <c r="A6" s="94"/>
      <c r="B6" s="31"/>
      <c r="C6" s="31"/>
      <c r="D6" s="31"/>
      <c r="E6" s="99"/>
      <c r="F6" s="87">
        <v>6100</v>
      </c>
      <c r="G6" s="100">
        <v>6200</v>
      </c>
      <c r="H6" s="161" t="s">
        <v>258</v>
      </c>
      <c r="I6" s="84">
        <v>6600</v>
      </c>
      <c r="J6" s="84">
        <v>2017</v>
      </c>
      <c r="K6" s="84">
        <v>2018</v>
      </c>
      <c r="L6" s="84" t="s">
        <v>66</v>
      </c>
    </row>
    <row r="7" spans="1:14" ht="10.5" customHeight="1">
      <c r="A7" s="268" t="s">
        <v>93</v>
      </c>
      <c r="B7" s="257"/>
      <c r="C7" s="257"/>
      <c r="D7" s="257"/>
      <c r="E7" s="14"/>
      <c r="F7" s="128"/>
      <c r="G7" s="130"/>
      <c r="H7" s="297"/>
      <c r="I7" s="297"/>
      <c r="J7" s="74"/>
      <c r="K7" s="1"/>
      <c r="L7" s="77"/>
      <c r="M7" s="19"/>
      <c r="N7" s="105"/>
    </row>
    <row r="8" spans="1:14" ht="10.5" customHeight="1">
      <c r="A8" s="88"/>
      <c r="B8" s="14" t="s">
        <v>22</v>
      </c>
      <c r="C8" s="14"/>
      <c r="D8" s="14"/>
      <c r="E8" s="3"/>
      <c r="F8" s="181"/>
      <c r="G8" s="171"/>
      <c r="H8" s="285"/>
      <c r="I8" s="285"/>
      <c r="J8" s="287"/>
      <c r="K8" s="178"/>
      <c r="L8" s="172"/>
      <c r="M8" s="19"/>
      <c r="N8" s="105"/>
    </row>
    <row r="9" spans="1:14" ht="10.5" customHeight="1">
      <c r="A9" s="88"/>
      <c r="B9" s="14"/>
      <c r="C9" s="14" t="s">
        <v>23</v>
      </c>
      <c r="D9" s="253"/>
      <c r="E9" s="3">
        <v>1</v>
      </c>
      <c r="F9" s="106">
        <v>26600</v>
      </c>
      <c r="G9" s="168"/>
      <c r="H9" s="127"/>
      <c r="I9" s="127"/>
      <c r="J9" s="286">
        <v>24600</v>
      </c>
      <c r="K9" s="179">
        <f>SUM(F7:G9)</f>
        <v>26600</v>
      </c>
      <c r="L9" s="167">
        <f>IF(J9=0," ",(K9-J9)/J9)</f>
        <v>0.081</v>
      </c>
      <c r="M9" s="107" t="s">
        <v>44</v>
      </c>
      <c r="N9" s="105"/>
    </row>
    <row r="10" spans="1:14" ht="10.5" customHeight="1">
      <c r="A10" s="88"/>
      <c r="B10" s="14"/>
      <c r="C10" s="14" t="s">
        <v>97</v>
      </c>
      <c r="D10" s="14"/>
      <c r="E10" s="3">
        <v>2</v>
      </c>
      <c r="F10" s="106"/>
      <c r="G10" s="106"/>
      <c r="H10" s="127"/>
      <c r="I10" s="127"/>
      <c r="J10" s="33">
        <f>[1]!CSP1011P100F2100</f>
        <v>0</v>
      </c>
      <c r="K10" s="10">
        <f>SUM(F10:G10)</f>
        <v>0</v>
      </c>
      <c r="L10" s="12" t="str">
        <f>IF(J10=0," ",(K10-J10)/J10)</f>
        <v> </v>
      </c>
      <c r="M10" s="107" t="s">
        <v>45</v>
      </c>
      <c r="N10" s="105"/>
    </row>
    <row r="11" spans="1:14" ht="10.5" customHeight="1">
      <c r="A11" s="88"/>
      <c r="B11" s="14"/>
      <c r="C11" s="14" t="s">
        <v>161</v>
      </c>
      <c r="D11" s="14"/>
      <c r="E11" s="3">
        <v>3</v>
      </c>
      <c r="F11" s="106"/>
      <c r="G11" s="106"/>
      <c r="H11" s="127"/>
      <c r="I11" s="127"/>
      <c r="J11" s="33">
        <f>[1]!CSP1011P100F2200</f>
        <v>0</v>
      </c>
      <c r="K11" s="10">
        <f>SUM(F11:G11)</f>
        <v>0</v>
      </c>
      <c r="L11" s="12" t="str">
        <f>IF(J11=0," ",(K11-J11)/J11)</f>
        <v> </v>
      </c>
      <c r="M11" s="107" t="s">
        <v>107</v>
      </c>
      <c r="N11" s="105"/>
    </row>
    <row r="12" spans="1:13" ht="10.5" customHeight="1">
      <c r="A12" s="94"/>
      <c r="B12" s="31" t="s">
        <v>98</v>
      </c>
      <c r="C12" s="31"/>
      <c r="D12" s="31"/>
      <c r="E12" s="5">
        <v>4</v>
      </c>
      <c r="F12" s="108">
        <f>SUM(F7:F11)</f>
        <v>26600</v>
      </c>
      <c r="G12" s="108">
        <f>SUM(G7:G11)</f>
        <v>0</v>
      </c>
      <c r="H12" s="298"/>
      <c r="I12" s="298"/>
      <c r="J12" s="176">
        <f>SUM(J8:J11)</f>
        <v>24600</v>
      </c>
      <c r="K12" s="176">
        <f>SUM(K8:K11)</f>
        <v>26600</v>
      </c>
      <c r="L12" s="163">
        <f>IF(J12=0," ",(K12-J12)/J12)</f>
        <v>0.081</v>
      </c>
      <c r="M12" s="109" t="s">
        <v>108</v>
      </c>
    </row>
    <row r="13" spans="1:14" ht="10.5" customHeight="1">
      <c r="A13" s="88"/>
      <c r="B13" s="14" t="s">
        <v>29</v>
      </c>
      <c r="C13" s="14"/>
      <c r="D13" s="14"/>
      <c r="E13" s="3"/>
      <c r="F13" s="173"/>
      <c r="G13" s="180"/>
      <c r="H13" s="297"/>
      <c r="I13" s="297"/>
      <c r="J13" s="74"/>
      <c r="K13" s="1"/>
      <c r="L13" s="77"/>
      <c r="M13" s="107"/>
      <c r="N13" s="105"/>
    </row>
    <row r="14" spans="1:14" ht="10.5" customHeight="1">
      <c r="A14" s="88"/>
      <c r="B14" s="14"/>
      <c r="C14" s="14" t="s">
        <v>23</v>
      </c>
      <c r="D14" s="14"/>
      <c r="E14" s="3">
        <v>5</v>
      </c>
      <c r="F14" s="111"/>
      <c r="G14" s="175"/>
      <c r="H14" s="127"/>
      <c r="I14" s="127"/>
      <c r="J14" s="286">
        <f>[1]!CSP1011P200F1000</f>
        <v>0</v>
      </c>
      <c r="K14" s="179">
        <f>SUM(F13:G14)</f>
        <v>0</v>
      </c>
      <c r="L14" s="167" t="str">
        <f>IF(J14=0," ",(K14-J14)/J14)</f>
        <v> </v>
      </c>
      <c r="M14" s="107" t="s">
        <v>109</v>
      </c>
      <c r="N14" s="105"/>
    </row>
    <row r="15" spans="1:14" ht="10.5" customHeight="1">
      <c r="A15" s="88"/>
      <c r="B15" s="14"/>
      <c r="C15" s="14" t="s">
        <v>97</v>
      </c>
      <c r="D15" s="14"/>
      <c r="E15" s="3">
        <v>6</v>
      </c>
      <c r="F15" s="8"/>
      <c r="G15" s="8"/>
      <c r="H15" s="127"/>
      <c r="I15" s="127"/>
      <c r="J15" s="33">
        <f>[1]!CSP1011P200F2100</f>
        <v>0</v>
      </c>
      <c r="K15" s="10">
        <f>SUM(F15:G15)</f>
        <v>0</v>
      </c>
      <c r="L15" s="12" t="str">
        <f>IF(J15=0," ",(K15-J15)/J15)</f>
        <v> </v>
      </c>
      <c r="M15" s="107" t="s">
        <v>110</v>
      </c>
      <c r="N15" s="105"/>
    </row>
    <row r="16" spans="1:14" ht="10.5" customHeight="1">
      <c r="A16" s="88"/>
      <c r="B16" s="14"/>
      <c r="C16" s="14" t="s">
        <v>161</v>
      </c>
      <c r="D16" s="14"/>
      <c r="E16" s="3">
        <v>7</v>
      </c>
      <c r="F16" s="8"/>
      <c r="G16" s="8"/>
      <c r="H16" s="127"/>
      <c r="I16" s="127"/>
      <c r="J16" s="8">
        <f>[1]!CSP1011P200F2200</f>
        <v>0</v>
      </c>
      <c r="K16" s="9">
        <f>SUM(F16:G16)</f>
        <v>0</v>
      </c>
      <c r="L16" s="12" t="str">
        <f>IF(J16=0," ",(K16-J16)/J16)</f>
        <v> </v>
      </c>
      <c r="M16" s="107" t="s">
        <v>111</v>
      </c>
      <c r="N16" s="105"/>
    </row>
    <row r="17" spans="1:14" ht="10.5" customHeight="1">
      <c r="A17" s="94"/>
      <c r="B17" s="31" t="s">
        <v>99</v>
      </c>
      <c r="C17" s="31"/>
      <c r="D17" s="31"/>
      <c r="E17" s="5">
        <v>8</v>
      </c>
      <c r="F17" s="9">
        <f>SUM(F13:F16)</f>
        <v>0</v>
      </c>
      <c r="G17" s="9">
        <f>SUM(G13:G16)</f>
        <v>0</v>
      </c>
      <c r="H17" s="285"/>
      <c r="I17" s="285"/>
      <c r="J17" s="177">
        <f>SUM(J14:J16)</f>
        <v>0</v>
      </c>
      <c r="K17" s="177">
        <f>SUM(K14:K16)</f>
        <v>0</v>
      </c>
      <c r="L17" s="163" t="str">
        <f>IF(J17=0," ",(K17-J17)/J17)</f>
        <v> </v>
      </c>
      <c r="M17" s="107" t="s">
        <v>112</v>
      </c>
      <c r="N17" s="105"/>
    </row>
    <row r="18" spans="1:13" ht="10.5" customHeight="1">
      <c r="A18" s="88"/>
      <c r="B18" s="110" t="s">
        <v>100</v>
      </c>
      <c r="C18" s="14"/>
      <c r="D18" s="14"/>
      <c r="E18" s="3"/>
      <c r="F18" s="173"/>
      <c r="G18" s="180"/>
      <c r="H18" s="297"/>
      <c r="I18" s="297"/>
      <c r="J18" s="74"/>
      <c r="K18" s="1"/>
      <c r="L18" s="77"/>
      <c r="M18" s="109"/>
    </row>
    <row r="19" spans="1:14" ht="10.5" customHeight="1">
      <c r="A19" s="88"/>
      <c r="B19" s="14"/>
      <c r="C19" s="14" t="s">
        <v>23</v>
      </c>
      <c r="D19" s="14"/>
      <c r="E19" s="3">
        <v>9</v>
      </c>
      <c r="F19" s="111"/>
      <c r="G19" s="175"/>
      <c r="H19" s="127"/>
      <c r="I19" s="127"/>
      <c r="J19" s="286">
        <f>[1]!CSP1011POtherF1000</f>
        <v>0</v>
      </c>
      <c r="K19" s="179">
        <f>SUM(F18:G19)</f>
        <v>0</v>
      </c>
      <c r="L19" s="167" t="str">
        <f>IF(J19=0," ",(K19-J19)/J19)</f>
        <v> </v>
      </c>
      <c r="M19" s="107" t="s">
        <v>113</v>
      </c>
      <c r="N19" s="105"/>
    </row>
    <row r="20" spans="1:14" ht="10.5" customHeight="1">
      <c r="A20" s="88"/>
      <c r="B20" s="14"/>
      <c r="C20" s="14" t="s">
        <v>97</v>
      </c>
      <c r="D20" s="14"/>
      <c r="E20" s="3">
        <v>10</v>
      </c>
      <c r="F20" s="8"/>
      <c r="G20" s="8"/>
      <c r="H20" s="127"/>
      <c r="I20" s="127"/>
      <c r="J20" s="33">
        <f>[1]!CSP1011POtherF2100</f>
        <v>0</v>
      </c>
      <c r="K20" s="10">
        <f>SUM(F20:G20)</f>
        <v>0</v>
      </c>
      <c r="L20" s="12" t="str">
        <f>IF(J20=0," ",(K20-J20)/J20)</f>
        <v> </v>
      </c>
      <c r="M20" s="107" t="s">
        <v>114</v>
      </c>
      <c r="N20" s="105"/>
    </row>
    <row r="21" spans="1:14" ht="10.5" customHeight="1">
      <c r="A21" s="88"/>
      <c r="B21" s="14"/>
      <c r="C21" s="14" t="s">
        <v>161</v>
      </c>
      <c r="D21" s="14"/>
      <c r="E21" s="3">
        <v>11</v>
      </c>
      <c r="F21" s="8"/>
      <c r="G21" s="8"/>
      <c r="H21" s="127"/>
      <c r="I21" s="127"/>
      <c r="J21" s="8">
        <f>[1]!CSP1011POtherF2200</f>
        <v>0</v>
      </c>
      <c r="K21" s="9">
        <f>SUM(F21:G21)</f>
        <v>0</v>
      </c>
      <c r="L21" s="12" t="str">
        <f>IF(J21=0," ",(K21-J21)/J21)</f>
        <v> </v>
      </c>
      <c r="M21" s="107" t="s">
        <v>115</v>
      </c>
      <c r="N21" s="105"/>
    </row>
    <row r="22" spans="1:14" ht="10.5" customHeight="1">
      <c r="A22" s="94"/>
      <c r="B22" s="31" t="s">
        <v>101</v>
      </c>
      <c r="C22" s="31"/>
      <c r="D22" s="31"/>
      <c r="E22" s="5">
        <v>12</v>
      </c>
      <c r="F22" s="9">
        <f>SUM(F18:F21)</f>
        <v>0</v>
      </c>
      <c r="G22" s="9">
        <f>SUM(G18:G21)</f>
        <v>0</v>
      </c>
      <c r="H22" s="127"/>
      <c r="I22" s="127"/>
      <c r="J22" s="9">
        <f>SUM(J19:J21)</f>
        <v>0</v>
      </c>
      <c r="K22" s="9">
        <f>SUM(K19:K21)</f>
        <v>0</v>
      </c>
      <c r="L22" s="12" t="str">
        <f>IF(J22=0," ",(K22-J22)/J22)</f>
        <v> </v>
      </c>
      <c r="M22" s="107" t="s">
        <v>116</v>
      </c>
      <c r="N22" s="105"/>
    </row>
    <row r="23" spans="1:14" ht="12.75" customHeight="1">
      <c r="A23" s="94" t="s">
        <v>102</v>
      </c>
      <c r="B23" s="31"/>
      <c r="C23" s="31"/>
      <c r="D23" s="31"/>
      <c r="E23" s="5">
        <v>13</v>
      </c>
      <c r="F23" s="9">
        <f>F12+F17+F22</f>
        <v>26600</v>
      </c>
      <c r="G23" s="9">
        <f>G12+G17+G22</f>
        <v>0</v>
      </c>
      <c r="H23" s="285"/>
      <c r="I23" s="285"/>
      <c r="J23" s="9">
        <f>J12+J17+J22</f>
        <v>24600</v>
      </c>
      <c r="K23" s="9">
        <f>K12+K17+K22</f>
        <v>26600</v>
      </c>
      <c r="L23" s="12">
        <f>IF(J23=0," ",(K23-J23)/J23)</f>
        <v>0.081</v>
      </c>
      <c r="M23" s="107" t="s">
        <v>117</v>
      </c>
      <c r="N23" s="105"/>
    </row>
    <row r="24" spans="1:14" ht="10.5" customHeight="1">
      <c r="A24" s="268" t="s">
        <v>95</v>
      </c>
      <c r="B24" s="257"/>
      <c r="C24" s="257"/>
      <c r="D24" s="257"/>
      <c r="E24" s="14"/>
      <c r="F24" s="174"/>
      <c r="G24" s="178"/>
      <c r="H24" s="299"/>
      <c r="I24" s="297"/>
      <c r="J24" s="74"/>
      <c r="K24" s="1"/>
      <c r="L24" s="77"/>
      <c r="M24" s="107"/>
      <c r="N24" s="105"/>
    </row>
    <row r="25" spans="1:14" ht="10.5" customHeight="1">
      <c r="A25" s="88"/>
      <c r="B25" s="14" t="s">
        <v>22</v>
      </c>
      <c r="C25" s="14"/>
      <c r="D25" s="14"/>
      <c r="E25" s="3"/>
      <c r="F25" s="174"/>
      <c r="G25" s="178"/>
      <c r="H25" s="300"/>
      <c r="I25" s="285"/>
      <c r="J25" s="287"/>
      <c r="K25" s="178"/>
      <c r="L25" s="172"/>
      <c r="M25" s="107"/>
      <c r="N25" s="105"/>
    </row>
    <row r="26" spans="1:14" ht="10.5" customHeight="1">
      <c r="A26" s="88"/>
      <c r="B26" s="14"/>
      <c r="C26" s="14" t="s">
        <v>23</v>
      </c>
      <c r="D26" s="14"/>
      <c r="E26" s="3">
        <v>14</v>
      </c>
      <c r="F26" s="111">
        <v>53000</v>
      </c>
      <c r="G26" s="175"/>
      <c r="H26" s="301"/>
      <c r="I26" s="127"/>
      <c r="J26" s="286">
        <v>49000</v>
      </c>
      <c r="K26" s="179">
        <f>SUM(F24:G26)</f>
        <v>53000</v>
      </c>
      <c r="L26" s="12">
        <f>IF(J26=0," ",(K26-J26)/J26)</f>
        <v>0.082</v>
      </c>
      <c r="M26" s="107" t="s">
        <v>118</v>
      </c>
      <c r="N26" s="105"/>
    </row>
    <row r="27" spans="1:14" ht="10.5" customHeight="1">
      <c r="A27" s="88"/>
      <c r="B27" s="14"/>
      <c r="C27" s="14" t="s">
        <v>97</v>
      </c>
      <c r="D27" s="14"/>
      <c r="E27" s="3">
        <v>15</v>
      </c>
      <c r="F27" s="111"/>
      <c r="G27" s="111"/>
      <c r="H27" s="127"/>
      <c r="I27" s="127"/>
      <c r="J27" s="33">
        <f>[1]!CSP1012P100F2100</f>
        <v>0</v>
      </c>
      <c r="K27" s="10">
        <f>SUM(F27:G27)</f>
        <v>0</v>
      </c>
      <c r="L27" s="12" t="str">
        <f>IF(J27=0," ",(K27-J27)/J27)</f>
        <v> </v>
      </c>
      <c r="M27" s="107" t="s">
        <v>119</v>
      </c>
      <c r="N27" s="105"/>
    </row>
    <row r="28" spans="1:14" ht="10.5" customHeight="1">
      <c r="A28" s="88"/>
      <c r="B28" s="14"/>
      <c r="C28" s="14" t="s">
        <v>161</v>
      </c>
      <c r="D28" s="14"/>
      <c r="E28" s="3">
        <v>16</v>
      </c>
      <c r="F28" s="111"/>
      <c r="G28" s="111"/>
      <c r="H28" s="127"/>
      <c r="I28" s="127"/>
      <c r="J28" s="8">
        <f>[1]!CSP1012P100F2200</f>
        <v>0</v>
      </c>
      <c r="K28" s="9">
        <f>SUM(F28:G28)</f>
        <v>0</v>
      </c>
      <c r="L28" s="12" t="str">
        <f>IF(J28=0," ",(K28-J28)/J28)</f>
        <v> </v>
      </c>
      <c r="M28" s="107" t="s">
        <v>120</v>
      </c>
      <c r="N28" s="105"/>
    </row>
    <row r="29" spans="1:13" ht="10.5" customHeight="1">
      <c r="A29" s="94"/>
      <c r="B29" s="31" t="s">
        <v>103</v>
      </c>
      <c r="C29" s="31"/>
      <c r="D29" s="31"/>
      <c r="E29" s="5">
        <v>17</v>
      </c>
      <c r="F29" s="112">
        <f>SUM(F24:F28)</f>
        <v>53000</v>
      </c>
      <c r="G29" s="112">
        <f>SUM(G24:G28)</f>
        <v>0</v>
      </c>
      <c r="H29" s="285"/>
      <c r="I29" s="285"/>
      <c r="J29" s="177">
        <f>SUM(J25:J28)</f>
        <v>49000</v>
      </c>
      <c r="K29" s="177">
        <f>SUM(K25:K28)</f>
        <v>53000</v>
      </c>
      <c r="L29" s="163">
        <f>IF(J29=0," ",(K29-J29)/J29)</f>
        <v>0.082</v>
      </c>
      <c r="M29" s="109" t="s">
        <v>121</v>
      </c>
    </row>
    <row r="30" spans="1:14" ht="10.5" customHeight="1">
      <c r="A30" s="88"/>
      <c r="B30" s="14" t="s">
        <v>29</v>
      </c>
      <c r="C30" s="14"/>
      <c r="D30" s="14"/>
      <c r="E30" s="3"/>
      <c r="F30" s="173"/>
      <c r="G30" s="180"/>
      <c r="H30" s="299"/>
      <c r="I30" s="297"/>
      <c r="J30" s="74"/>
      <c r="K30" s="1"/>
      <c r="L30" s="77"/>
      <c r="M30" s="107"/>
      <c r="N30" s="105"/>
    </row>
    <row r="31" spans="1:14" ht="10.5" customHeight="1">
      <c r="A31" s="88"/>
      <c r="B31" s="14"/>
      <c r="C31" s="14" t="s">
        <v>23</v>
      </c>
      <c r="D31" s="14"/>
      <c r="E31" s="3">
        <v>18</v>
      </c>
      <c r="F31" s="111"/>
      <c r="G31" s="175"/>
      <c r="H31" s="301"/>
      <c r="I31" s="127"/>
      <c r="J31" s="286">
        <f>[1]!CSP1012P200F1000</f>
        <v>0</v>
      </c>
      <c r="K31" s="179">
        <f>SUM(F30:G31)</f>
        <v>0</v>
      </c>
      <c r="L31" s="167" t="str">
        <f>IF(J31=0," ",(K31-J31)/J31)</f>
        <v> </v>
      </c>
      <c r="M31" s="107" t="s">
        <v>122</v>
      </c>
      <c r="N31" s="105"/>
    </row>
    <row r="32" spans="1:14" ht="10.5" customHeight="1">
      <c r="A32" s="88"/>
      <c r="B32" s="14"/>
      <c r="C32" s="14" t="s">
        <v>97</v>
      </c>
      <c r="D32" s="14"/>
      <c r="E32" s="3">
        <v>19</v>
      </c>
      <c r="F32" s="8"/>
      <c r="G32" s="8"/>
      <c r="H32" s="127"/>
      <c r="I32" s="127"/>
      <c r="J32" s="33">
        <f>[1]!CSP1012P200F2100</f>
        <v>0</v>
      </c>
      <c r="K32" s="10">
        <f>SUM(F32:G32)</f>
        <v>0</v>
      </c>
      <c r="L32" s="12" t="str">
        <f>IF(J32=0," ",(K32-J32)/J32)</f>
        <v> </v>
      </c>
      <c r="M32" s="107" t="s">
        <v>123</v>
      </c>
      <c r="N32" s="105"/>
    </row>
    <row r="33" spans="1:14" ht="10.5" customHeight="1">
      <c r="A33" s="88"/>
      <c r="B33" s="14"/>
      <c r="C33" s="14" t="s">
        <v>161</v>
      </c>
      <c r="D33" s="14"/>
      <c r="E33" s="3">
        <v>20</v>
      </c>
      <c r="F33" s="8"/>
      <c r="G33" s="8"/>
      <c r="H33" s="127"/>
      <c r="I33" s="127"/>
      <c r="J33" s="8">
        <f>[1]!CSP1012P200F2200</f>
        <v>0</v>
      </c>
      <c r="K33" s="9">
        <f>SUM(F33:G33)</f>
        <v>0</v>
      </c>
      <c r="L33" s="12" t="str">
        <f>IF(J33=0," ",(K33-J33)/J33)</f>
        <v> </v>
      </c>
      <c r="M33" s="107" t="s">
        <v>124</v>
      </c>
      <c r="N33" s="105"/>
    </row>
    <row r="34" spans="1:14" ht="10.5" customHeight="1">
      <c r="A34" s="94"/>
      <c r="B34" s="31" t="s">
        <v>104</v>
      </c>
      <c r="C34" s="31"/>
      <c r="D34" s="31"/>
      <c r="E34" s="5">
        <v>21</v>
      </c>
      <c r="F34" s="9">
        <f>SUM(F30:F33)</f>
        <v>0</v>
      </c>
      <c r="G34" s="9">
        <f>SUM(G30:G33)</f>
        <v>0</v>
      </c>
      <c r="H34" s="285"/>
      <c r="I34" s="285"/>
      <c r="J34" s="177">
        <f>SUM(J31:J33)</f>
        <v>0</v>
      </c>
      <c r="K34" s="177">
        <f>SUM(K31:K33)</f>
        <v>0</v>
      </c>
      <c r="L34" s="163" t="str">
        <f>IF(J34=0," ",(K34-J34)/J34)</f>
        <v> </v>
      </c>
      <c r="M34" s="107" t="s">
        <v>125</v>
      </c>
      <c r="N34" s="105"/>
    </row>
    <row r="35" spans="1:13" ht="10.5" customHeight="1">
      <c r="A35" s="88"/>
      <c r="B35" s="110" t="s">
        <v>100</v>
      </c>
      <c r="C35" s="14"/>
      <c r="D35" s="14"/>
      <c r="E35" s="3"/>
      <c r="F35" s="173"/>
      <c r="G35" s="180"/>
      <c r="H35" s="299"/>
      <c r="I35" s="297"/>
      <c r="J35" s="74"/>
      <c r="K35" s="1"/>
      <c r="L35" s="77"/>
      <c r="M35" s="109"/>
    </row>
    <row r="36" spans="1:14" ht="10.5" customHeight="1">
      <c r="A36" s="88"/>
      <c r="B36" s="14"/>
      <c r="C36" s="14" t="s">
        <v>23</v>
      </c>
      <c r="D36" s="14"/>
      <c r="E36" s="3">
        <v>22</v>
      </c>
      <c r="F36" s="111"/>
      <c r="G36" s="175"/>
      <c r="H36" s="301"/>
      <c r="I36" s="127"/>
      <c r="J36" s="286">
        <f>[1]!CSP1012POtherF1000</f>
        <v>0</v>
      </c>
      <c r="K36" s="179">
        <f>SUM(F35:G36)</f>
        <v>0</v>
      </c>
      <c r="L36" s="167" t="str">
        <f>IF(J36=0," ",(K36-J36)/J36)</f>
        <v> </v>
      </c>
      <c r="M36" s="107" t="s">
        <v>126</v>
      </c>
      <c r="N36" s="105"/>
    </row>
    <row r="37" spans="1:14" ht="10.5" customHeight="1">
      <c r="A37" s="88"/>
      <c r="B37" s="14"/>
      <c r="C37" s="14" t="s">
        <v>97</v>
      </c>
      <c r="D37" s="14"/>
      <c r="E37" s="3">
        <v>23</v>
      </c>
      <c r="F37" s="8"/>
      <c r="G37" s="8"/>
      <c r="H37" s="127"/>
      <c r="I37" s="127"/>
      <c r="J37" s="33">
        <f>[1]!CSP1012POtherF2100</f>
        <v>0</v>
      </c>
      <c r="K37" s="10">
        <f>SUM(F37:G37)</f>
        <v>0</v>
      </c>
      <c r="L37" s="12" t="str">
        <f>IF(J37=0," ",(K37-J37)/J37)</f>
        <v> </v>
      </c>
      <c r="M37" s="107" t="s">
        <v>127</v>
      </c>
      <c r="N37" s="105"/>
    </row>
    <row r="38" spans="1:14" ht="10.5" customHeight="1">
      <c r="A38" s="88"/>
      <c r="B38" s="14"/>
      <c r="C38" s="14" t="s">
        <v>161</v>
      </c>
      <c r="D38" s="14"/>
      <c r="E38" s="3">
        <v>24</v>
      </c>
      <c r="F38" s="8"/>
      <c r="G38" s="8"/>
      <c r="H38" s="127"/>
      <c r="I38" s="127"/>
      <c r="J38" s="8">
        <f>[1]!CSP1012POtherF2200</f>
        <v>0</v>
      </c>
      <c r="K38" s="9">
        <f>SUM(F38:G38)</f>
        <v>0</v>
      </c>
      <c r="L38" s="12" t="str">
        <f>IF(J38=0," ",(K38-J38)/J38)</f>
        <v> </v>
      </c>
      <c r="M38" s="107" t="s">
        <v>128</v>
      </c>
      <c r="N38" s="105"/>
    </row>
    <row r="39" spans="1:14" ht="10.5" customHeight="1">
      <c r="A39" s="94"/>
      <c r="B39" s="31" t="s">
        <v>105</v>
      </c>
      <c r="C39" s="31"/>
      <c r="D39" s="31"/>
      <c r="E39" s="5">
        <v>25</v>
      </c>
      <c r="F39" s="9">
        <f>SUM(F35:F38)</f>
        <v>0</v>
      </c>
      <c r="G39" s="9">
        <f>SUM(G35:G38)</f>
        <v>0</v>
      </c>
      <c r="H39" s="127"/>
      <c r="I39" s="127"/>
      <c r="J39" s="9">
        <f>SUM(J36:J38)</f>
        <v>0</v>
      </c>
      <c r="K39" s="9">
        <f>SUM(K36:K38)</f>
        <v>0</v>
      </c>
      <c r="L39" s="12" t="str">
        <f>IF(J39=0," ",(K39-J39)/J39)</f>
        <v> </v>
      </c>
      <c r="M39" s="107" t="s">
        <v>129</v>
      </c>
      <c r="N39" s="105"/>
    </row>
    <row r="40" spans="1:14" ht="12.75" customHeight="1">
      <c r="A40" s="94" t="s">
        <v>106</v>
      </c>
      <c r="B40" s="31"/>
      <c r="C40" s="31"/>
      <c r="D40" s="31"/>
      <c r="E40" s="5">
        <v>26</v>
      </c>
      <c r="F40" s="10">
        <f>F29+F34+F39</f>
        <v>53000</v>
      </c>
      <c r="G40" s="10">
        <f>G29+G34+G39</f>
        <v>0</v>
      </c>
      <c r="H40" s="127"/>
      <c r="I40" s="127"/>
      <c r="J40" s="10">
        <f>J29+J34+J39</f>
        <v>49000</v>
      </c>
      <c r="K40" s="10">
        <f>K29+K34+K39</f>
        <v>53000</v>
      </c>
      <c r="L40" s="12">
        <f>IF(J40=0," ",(K40-J40)/J40)</f>
        <v>0.082</v>
      </c>
      <c r="M40" s="107" t="s">
        <v>130</v>
      </c>
      <c r="N40" s="105"/>
    </row>
    <row r="41" spans="1:15" ht="10.5" customHeight="1">
      <c r="A41" s="268" t="s">
        <v>92</v>
      </c>
      <c r="B41" s="257"/>
      <c r="C41" s="257"/>
      <c r="D41" s="257"/>
      <c r="E41" s="3"/>
      <c r="F41" s="128"/>
      <c r="G41" s="128"/>
      <c r="H41" s="128"/>
      <c r="I41" s="130"/>
      <c r="J41" s="77"/>
      <c r="K41" s="77"/>
      <c r="L41" s="77"/>
      <c r="M41" s="2"/>
      <c r="N41" s="7"/>
      <c r="O41" s="11"/>
    </row>
    <row r="42" spans="1:15" ht="10.5" customHeight="1">
      <c r="A42" s="88"/>
      <c r="B42" s="14" t="s">
        <v>22</v>
      </c>
      <c r="C42" s="14"/>
      <c r="D42" s="14"/>
      <c r="E42" s="14"/>
      <c r="F42" s="181"/>
      <c r="G42" s="181"/>
      <c r="H42" s="181"/>
      <c r="I42" s="171"/>
      <c r="J42" s="181"/>
      <c r="K42" s="181"/>
      <c r="L42" s="172"/>
      <c r="M42" s="14"/>
      <c r="N42" s="7"/>
      <c r="O42" s="11"/>
    </row>
    <row r="43" spans="1:14" ht="10.5" customHeight="1">
      <c r="A43" s="88"/>
      <c r="C43" s="14" t="s">
        <v>23</v>
      </c>
      <c r="D43" s="14"/>
      <c r="E43" s="3">
        <v>27</v>
      </c>
      <c r="F43" s="106">
        <v>53000</v>
      </c>
      <c r="G43" s="106"/>
      <c r="H43" s="106"/>
      <c r="I43" s="168"/>
      <c r="J43" s="106">
        <v>49000</v>
      </c>
      <c r="K43" s="108">
        <f>SUM(F43:I43)</f>
        <v>53000</v>
      </c>
      <c r="L43" s="167">
        <f>IF(J43=0," ",(K43-J43)/J43)</f>
        <v>0.082</v>
      </c>
      <c r="M43" s="2">
        <v>27</v>
      </c>
      <c r="N43" s="2"/>
    </row>
    <row r="44" spans="1:13" ht="10.5" customHeight="1">
      <c r="A44" s="88"/>
      <c r="C44" s="14" t="s">
        <v>162</v>
      </c>
      <c r="D44" s="14"/>
      <c r="E44" s="3">
        <v>28</v>
      </c>
      <c r="F44" s="144"/>
      <c r="G44" s="106"/>
      <c r="H44" s="106"/>
      <c r="I44" s="106"/>
      <c r="J44" s="26">
        <f>[1]!CSP1013P100F2100</f>
        <v>0</v>
      </c>
      <c r="K44" s="132">
        <f>SUM(F44:I44)</f>
        <v>0</v>
      </c>
      <c r="L44" s="133" t="str">
        <f>IF(J44=0," ",(K44-J44)/J44)</f>
        <v> </v>
      </c>
      <c r="M44" s="91">
        <v>28</v>
      </c>
    </row>
    <row r="45" spans="1:13" ht="10.5" customHeight="1">
      <c r="A45" s="88"/>
      <c r="C45" s="14" t="s">
        <v>161</v>
      </c>
      <c r="D45" s="14"/>
      <c r="E45" s="3">
        <v>29</v>
      </c>
      <c r="F45" s="145"/>
      <c r="G45" s="25"/>
      <c r="H45" s="25"/>
      <c r="I45" s="25"/>
      <c r="J45" s="26">
        <f>[1]!CSP1013P100F2200</f>
        <v>0</v>
      </c>
      <c r="K45" s="20">
        <f>SUM(F45:I45)</f>
        <v>0</v>
      </c>
      <c r="L45" s="131" t="str">
        <f>IF(J45=0," ",(K45-J45)/J45)</f>
        <v> </v>
      </c>
      <c r="M45" s="91">
        <v>29</v>
      </c>
    </row>
    <row r="46" spans="1:13" ht="10.5" customHeight="1">
      <c r="A46" s="94"/>
      <c r="B46" s="137" t="s">
        <v>259</v>
      </c>
      <c r="C46" s="31"/>
      <c r="D46" s="31"/>
      <c r="E46" s="23">
        <v>30</v>
      </c>
      <c r="F46" s="29">
        <f>SUM(F41:F45)</f>
        <v>53000</v>
      </c>
      <c r="G46" s="6">
        <f>SUM(G41:G45)</f>
        <v>0</v>
      </c>
      <c r="H46" s="6">
        <f>SUM(H41:H45)</f>
        <v>0</v>
      </c>
      <c r="I46" s="6">
        <f>SUM(I41:I45)</f>
        <v>0</v>
      </c>
      <c r="J46" s="164">
        <f>SUM(J42:J45)</f>
        <v>49000</v>
      </c>
      <c r="K46" s="164">
        <f>SUM(F46:I46)</f>
        <v>53000</v>
      </c>
      <c r="L46" s="163">
        <f>IF(J46=0," ",(K46-J46)/J46)</f>
        <v>0.082</v>
      </c>
      <c r="M46" s="91">
        <v>30</v>
      </c>
    </row>
    <row r="47" spans="1:13" ht="10.5" customHeight="1">
      <c r="A47" s="1"/>
      <c r="B47" s="14" t="s">
        <v>29</v>
      </c>
      <c r="C47" s="14"/>
      <c r="D47" s="14"/>
      <c r="E47" s="3"/>
      <c r="F47" s="128"/>
      <c r="G47" s="128"/>
      <c r="H47" s="128"/>
      <c r="I47" s="130"/>
      <c r="J47" s="77"/>
      <c r="K47" s="77"/>
      <c r="L47" s="77"/>
      <c r="M47" s="2"/>
    </row>
    <row r="48" spans="1:13" ht="10.5" customHeight="1">
      <c r="A48" s="88"/>
      <c r="C48" s="14" t="s">
        <v>23</v>
      </c>
      <c r="D48" s="14"/>
      <c r="E48" s="3">
        <v>31</v>
      </c>
      <c r="F48" s="106"/>
      <c r="G48" s="106"/>
      <c r="H48" s="106"/>
      <c r="I48" s="168"/>
      <c r="J48" s="106">
        <f>[1]!CSP1013P200F1000</f>
        <v>0</v>
      </c>
      <c r="K48" s="108">
        <f>SUM(F48:I48)</f>
        <v>0</v>
      </c>
      <c r="L48" s="167" t="str">
        <f>IF(J48=0," ",(K48-J48)/J48)</f>
        <v> </v>
      </c>
      <c r="M48" s="2">
        <v>31</v>
      </c>
    </row>
    <row r="49" spans="1:13" ht="10.5" customHeight="1">
      <c r="A49" s="88"/>
      <c r="C49" s="14" t="s">
        <v>162</v>
      </c>
      <c r="D49" s="14"/>
      <c r="E49" s="21">
        <v>32</v>
      </c>
      <c r="F49" s="144"/>
      <c r="G49" s="106"/>
      <c r="H49" s="106"/>
      <c r="I49" s="106"/>
      <c r="J49" s="106">
        <f>[1]!CSP1013P200F2100</f>
        <v>0</v>
      </c>
      <c r="K49" s="128">
        <f>SUM(F49:I49)</f>
        <v>0</v>
      </c>
      <c r="L49" s="129" t="str">
        <f>IF(J49=0," ",(K49-J49)/J49)</f>
        <v> </v>
      </c>
      <c r="M49" s="91">
        <v>32</v>
      </c>
    </row>
    <row r="50" spans="1:13" ht="10.5" customHeight="1">
      <c r="A50" s="88"/>
      <c r="C50" s="14" t="s">
        <v>161</v>
      </c>
      <c r="D50" s="14"/>
      <c r="E50" s="21">
        <v>33</v>
      </c>
      <c r="F50" s="145"/>
      <c r="G50" s="25"/>
      <c r="H50" s="25"/>
      <c r="I50" s="25"/>
      <c r="J50" s="26">
        <f>[1]!CSP1013P200F2200</f>
        <v>0</v>
      </c>
      <c r="K50" s="20">
        <f>SUM(F50:I50)</f>
        <v>0</v>
      </c>
      <c r="L50" s="131" t="str">
        <f aca="true" t="shared" si="0" ref="L50:L59">IF(J50=0," ",(K50-J50)/J50)</f>
        <v> </v>
      </c>
      <c r="M50" s="91">
        <v>33</v>
      </c>
    </row>
    <row r="51" spans="1:13" ht="10.5" customHeight="1">
      <c r="A51" s="94"/>
      <c r="B51" s="137" t="s">
        <v>260</v>
      </c>
      <c r="C51" s="31"/>
      <c r="D51" s="31"/>
      <c r="E51" s="23">
        <v>34</v>
      </c>
      <c r="F51" s="29">
        <f>SUM(F47:F50)</f>
        <v>0</v>
      </c>
      <c r="G51" s="6">
        <f>SUM(G47:G50)</f>
        <v>0</v>
      </c>
      <c r="H51" s="6">
        <f>SUM(H47:H50)</f>
        <v>0</v>
      </c>
      <c r="I51" s="6">
        <f>SUM(I47:I50)</f>
        <v>0</v>
      </c>
      <c r="J51" s="164">
        <f>SUM(J48:J50)</f>
        <v>0</v>
      </c>
      <c r="K51" s="164">
        <f>SUM(F51:I51)</f>
        <v>0</v>
      </c>
      <c r="L51" s="163" t="str">
        <f t="shared" si="0"/>
        <v> </v>
      </c>
      <c r="M51" s="91">
        <v>34</v>
      </c>
    </row>
    <row r="52" spans="1:13" ht="10.5" customHeight="1">
      <c r="A52" s="1"/>
      <c r="B52" s="73" t="s">
        <v>132</v>
      </c>
      <c r="C52" s="73"/>
      <c r="D52" s="73"/>
      <c r="E52" s="24"/>
      <c r="F52" s="128"/>
      <c r="G52" s="128"/>
      <c r="H52" s="128"/>
      <c r="I52" s="130"/>
      <c r="J52" s="77"/>
      <c r="K52" s="77"/>
      <c r="L52" s="77"/>
      <c r="M52" s="2"/>
    </row>
    <row r="53" spans="1:13" ht="10.5" customHeight="1">
      <c r="A53" s="94"/>
      <c r="B53" s="31"/>
      <c r="C53" s="31" t="s">
        <v>23</v>
      </c>
      <c r="D53" s="31"/>
      <c r="E53" s="23">
        <v>35</v>
      </c>
      <c r="F53" s="106"/>
      <c r="G53" s="106"/>
      <c r="H53" s="106"/>
      <c r="I53" s="168"/>
      <c r="J53" s="106">
        <f>[1]!CSP1013P530F1000</f>
        <v>0</v>
      </c>
      <c r="K53" s="108">
        <f>SUM(F53:I53)</f>
        <v>0</v>
      </c>
      <c r="L53" s="167" t="str">
        <f>IF(J53=0," ",(K53-J53)/J53)</f>
        <v> </v>
      </c>
      <c r="M53" s="2">
        <v>35</v>
      </c>
    </row>
    <row r="54" spans="1:13" ht="10.5" customHeight="1">
      <c r="A54" s="1"/>
      <c r="B54" s="126" t="s">
        <v>100</v>
      </c>
      <c r="C54" s="14"/>
      <c r="D54" s="14"/>
      <c r="E54" s="21"/>
      <c r="F54" s="128"/>
      <c r="G54" s="128"/>
      <c r="H54" s="128"/>
      <c r="I54" s="130"/>
      <c r="J54" s="77"/>
      <c r="K54" s="77"/>
      <c r="L54" s="77"/>
      <c r="M54" s="2"/>
    </row>
    <row r="55" spans="1:13" ht="10.5" customHeight="1">
      <c r="A55" s="88"/>
      <c r="C55" s="14" t="s">
        <v>23</v>
      </c>
      <c r="D55" s="14"/>
      <c r="E55" s="3">
        <v>36</v>
      </c>
      <c r="F55" s="106"/>
      <c r="G55" s="106"/>
      <c r="H55" s="106"/>
      <c r="I55" s="168"/>
      <c r="J55" s="106">
        <f>[1]!CSP1013POtherF1000</f>
        <v>0</v>
      </c>
      <c r="K55" s="108">
        <f>SUM(F55:I55)</f>
        <v>0</v>
      </c>
      <c r="L55" s="167" t="str">
        <f>IF(J55=0," ",(K55-J55)/J55)</f>
        <v> </v>
      </c>
      <c r="M55" s="2">
        <v>36</v>
      </c>
    </row>
    <row r="56" spans="1:13" ht="10.5" customHeight="1">
      <c r="A56" s="88"/>
      <c r="C56" s="138" t="s">
        <v>182</v>
      </c>
      <c r="D56" s="14"/>
      <c r="E56" s="3">
        <v>37</v>
      </c>
      <c r="F56" s="145"/>
      <c r="G56" s="25"/>
      <c r="H56" s="25"/>
      <c r="I56" s="25"/>
      <c r="J56" s="25">
        <f>[1]!CSP1013POtherF21002200</f>
        <v>0</v>
      </c>
      <c r="K56" s="6">
        <f>SUM(F56:I56)</f>
        <v>0</v>
      </c>
      <c r="L56" s="12" t="str">
        <f t="shared" si="0"/>
        <v> </v>
      </c>
      <c r="M56" s="91">
        <v>37</v>
      </c>
    </row>
    <row r="57" spans="1:13" ht="10.5" customHeight="1">
      <c r="A57" s="88"/>
      <c r="B57" s="138" t="s">
        <v>261</v>
      </c>
      <c r="C57" s="31"/>
      <c r="D57" s="31"/>
      <c r="E57" s="23">
        <v>38</v>
      </c>
      <c r="F57" s="29">
        <f>SUM(F54:F56)</f>
        <v>0</v>
      </c>
      <c r="G57" s="6">
        <f>SUM(G54:G56)</f>
        <v>0</v>
      </c>
      <c r="H57" s="6">
        <f>SUM(H54:H56)</f>
        <v>0</v>
      </c>
      <c r="I57" s="6">
        <f>SUM(I54:I56)</f>
        <v>0</v>
      </c>
      <c r="J57" s="6">
        <f>SUM(J55:J56)</f>
        <v>0</v>
      </c>
      <c r="K57" s="6">
        <f>SUM(F57:I57)</f>
        <v>0</v>
      </c>
      <c r="L57" s="12" t="str">
        <f t="shared" si="0"/>
        <v> </v>
      </c>
      <c r="M57" s="91">
        <v>38</v>
      </c>
    </row>
    <row r="58" spans="1:13" ht="12.75" customHeight="1">
      <c r="A58" s="139" t="s">
        <v>262</v>
      </c>
      <c r="B58" s="96"/>
      <c r="C58" s="31"/>
      <c r="D58" s="96"/>
      <c r="E58" s="22">
        <v>39</v>
      </c>
      <c r="F58" s="29">
        <f>F46+F51+F52+F53+F57</f>
        <v>53000</v>
      </c>
      <c r="G58" s="6">
        <f>G46+G51+G52+G53+G57</f>
        <v>0</v>
      </c>
      <c r="H58" s="6">
        <f>H46+H51+H52+H53+H57</f>
        <v>0</v>
      </c>
      <c r="I58" s="6">
        <f>I46+I51+I52+I53+I57</f>
        <v>0</v>
      </c>
      <c r="J58" s="6">
        <f>J46+J51+J53+J57</f>
        <v>49000</v>
      </c>
      <c r="K58" s="6">
        <f>K46+K51+K53+K57</f>
        <v>53000</v>
      </c>
      <c r="L58" s="12">
        <f t="shared" si="0"/>
        <v>0.082</v>
      </c>
      <c r="M58" s="91">
        <v>39</v>
      </c>
    </row>
    <row r="59" spans="1:13" ht="12.75">
      <c r="A59" s="139" t="s">
        <v>263</v>
      </c>
      <c r="B59" s="96"/>
      <c r="C59" s="96"/>
      <c r="D59" s="96"/>
      <c r="E59" s="22">
        <v>40</v>
      </c>
      <c r="F59" s="29">
        <f>F23+F40+F58</f>
        <v>132600</v>
      </c>
      <c r="G59" s="29">
        <f>G23+G40+G58</f>
        <v>0</v>
      </c>
      <c r="H59" s="30">
        <f>H58</f>
        <v>0</v>
      </c>
      <c r="I59" s="30">
        <f>I58</f>
        <v>0</v>
      </c>
      <c r="J59" s="30">
        <f>J23+J40+J58</f>
        <v>122600</v>
      </c>
      <c r="K59" s="29">
        <f>SUM(F59:I59)</f>
        <v>132600</v>
      </c>
      <c r="L59" s="12">
        <f t="shared" si="0"/>
        <v>0.082</v>
      </c>
      <c r="M59" s="91">
        <v>40</v>
      </c>
    </row>
    <row r="60" ht="6.75" customHeight="1"/>
    <row r="61" ht="7.5" customHeight="1"/>
    <row r="62" ht="6.75" customHeight="1"/>
    <row r="63" ht="9" customHeight="1"/>
  </sheetData>
  <sheetProtection sheet="1"/>
  <mergeCells count="2">
    <mergeCell ref="J4:K4"/>
    <mergeCell ref="D4:D5"/>
  </mergeCells>
  <hyperlinks>
    <hyperlink ref="A7:D7" location="Pg3ClassroomSiteProj" display="Classroom Site Project 1011 - Base Salary"/>
    <hyperlink ref="A24:D24" location="Pg3ClassroomSiteProj" display="Classroom Site Project 1012 - Performance Pay"/>
    <hyperlink ref="A41:D41" location="Pg3ClassroomSiteProj" display="Classroom Site Project 1013 - Other"/>
  </hyperlinks>
  <printOptions horizontalCentered="1" verticalCentered="1"/>
  <pageMargins left="0.75" right="0.5" top="0.25" bottom="0.25" header="0" footer="0"/>
  <pageSetup horizontalDpi="300" verticalDpi="300" orientation="landscape" paperSize="5" scale="88" r:id="rId2"/>
  <headerFooter>
    <oddFooter>&amp;L&amp;"Arial,Bold"Rev. 5/17&amp;C&amp;"Arial,Bold"FY 2018&amp;R&amp;"Arial,Bold"Page 3 of 4</oddFooter>
  </headerFooter>
  <ignoredErrors>
    <ignoredError sqref="J25 J8" unlockedFormula="1"/>
    <ignoredError sqref="F12:G12 K10:K11 K15:K16 K20:K21 K27:K28 K32:K33 K37:K38" formulaRange="1"/>
  </ignoredErrors>
  <drawing r:id="rId1"/>
</worksheet>
</file>

<file path=xl/worksheets/sheet5.xml><?xml version="1.0" encoding="utf-8"?>
<worksheet xmlns="http://schemas.openxmlformats.org/spreadsheetml/2006/main" xmlns:r="http://schemas.openxmlformats.org/officeDocument/2006/relationships">
  <sheetPr codeName="Sheet6"/>
  <dimension ref="A1:P43"/>
  <sheetViews>
    <sheetView showGridLines="0" zoomScale="80" zoomScaleNormal="80" workbookViewId="0" topLeftCell="A1">
      <selection activeCell="A1" sqref="A1"/>
    </sheetView>
  </sheetViews>
  <sheetFormatPr defaultColWidth="9.140625" defaultRowHeight="12.75"/>
  <cols>
    <col min="1" max="1" width="1.57421875" style="0" customWidth="1"/>
    <col min="2" max="2" width="1.7109375" style="0" customWidth="1"/>
    <col min="3" max="3" width="14.7109375" style="0" customWidth="1"/>
    <col min="4" max="4" width="26.8515625" style="0" customWidth="1"/>
    <col min="5" max="5" width="3.7109375" style="0" customWidth="1"/>
    <col min="6" max="7" width="7.140625" style="0" customWidth="1"/>
    <col min="8" max="14" width="12.57421875" style="0" customWidth="1"/>
    <col min="15" max="15" width="11.57421875" style="0" customWidth="1"/>
    <col min="16" max="16" width="3.7109375" style="0" customWidth="1"/>
    <col min="17" max="17" width="7.00390625" style="0" customWidth="1"/>
  </cols>
  <sheetData>
    <row r="1" spans="1:16" ht="12.75">
      <c r="A1" s="17" t="s">
        <v>0</v>
      </c>
      <c r="B1" s="17"/>
      <c r="C1" s="17"/>
      <c r="D1" s="366" t="str">
        <f>Cover!D1</f>
        <v>Destiny School</v>
      </c>
      <c r="E1" s="366"/>
      <c r="F1" s="366"/>
      <c r="G1" s="69"/>
      <c r="H1" s="17"/>
      <c r="I1" s="70" t="s">
        <v>54</v>
      </c>
      <c r="J1" s="353" t="str">
        <f>Cover!M1</f>
        <v>Gila</v>
      </c>
      <c r="K1" s="353"/>
      <c r="L1" s="17"/>
      <c r="M1" s="70" t="s">
        <v>91</v>
      </c>
      <c r="N1" s="353" t="str">
        <f>Cover!R1</f>
        <v>048701000</v>
      </c>
      <c r="O1" s="353"/>
      <c r="P1" s="17"/>
    </row>
    <row r="2" spans="1:16" ht="12.75">
      <c r="A2" s="71"/>
      <c r="B2" s="71"/>
      <c r="C2" s="254"/>
      <c r="D2" s="71"/>
      <c r="E2" s="71"/>
      <c r="F2" s="71"/>
      <c r="G2" s="71"/>
      <c r="H2" s="71"/>
      <c r="I2" s="71"/>
      <c r="J2" s="71"/>
      <c r="K2" s="14"/>
      <c r="L2" s="14"/>
      <c r="M2" s="14"/>
      <c r="N2" s="14"/>
      <c r="O2" s="17"/>
      <c r="P2" s="17"/>
    </row>
    <row r="3" spans="1:16" ht="12.75">
      <c r="A3" s="72"/>
      <c r="B3" s="73"/>
      <c r="C3" s="73"/>
      <c r="D3" s="365"/>
      <c r="E3" s="74"/>
      <c r="F3" s="75" t="s">
        <v>143</v>
      </c>
      <c r="G3" s="76"/>
      <c r="H3" s="77"/>
      <c r="I3" s="77"/>
      <c r="J3" s="78" t="s">
        <v>15</v>
      </c>
      <c r="K3" s="1"/>
      <c r="L3" s="1"/>
      <c r="M3" s="79" t="s">
        <v>62</v>
      </c>
      <c r="N3" s="80"/>
      <c r="O3" s="77"/>
      <c r="P3" s="17"/>
    </row>
    <row r="4" spans="1:16" ht="12.75">
      <c r="A4" s="4"/>
      <c r="B4" s="14"/>
      <c r="C4" s="14"/>
      <c r="D4" s="354"/>
      <c r="E4" s="81"/>
      <c r="F4" s="82" t="s">
        <v>141</v>
      </c>
      <c r="G4" s="83"/>
      <c r="H4" s="84"/>
      <c r="I4" s="84" t="s">
        <v>142</v>
      </c>
      <c r="J4" s="84" t="s">
        <v>18</v>
      </c>
      <c r="K4" s="85"/>
      <c r="L4" s="85"/>
      <c r="M4" s="85"/>
      <c r="N4" s="85"/>
      <c r="O4" s="84" t="s">
        <v>64</v>
      </c>
      <c r="P4" s="17"/>
    </row>
    <row r="5" spans="1:16" ht="12.75">
      <c r="A5" s="4" t="s">
        <v>94</v>
      </c>
      <c r="B5" s="14"/>
      <c r="C5" s="14"/>
      <c r="D5" s="14"/>
      <c r="E5" s="81"/>
      <c r="F5" s="279" t="s">
        <v>250</v>
      </c>
      <c r="G5" s="78" t="s">
        <v>63</v>
      </c>
      <c r="H5" s="84" t="s">
        <v>16</v>
      </c>
      <c r="I5" s="84" t="s">
        <v>17</v>
      </c>
      <c r="J5" s="84" t="s">
        <v>21</v>
      </c>
      <c r="K5" s="84" t="s">
        <v>19</v>
      </c>
      <c r="L5" s="84" t="s">
        <v>20</v>
      </c>
      <c r="M5" s="278" t="s">
        <v>251</v>
      </c>
      <c r="N5" s="84" t="s">
        <v>56</v>
      </c>
      <c r="O5" s="84" t="s">
        <v>65</v>
      </c>
      <c r="P5" s="17"/>
    </row>
    <row r="6" spans="1:16" ht="12.75">
      <c r="A6" s="86"/>
      <c r="B6" s="31"/>
      <c r="C6" s="31"/>
      <c r="D6" s="31"/>
      <c r="E6" s="23"/>
      <c r="F6" s="84" t="s">
        <v>55</v>
      </c>
      <c r="G6" s="87" t="s">
        <v>55</v>
      </c>
      <c r="H6" s="87">
        <v>6100</v>
      </c>
      <c r="I6" s="87">
        <v>6200</v>
      </c>
      <c r="J6" s="87">
        <v>6500</v>
      </c>
      <c r="K6" s="87">
        <v>6600</v>
      </c>
      <c r="L6" s="87">
        <v>6800</v>
      </c>
      <c r="M6" s="84">
        <v>2017</v>
      </c>
      <c r="N6" s="84">
        <v>2018</v>
      </c>
      <c r="O6" s="84" t="s">
        <v>66</v>
      </c>
      <c r="P6" s="17"/>
    </row>
    <row r="7" spans="1:16" ht="12.75">
      <c r="A7" s="269" t="s">
        <v>170</v>
      </c>
      <c r="B7" s="256"/>
      <c r="C7" s="256"/>
      <c r="D7" s="256"/>
      <c r="E7" s="184"/>
      <c r="F7" s="186"/>
      <c r="G7" s="187"/>
      <c r="H7" s="128"/>
      <c r="I7" s="128"/>
      <c r="J7" s="128"/>
      <c r="K7" s="128"/>
      <c r="L7" s="130"/>
      <c r="M7" s="186"/>
      <c r="N7" s="186"/>
      <c r="O7" s="186"/>
      <c r="P7" s="17"/>
    </row>
    <row r="8" spans="1:16" ht="12.75">
      <c r="A8" s="88"/>
      <c r="B8" s="14" t="s">
        <v>169</v>
      </c>
      <c r="C8" s="14"/>
      <c r="D8" s="14"/>
      <c r="E8" s="3"/>
      <c r="F8" s="188"/>
      <c r="G8" s="189"/>
      <c r="H8" s="181"/>
      <c r="I8" s="181"/>
      <c r="J8" s="181"/>
      <c r="K8" s="181"/>
      <c r="L8" s="171"/>
      <c r="M8" s="181"/>
      <c r="N8" s="181"/>
      <c r="O8" s="172"/>
      <c r="P8" s="17"/>
    </row>
    <row r="9" spans="1:16" ht="12.75">
      <c r="A9" s="88"/>
      <c r="B9" s="17"/>
      <c r="C9" s="14" t="s">
        <v>23</v>
      </c>
      <c r="D9" s="14"/>
      <c r="E9" s="3">
        <v>1</v>
      </c>
      <c r="F9" s="143">
        <f>[1]!SEIP1071P260F1000PPL</f>
        <v>0</v>
      </c>
      <c r="G9" s="185"/>
      <c r="H9" s="106"/>
      <c r="I9" s="106"/>
      <c r="J9" s="106"/>
      <c r="K9" s="106"/>
      <c r="L9" s="168"/>
      <c r="M9" s="106">
        <f>[1]!SEIP1071P260F1000</f>
        <v>0</v>
      </c>
      <c r="N9" s="108">
        <f>SUM(H7:L9)</f>
        <v>0</v>
      </c>
      <c r="O9" s="167" t="str">
        <f>IF(M9=0," ",(N9-M9)/M9)</f>
        <v> </v>
      </c>
      <c r="P9" s="2">
        <v>1</v>
      </c>
    </row>
    <row r="10" spans="1:16" ht="12.75">
      <c r="A10" s="88"/>
      <c r="B10" s="17"/>
      <c r="C10" s="14" t="s">
        <v>24</v>
      </c>
      <c r="D10" s="14"/>
      <c r="E10" s="3"/>
      <c r="F10" s="186"/>
      <c r="G10" s="187"/>
      <c r="H10" s="128"/>
      <c r="I10" s="128"/>
      <c r="J10" s="128"/>
      <c r="K10" s="128"/>
      <c r="L10" s="130"/>
      <c r="M10" s="186"/>
      <c r="N10" s="186"/>
      <c r="O10" s="186"/>
      <c r="P10" s="2"/>
    </row>
    <row r="11" spans="1:16" ht="12.75">
      <c r="A11" s="88"/>
      <c r="B11" s="14"/>
      <c r="C11" s="14" t="s">
        <v>163</v>
      </c>
      <c r="D11" s="14"/>
      <c r="E11" s="3">
        <v>2</v>
      </c>
      <c r="F11" s="143">
        <f>[1]!SEIP1071P260F2100PPL</f>
        <v>0</v>
      </c>
      <c r="G11" s="185"/>
      <c r="H11" s="106"/>
      <c r="I11" s="106"/>
      <c r="J11" s="106"/>
      <c r="K11" s="106"/>
      <c r="L11" s="168"/>
      <c r="M11" s="106">
        <f>[1]!SEIP1071P260F2100</f>
        <v>0</v>
      </c>
      <c r="N11" s="108">
        <f>SUM(H10:L11)</f>
        <v>0</v>
      </c>
      <c r="O11" s="167" t="str">
        <f>IF(M11=0," ",(N11-M11)/M11)</f>
        <v> </v>
      </c>
      <c r="P11" s="2">
        <v>2</v>
      </c>
    </row>
    <row r="12" spans="1:16" ht="12.75">
      <c r="A12" s="88"/>
      <c r="B12" s="14"/>
      <c r="C12" s="14" t="s">
        <v>166</v>
      </c>
      <c r="D12" s="14"/>
      <c r="E12" s="21">
        <v>3</v>
      </c>
      <c r="F12" s="143">
        <f>[1]!SEIP1071P260F2200PPL</f>
        <v>0</v>
      </c>
      <c r="G12" s="134"/>
      <c r="H12" s="135"/>
      <c r="I12" s="135"/>
      <c r="J12" s="135"/>
      <c r="K12" s="135"/>
      <c r="L12" s="135"/>
      <c r="M12" s="34">
        <f>[1]!SEIP1071P260F2200</f>
        <v>0</v>
      </c>
      <c r="N12" s="6">
        <f aca="true" t="shared" si="0" ref="N12:N17">SUM(H12:L12)</f>
        <v>0</v>
      </c>
      <c r="O12" s="166" t="str">
        <f aca="true" t="shared" si="1" ref="O12:O18">IF(M12=0," ",(N12-M12)/M12)</f>
        <v> </v>
      </c>
      <c r="P12" s="91">
        <v>3</v>
      </c>
    </row>
    <row r="13" spans="1:16" ht="12.75">
      <c r="A13" s="88"/>
      <c r="B13" s="14"/>
      <c r="C13" s="14" t="s">
        <v>164</v>
      </c>
      <c r="D13" s="14"/>
      <c r="E13" s="21">
        <v>4</v>
      </c>
      <c r="F13" s="142">
        <f>[1]!SEIP1071P260F2300PPL</f>
        <v>0</v>
      </c>
      <c r="G13" s="134"/>
      <c r="H13" s="135"/>
      <c r="I13" s="135"/>
      <c r="J13" s="135"/>
      <c r="K13" s="135"/>
      <c r="L13" s="135"/>
      <c r="M13" s="135">
        <f>[1]!SEIP1071P260F2300</f>
        <v>0</v>
      </c>
      <c r="N13" s="20">
        <f t="shared" si="0"/>
        <v>0</v>
      </c>
      <c r="O13" s="136" t="str">
        <f t="shared" si="1"/>
        <v> </v>
      </c>
      <c r="P13" s="91">
        <v>4</v>
      </c>
    </row>
    <row r="14" spans="1:16" ht="12.75">
      <c r="A14" s="88"/>
      <c r="B14" s="14"/>
      <c r="C14" s="14" t="s">
        <v>165</v>
      </c>
      <c r="D14" s="14"/>
      <c r="E14" s="21">
        <v>5</v>
      </c>
      <c r="F14" s="142">
        <f>[1]!SEIP1071P260F2400PPL</f>
        <v>0</v>
      </c>
      <c r="G14" s="134"/>
      <c r="H14" s="135"/>
      <c r="I14" s="135"/>
      <c r="J14" s="135"/>
      <c r="K14" s="135"/>
      <c r="L14" s="135"/>
      <c r="M14" s="135">
        <f>[1]!SEIP1071P260F2400</f>
        <v>0</v>
      </c>
      <c r="N14" s="20">
        <f t="shared" si="0"/>
        <v>0</v>
      </c>
      <c r="O14" s="136" t="str">
        <f t="shared" si="1"/>
        <v> </v>
      </c>
      <c r="P14" s="91">
        <v>5</v>
      </c>
    </row>
    <row r="15" spans="1:16" ht="12.75">
      <c r="A15" s="88"/>
      <c r="B15" s="14"/>
      <c r="C15" s="14" t="s">
        <v>167</v>
      </c>
      <c r="D15" s="14"/>
      <c r="E15" s="21">
        <v>6</v>
      </c>
      <c r="F15" s="142">
        <f>[1]!SEIP1071P260F2500PPL</f>
        <v>0</v>
      </c>
      <c r="G15" s="134"/>
      <c r="H15" s="135"/>
      <c r="I15" s="135"/>
      <c r="J15" s="135"/>
      <c r="K15" s="135"/>
      <c r="L15" s="135"/>
      <c r="M15" s="135">
        <f>[1]!SEIP1071P260F2500</f>
        <v>0</v>
      </c>
      <c r="N15" s="20">
        <f t="shared" si="0"/>
        <v>0</v>
      </c>
      <c r="O15" s="136" t="str">
        <f t="shared" si="1"/>
        <v> </v>
      </c>
      <c r="P15" s="91">
        <v>6</v>
      </c>
    </row>
    <row r="16" spans="1:16" ht="12.75">
      <c r="A16" s="88"/>
      <c r="B16" s="14"/>
      <c r="C16" s="14" t="s">
        <v>168</v>
      </c>
      <c r="D16" s="14"/>
      <c r="E16" s="21">
        <v>7</v>
      </c>
      <c r="F16" s="142">
        <f>[1]!SEIP1071P260F2600PPL</f>
        <v>0</v>
      </c>
      <c r="G16" s="92"/>
      <c r="H16" s="26"/>
      <c r="I16" s="26"/>
      <c r="J16" s="26"/>
      <c r="K16" s="26"/>
      <c r="L16" s="26"/>
      <c r="M16" s="135">
        <f>[1]!SEIP1071P260F2600</f>
        <v>0</v>
      </c>
      <c r="N16" s="20">
        <f t="shared" si="0"/>
        <v>0</v>
      </c>
      <c r="O16" s="136" t="str">
        <f t="shared" si="1"/>
        <v> </v>
      </c>
      <c r="P16" s="91">
        <v>7</v>
      </c>
    </row>
    <row r="17" spans="1:16" ht="12.75">
      <c r="A17" s="88"/>
      <c r="B17" s="14"/>
      <c r="C17" s="14" t="s">
        <v>171</v>
      </c>
      <c r="D17" s="14"/>
      <c r="E17" s="21">
        <v>8</v>
      </c>
      <c r="F17" s="142">
        <f>[1]!SEIP1071P260F2900PPL</f>
        <v>0</v>
      </c>
      <c r="G17" s="93"/>
      <c r="H17" s="25"/>
      <c r="I17" s="25"/>
      <c r="J17" s="25"/>
      <c r="K17" s="25"/>
      <c r="L17" s="25"/>
      <c r="M17" s="135">
        <f>[1]!SEIP1071P260F2900</f>
        <v>0</v>
      </c>
      <c r="N17" s="20">
        <f t="shared" si="0"/>
        <v>0</v>
      </c>
      <c r="O17" s="136" t="str">
        <f t="shared" si="1"/>
        <v> </v>
      </c>
      <c r="P17" s="91">
        <v>8</v>
      </c>
    </row>
    <row r="18" spans="1:16" ht="12.75">
      <c r="A18" s="94"/>
      <c r="B18" s="137" t="s">
        <v>177</v>
      </c>
      <c r="C18" s="31"/>
      <c r="D18" s="31"/>
      <c r="E18" s="23">
        <v>9</v>
      </c>
      <c r="F18" s="190">
        <f>SUM(F8:F17)</f>
        <v>0</v>
      </c>
      <c r="G18" s="95">
        <f aca="true" t="shared" si="2" ref="G18:L18">SUM(G7:G17)</f>
        <v>0</v>
      </c>
      <c r="H18" s="6">
        <f t="shared" si="2"/>
        <v>0</v>
      </c>
      <c r="I18" s="6">
        <f t="shared" si="2"/>
        <v>0</v>
      </c>
      <c r="J18" s="6">
        <f t="shared" si="2"/>
        <v>0</v>
      </c>
      <c r="K18" s="6">
        <f t="shared" si="2"/>
        <v>0</v>
      </c>
      <c r="L18" s="6">
        <f t="shared" si="2"/>
        <v>0</v>
      </c>
      <c r="M18" s="164">
        <f>SUM(M8:M17)</f>
        <v>0</v>
      </c>
      <c r="N18" s="164">
        <f>SUM(N8:N17)</f>
        <v>0</v>
      </c>
      <c r="O18" s="165" t="str">
        <f t="shared" si="1"/>
        <v> </v>
      </c>
      <c r="P18" s="2">
        <v>9</v>
      </c>
    </row>
    <row r="19" spans="1:16" ht="12.75">
      <c r="A19" s="88"/>
      <c r="B19" s="138" t="s">
        <v>174</v>
      </c>
      <c r="C19" s="14"/>
      <c r="D19" s="14"/>
      <c r="E19" s="3"/>
      <c r="F19" s="186"/>
      <c r="G19" s="187"/>
      <c r="H19" s="128"/>
      <c r="I19" s="128"/>
      <c r="J19" s="128"/>
      <c r="K19" s="128"/>
      <c r="L19" s="130"/>
      <c r="M19" s="186"/>
      <c r="N19" s="192"/>
      <c r="O19" s="186"/>
      <c r="P19" s="2"/>
    </row>
    <row r="20" spans="1:16" ht="12.75">
      <c r="A20" s="88"/>
      <c r="B20" s="17"/>
      <c r="C20" s="14" t="s">
        <v>24</v>
      </c>
      <c r="D20" s="14"/>
      <c r="E20" s="3"/>
      <c r="F20" s="188"/>
      <c r="G20" s="189"/>
      <c r="H20" s="181"/>
      <c r="I20" s="181"/>
      <c r="J20" s="181"/>
      <c r="K20" s="181"/>
      <c r="L20" s="171"/>
      <c r="M20" s="181"/>
      <c r="N20" s="171"/>
      <c r="O20" s="182"/>
      <c r="P20" s="2"/>
    </row>
    <row r="21" spans="1:16" ht="12.75">
      <c r="A21" s="88"/>
      <c r="B21" s="17"/>
      <c r="C21" s="14" t="s">
        <v>172</v>
      </c>
      <c r="D21" s="14"/>
      <c r="E21" s="3">
        <v>10</v>
      </c>
      <c r="F21" s="143">
        <f>[1]!SEIP1071P430F2700PPL</f>
        <v>0</v>
      </c>
      <c r="G21" s="185"/>
      <c r="H21" s="106"/>
      <c r="I21" s="106"/>
      <c r="J21" s="106"/>
      <c r="K21" s="106"/>
      <c r="L21" s="168"/>
      <c r="M21" s="106">
        <f>[1]!SEIP1071P430F2700</f>
        <v>0</v>
      </c>
      <c r="N21" s="169">
        <f>SUM(H19:L21)</f>
        <v>0</v>
      </c>
      <c r="O21" s="183" t="str">
        <f>IF(M21=0," ",(N21-M21)/M21)</f>
        <v> </v>
      </c>
      <c r="P21" s="2">
        <v>10</v>
      </c>
    </row>
    <row r="22" spans="1:16" ht="12.75">
      <c r="A22" s="139" t="s">
        <v>178</v>
      </c>
      <c r="B22" s="96"/>
      <c r="C22" s="96"/>
      <c r="D22" s="96"/>
      <c r="E22" s="22">
        <v>11</v>
      </c>
      <c r="F22" s="95">
        <f aca="true" t="shared" si="3" ref="F22:L22">SUM(F18:F21)</f>
        <v>0</v>
      </c>
      <c r="G22" s="95">
        <f t="shared" si="3"/>
        <v>0</v>
      </c>
      <c r="H22" s="20">
        <f t="shared" si="3"/>
        <v>0</v>
      </c>
      <c r="I22" s="20">
        <f t="shared" si="3"/>
        <v>0</v>
      </c>
      <c r="J22" s="20">
        <f t="shared" si="3"/>
        <v>0</v>
      </c>
      <c r="K22" s="20">
        <f t="shared" si="3"/>
        <v>0</v>
      </c>
      <c r="L22" s="20">
        <f t="shared" si="3"/>
        <v>0</v>
      </c>
      <c r="M22" s="6">
        <f>[1]!TotalSEIP</f>
        <v>0</v>
      </c>
      <c r="N22" s="6">
        <f>SUM(N18:N21)</f>
        <v>0</v>
      </c>
      <c r="O22" s="191" t="str">
        <f>IF(M22=0," ",(N22-M22)/M22)</f>
        <v> </v>
      </c>
      <c r="P22" s="91">
        <v>11</v>
      </c>
    </row>
    <row r="23" spans="1:16" ht="12.75">
      <c r="A23" s="17"/>
      <c r="B23" s="17"/>
      <c r="C23" s="17"/>
      <c r="D23" s="17"/>
      <c r="E23" s="17"/>
      <c r="F23" s="17"/>
      <c r="G23" s="17"/>
      <c r="H23" s="17"/>
      <c r="I23" s="17"/>
      <c r="J23" s="17"/>
      <c r="K23" s="17"/>
      <c r="L23" s="17"/>
      <c r="M23" s="17"/>
      <c r="N23" s="17"/>
      <c r="O23" s="17"/>
      <c r="P23" s="17"/>
    </row>
    <row r="24" spans="1:16" ht="12.75">
      <c r="A24" s="72"/>
      <c r="B24" s="73"/>
      <c r="C24" s="73"/>
      <c r="D24" s="73"/>
      <c r="E24" s="74"/>
      <c r="F24" s="75" t="s">
        <v>143</v>
      </c>
      <c r="G24" s="76"/>
      <c r="H24" s="77"/>
      <c r="I24" s="77"/>
      <c r="J24" s="78" t="s">
        <v>15</v>
      </c>
      <c r="K24" s="1"/>
      <c r="L24" s="1"/>
      <c r="M24" s="79" t="s">
        <v>62</v>
      </c>
      <c r="N24" s="80"/>
      <c r="O24" s="77"/>
      <c r="P24" s="17"/>
    </row>
    <row r="25" spans="1:16" ht="12.75">
      <c r="A25" s="4"/>
      <c r="B25" s="14"/>
      <c r="C25" s="14"/>
      <c r="D25" s="14"/>
      <c r="E25" s="81"/>
      <c r="F25" s="82" t="s">
        <v>141</v>
      </c>
      <c r="G25" s="83"/>
      <c r="H25" s="84"/>
      <c r="I25" s="84" t="s">
        <v>142</v>
      </c>
      <c r="J25" s="84" t="s">
        <v>18</v>
      </c>
      <c r="K25" s="85"/>
      <c r="L25" s="85"/>
      <c r="M25" s="85"/>
      <c r="N25" s="85"/>
      <c r="O25" s="84" t="s">
        <v>64</v>
      </c>
      <c r="P25" s="17"/>
    </row>
    <row r="26" spans="1:16" ht="12.75">
      <c r="A26" s="4" t="s">
        <v>94</v>
      </c>
      <c r="B26" s="14"/>
      <c r="C26" s="14"/>
      <c r="D26" s="14"/>
      <c r="E26" s="81"/>
      <c r="F26" s="279" t="s">
        <v>250</v>
      </c>
      <c r="G26" s="78" t="s">
        <v>63</v>
      </c>
      <c r="H26" s="84" t="s">
        <v>16</v>
      </c>
      <c r="I26" s="84" t="s">
        <v>17</v>
      </c>
      <c r="J26" s="84" t="s">
        <v>21</v>
      </c>
      <c r="K26" s="84" t="s">
        <v>19</v>
      </c>
      <c r="L26" s="84" t="s">
        <v>20</v>
      </c>
      <c r="M26" s="278" t="s">
        <v>251</v>
      </c>
      <c r="N26" s="84" t="s">
        <v>56</v>
      </c>
      <c r="O26" s="84" t="s">
        <v>65</v>
      </c>
      <c r="P26" s="17"/>
    </row>
    <row r="27" spans="1:16" ht="12.75">
      <c r="A27" s="86"/>
      <c r="B27" s="31"/>
      <c r="C27" s="31"/>
      <c r="D27" s="31"/>
      <c r="E27" s="23"/>
      <c r="F27" s="84" t="s">
        <v>55</v>
      </c>
      <c r="G27" s="87" t="s">
        <v>55</v>
      </c>
      <c r="H27" s="87">
        <v>6100</v>
      </c>
      <c r="I27" s="87">
        <v>6200</v>
      </c>
      <c r="J27" s="87">
        <v>6500</v>
      </c>
      <c r="K27" s="87">
        <v>6600</v>
      </c>
      <c r="L27" s="87">
        <v>6800</v>
      </c>
      <c r="M27" s="84">
        <v>2017</v>
      </c>
      <c r="N27" s="84">
        <v>2018</v>
      </c>
      <c r="O27" s="84" t="s">
        <v>66</v>
      </c>
      <c r="P27" s="17"/>
    </row>
    <row r="28" spans="1:16" ht="12.75">
      <c r="A28" s="269" t="s">
        <v>145</v>
      </c>
      <c r="B28" s="256"/>
      <c r="C28" s="256"/>
      <c r="D28" s="256"/>
      <c r="E28" s="184"/>
      <c r="F28" s="186"/>
      <c r="G28" s="187"/>
      <c r="H28" s="128"/>
      <c r="I28" s="128"/>
      <c r="J28" s="128"/>
      <c r="K28" s="128"/>
      <c r="L28" s="130"/>
      <c r="M28" s="186"/>
      <c r="N28" s="186"/>
      <c r="O28" s="186"/>
      <c r="P28" s="17"/>
    </row>
    <row r="29" spans="1:16" ht="12.75">
      <c r="A29" s="88"/>
      <c r="B29" s="14" t="s">
        <v>146</v>
      </c>
      <c r="C29" s="14"/>
      <c r="D29" s="14"/>
      <c r="E29" s="3"/>
      <c r="F29" s="188"/>
      <c r="G29" s="189"/>
      <c r="H29" s="181"/>
      <c r="I29" s="181"/>
      <c r="J29" s="181"/>
      <c r="K29" s="181"/>
      <c r="L29" s="171"/>
      <c r="M29" s="181"/>
      <c r="N29" s="181"/>
      <c r="O29" s="172"/>
      <c r="P29" s="17"/>
    </row>
    <row r="30" spans="1:16" ht="12.75">
      <c r="A30" s="88"/>
      <c r="B30" s="17"/>
      <c r="C30" s="14" t="s">
        <v>23</v>
      </c>
      <c r="D30" s="14"/>
      <c r="E30" s="3">
        <v>12</v>
      </c>
      <c r="F30" s="143">
        <f>[1]!CIP1072P265F1000PPL</f>
        <v>0</v>
      </c>
      <c r="G30" s="185"/>
      <c r="H30" s="106"/>
      <c r="I30" s="106"/>
      <c r="J30" s="106"/>
      <c r="K30" s="106"/>
      <c r="L30" s="168"/>
      <c r="M30" s="106">
        <f>[1]!CIP1072P265F1000</f>
        <v>0</v>
      </c>
      <c r="N30" s="108">
        <f>SUM(H28:L30)</f>
        <v>0</v>
      </c>
      <c r="O30" s="167" t="str">
        <f>IF(M30=0," ",(N30-M30)/M30)</f>
        <v> </v>
      </c>
      <c r="P30" s="2">
        <v>12</v>
      </c>
    </row>
    <row r="31" spans="1:16" ht="12.75">
      <c r="A31" s="88"/>
      <c r="B31" s="17"/>
      <c r="C31" s="14" t="s">
        <v>24</v>
      </c>
      <c r="D31" s="14"/>
      <c r="E31" s="3"/>
      <c r="F31" s="186"/>
      <c r="G31" s="187"/>
      <c r="H31" s="128"/>
      <c r="I31" s="128"/>
      <c r="J31" s="128"/>
      <c r="K31" s="128"/>
      <c r="L31" s="130"/>
      <c r="M31" s="186"/>
      <c r="N31" s="186"/>
      <c r="O31" s="186"/>
      <c r="P31" s="17"/>
    </row>
    <row r="32" spans="1:16" ht="12.75">
      <c r="A32" s="88"/>
      <c r="B32" s="17"/>
      <c r="C32" s="14" t="s">
        <v>163</v>
      </c>
      <c r="D32" s="14"/>
      <c r="E32" s="3">
        <v>13</v>
      </c>
      <c r="F32" s="143">
        <f>[1]!CIP1072P265F2100PPL</f>
        <v>0</v>
      </c>
      <c r="G32" s="185"/>
      <c r="H32" s="106"/>
      <c r="I32" s="106"/>
      <c r="J32" s="106"/>
      <c r="K32" s="106"/>
      <c r="L32" s="168"/>
      <c r="M32" s="106">
        <f>[1]!CIP1072P265F2100</f>
        <v>0</v>
      </c>
      <c r="N32" s="108">
        <f>SUM(H31:L32)</f>
        <v>0</v>
      </c>
      <c r="O32" s="167" t="str">
        <f>IF(M32=0," ",(N32-M32)/M32)</f>
        <v> </v>
      </c>
      <c r="P32" s="2">
        <v>13</v>
      </c>
    </row>
    <row r="33" spans="1:16" ht="12.75">
      <c r="A33" s="88"/>
      <c r="B33" s="17"/>
      <c r="C33" s="14" t="s">
        <v>166</v>
      </c>
      <c r="D33" s="14"/>
      <c r="E33" s="21">
        <v>14</v>
      </c>
      <c r="F33" s="143">
        <f>[1]!CIP1072P265F2200PPL</f>
        <v>0</v>
      </c>
      <c r="G33" s="134"/>
      <c r="H33" s="135"/>
      <c r="I33" s="135"/>
      <c r="J33" s="135"/>
      <c r="K33" s="135"/>
      <c r="L33" s="135"/>
      <c r="M33" s="34">
        <f>[1]!CIP1072P265F2200</f>
        <v>0</v>
      </c>
      <c r="N33" s="6">
        <f aca="true" t="shared" si="4" ref="N33:N38">SUM(H33:L33)</f>
        <v>0</v>
      </c>
      <c r="O33" s="166" t="str">
        <f aca="true" t="shared" si="5" ref="O33:O39">IF(M33=0," ",(N33-M33)/M33)</f>
        <v> </v>
      </c>
      <c r="P33" s="91">
        <v>14</v>
      </c>
    </row>
    <row r="34" spans="1:16" ht="12.75">
      <c r="A34" s="88"/>
      <c r="B34" s="17"/>
      <c r="C34" s="14" t="s">
        <v>164</v>
      </c>
      <c r="D34" s="14"/>
      <c r="E34" s="21">
        <v>15</v>
      </c>
      <c r="F34" s="143">
        <f>[1]!CIP1072P265F2300PPL</f>
        <v>0</v>
      </c>
      <c r="G34" s="90"/>
      <c r="H34" s="34"/>
      <c r="I34" s="34"/>
      <c r="J34" s="34"/>
      <c r="K34" s="34"/>
      <c r="L34" s="34"/>
      <c r="M34" s="135">
        <f>[1]!CIP1072P265F2300</f>
        <v>0</v>
      </c>
      <c r="N34" s="20">
        <f t="shared" si="4"/>
        <v>0</v>
      </c>
      <c r="O34" s="136" t="str">
        <f t="shared" si="5"/>
        <v> </v>
      </c>
      <c r="P34" s="91">
        <v>15</v>
      </c>
    </row>
    <row r="35" spans="1:16" ht="12.75">
      <c r="A35" s="88"/>
      <c r="B35" s="17"/>
      <c r="C35" s="14" t="s">
        <v>165</v>
      </c>
      <c r="D35" s="14"/>
      <c r="E35" s="21">
        <v>16</v>
      </c>
      <c r="F35" s="143">
        <f>[1]!CIP1072P265F2400PPL</f>
        <v>0</v>
      </c>
      <c r="G35" s="90"/>
      <c r="H35" s="34"/>
      <c r="I35" s="34"/>
      <c r="J35" s="34"/>
      <c r="K35" s="34"/>
      <c r="L35" s="34"/>
      <c r="M35" s="135">
        <f>[1]!CIP1072P265F2400</f>
        <v>0</v>
      </c>
      <c r="N35" s="20">
        <f t="shared" si="4"/>
        <v>0</v>
      </c>
      <c r="O35" s="136" t="str">
        <f t="shared" si="5"/>
        <v> </v>
      </c>
      <c r="P35" s="91">
        <v>16</v>
      </c>
    </row>
    <row r="36" spans="1:16" ht="12.75">
      <c r="A36" s="88"/>
      <c r="B36" s="17"/>
      <c r="C36" s="14" t="s">
        <v>167</v>
      </c>
      <c r="D36" s="14"/>
      <c r="E36" s="21">
        <v>17</v>
      </c>
      <c r="F36" s="143">
        <f>[1]!CIP1072P265F2500PPL</f>
        <v>0</v>
      </c>
      <c r="G36" s="90"/>
      <c r="H36" s="34"/>
      <c r="I36" s="34"/>
      <c r="J36" s="34"/>
      <c r="K36" s="34"/>
      <c r="L36" s="34"/>
      <c r="M36" s="135">
        <f>[1]!CIP1072P265F2500</f>
        <v>0</v>
      </c>
      <c r="N36" s="20">
        <f t="shared" si="4"/>
        <v>0</v>
      </c>
      <c r="O36" s="136" t="str">
        <f t="shared" si="5"/>
        <v> </v>
      </c>
      <c r="P36" s="91">
        <v>17</v>
      </c>
    </row>
    <row r="37" spans="1:16" ht="12.75">
      <c r="A37" s="88"/>
      <c r="B37" s="17"/>
      <c r="C37" s="14" t="s">
        <v>168</v>
      </c>
      <c r="D37" s="14"/>
      <c r="E37" s="21">
        <v>18</v>
      </c>
      <c r="F37" s="142">
        <f>[1]!CIP1072P265F2600PPL</f>
        <v>0</v>
      </c>
      <c r="G37" s="92"/>
      <c r="H37" s="26"/>
      <c r="I37" s="26"/>
      <c r="J37" s="26"/>
      <c r="K37" s="26"/>
      <c r="L37" s="26"/>
      <c r="M37" s="135">
        <f>[1]!CIP1072P265F2600</f>
        <v>0</v>
      </c>
      <c r="N37" s="20">
        <f t="shared" si="4"/>
        <v>0</v>
      </c>
      <c r="O37" s="136" t="str">
        <f t="shared" si="5"/>
        <v> </v>
      </c>
      <c r="P37" s="91">
        <v>18</v>
      </c>
    </row>
    <row r="38" spans="1:16" ht="12.75">
      <c r="A38" s="88"/>
      <c r="B38" s="17"/>
      <c r="C38" s="14" t="s">
        <v>171</v>
      </c>
      <c r="D38" s="14"/>
      <c r="E38" s="21">
        <v>19</v>
      </c>
      <c r="F38" s="143">
        <f>[1]!CIP1072P265F2900PPL</f>
        <v>0</v>
      </c>
      <c r="G38" s="93"/>
      <c r="H38" s="25"/>
      <c r="I38" s="25"/>
      <c r="J38" s="25"/>
      <c r="K38" s="25"/>
      <c r="L38" s="25"/>
      <c r="M38" s="135">
        <f>[1]!CIP1072P265F2900</f>
        <v>0</v>
      </c>
      <c r="N38" s="20">
        <f t="shared" si="4"/>
        <v>0</v>
      </c>
      <c r="O38" s="136" t="str">
        <f t="shared" si="5"/>
        <v> </v>
      </c>
      <c r="P38" s="91">
        <v>19</v>
      </c>
    </row>
    <row r="39" spans="1:16" ht="12.75">
      <c r="A39" s="94"/>
      <c r="B39" s="137" t="s">
        <v>179</v>
      </c>
      <c r="C39" s="31"/>
      <c r="D39" s="31"/>
      <c r="E39" s="23">
        <v>20</v>
      </c>
      <c r="F39" s="188">
        <f>SUM(F29:F38)</f>
        <v>0</v>
      </c>
      <c r="G39" s="95">
        <f aca="true" t="shared" si="6" ref="G39:L39">SUM(G28:G38)</f>
        <v>0</v>
      </c>
      <c r="H39" s="6">
        <f t="shared" si="6"/>
        <v>0</v>
      </c>
      <c r="I39" s="6">
        <f t="shared" si="6"/>
        <v>0</v>
      </c>
      <c r="J39" s="6">
        <f t="shared" si="6"/>
        <v>0</v>
      </c>
      <c r="K39" s="6">
        <f t="shared" si="6"/>
        <v>0</v>
      </c>
      <c r="L39" s="6">
        <f t="shared" si="6"/>
        <v>0</v>
      </c>
      <c r="M39" s="164">
        <f>SUM(M29:M38)</f>
        <v>0</v>
      </c>
      <c r="N39" s="164">
        <f>SUM(N29:N38)</f>
        <v>0</v>
      </c>
      <c r="O39" s="165" t="str">
        <f t="shared" si="5"/>
        <v> </v>
      </c>
      <c r="P39" s="2">
        <v>20</v>
      </c>
    </row>
    <row r="40" spans="1:16" ht="12.75">
      <c r="A40" s="88"/>
      <c r="B40" s="138" t="s">
        <v>175</v>
      </c>
      <c r="C40" s="14"/>
      <c r="D40" s="14"/>
      <c r="E40" s="3"/>
      <c r="F40" s="186"/>
      <c r="G40" s="187"/>
      <c r="H40" s="128"/>
      <c r="I40" s="128"/>
      <c r="J40" s="128"/>
      <c r="K40" s="128"/>
      <c r="L40" s="130"/>
      <c r="M40" s="186"/>
      <c r="N40" s="186"/>
      <c r="O40" s="186"/>
      <c r="P40" s="2"/>
    </row>
    <row r="41" spans="1:16" ht="12.75">
      <c r="A41" s="88"/>
      <c r="B41" s="17"/>
      <c r="C41" s="14" t="s">
        <v>24</v>
      </c>
      <c r="D41" s="14"/>
      <c r="E41" s="3"/>
      <c r="F41" s="188"/>
      <c r="G41" s="189"/>
      <c r="H41" s="181"/>
      <c r="I41" s="181"/>
      <c r="J41" s="181"/>
      <c r="K41" s="181"/>
      <c r="L41" s="171"/>
      <c r="M41" s="181"/>
      <c r="N41" s="181"/>
      <c r="O41" s="182"/>
      <c r="P41" s="2"/>
    </row>
    <row r="42" spans="1:16" ht="12.75">
      <c r="A42" s="88"/>
      <c r="B42" s="17"/>
      <c r="C42" s="14" t="s">
        <v>172</v>
      </c>
      <c r="D42" s="14"/>
      <c r="E42" s="3">
        <v>21</v>
      </c>
      <c r="F42" s="143">
        <f>[1]!CIP1072P435F2700PPL</f>
        <v>0</v>
      </c>
      <c r="G42" s="185"/>
      <c r="H42" s="106"/>
      <c r="I42" s="106"/>
      <c r="J42" s="106"/>
      <c r="K42" s="106"/>
      <c r="L42" s="168"/>
      <c r="M42" s="106">
        <f>[1]!CIP1072P435F2700</f>
        <v>0</v>
      </c>
      <c r="N42" s="108">
        <f>SUM(H40:L42)</f>
        <v>0</v>
      </c>
      <c r="O42" s="183" t="str">
        <f>IF(M42=0," ",(N42-M42)/M42)</f>
        <v> </v>
      </c>
      <c r="P42" s="2">
        <v>21</v>
      </c>
    </row>
    <row r="43" spans="1:16" ht="12.75">
      <c r="A43" s="139" t="s">
        <v>180</v>
      </c>
      <c r="B43" s="96"/>
      <c r="C43" s="96"/>
      <c r="D43" s="96"/>
      <c r="E43" s="22">
        <v>22</v>
      </c>
      <c r="F43" s="89">
        <f>SUM(F39:F42)</f>
        <v>0</v>
      </c>
      <c r="G43" s="95">
        <f aca="true" t="shared" si="7" ref="G43:L43">SUM(G39:G42)</f>
        <v>0</v>
      </c>
      <c r="H43" s="20">
        <f t="shared" si="7"/>
        <v>0</v>
      </c>
      <c r="I43" s="20">
        <f t="shared" si="7"/>
        <v>0</v>
      </c>
      <c r="J43" s="20">
        <f t="shared" si="7"/>
        <v>0</v>
      </c>
      <c r="K43" s="20">
        <f t="shared" si="7"/>
        <v>0</v>
      </c>
      <c r="L43" s="20">
        <f t="shared" si="7"/>
        <v>0</v>
      </c>
      <c r="M43" s="6">
        <f>SUM(M39:M42)</f>
        <v>0</v>
      </c>
      <c r="N43" s="6">
        <f>SUM(N39:N42)</f>
        <v>0</v>
      </c>
      <c r="O43" s="191" t="str">
        <f>IF(M43=0," ",(N43-M43)/M43)</f>
        <v> </v>
      </c>
      <c r="P43" s="91">
        <v>22</v>
      </c>
    </row>
  </sheetData>
  <sheetProtection sheet="1"/>
  <mergeCells count="4">
    <mergeCell ref="D1:F1"/>
    <mergeCell ref="J1:K1"/>
    <mergeCell ref="N1:O1"/>
    <mergeCell ref="D3:D4"/>
  </mergeCells>
  <hyperlinks>
    <hyperlink ref="B7:D7" r:id="rId1" display="Structured English Immersion Project - 1071"/>
    <hyperlink ref="A7:D7" location="Pg4StructuredEnglishImmersionProj" display="Structured English Immersion Project - 1071"/>
    <hyperlink ref="A28:D28" location="Pg4CompensatoryInstructionProj" display="Compensatory Instruction Project - 1072"/>
  </hyperlinks>
  <printOptions horizontalCentered="1" verticalCentered="1"/>
  <pageMargins left="0.75" right="0.5" top="0.25" bottom="0.25" header="0" footer="0"/>
  <pageSetup horizontalDpi="600" verticalDpi="600" orientation="landscape" paperSize="5" r:id="rId3"/>
  <headerFooter>
    <oddFooter>&amp;L&amp;"Arial,Bold"Rev. 5/17&amp;C&amp;"Arial,Bold"FY 2018&amp;R&amp;"Arial,Bold"Page 4 of 4</oddFooter>
  </headerFooter>
  <drawing r:id="rId2"/>
</worksheet>
</file>

<file path=xl/worksheets/sheet6.xml><?xml version="1.0" encoding="utf-8"?>
<worksheet xmlns="http://schemas.openxmlformats.org/spreadsheetml/2006/main" xmlns:r="http://schemas.openxmlformats.org/officeDocument/2006/relationships">
  <dimension ref="A1:M53"/>
  <sheetViews>
    <sheetView showGridLines="0" workbookViewId="0" topLeftCell="A1">
      <selection activeCell="A1" sqref="A1:J1"/>
    </sheetView>
  </sheetViews>
  <sheetFormatPr defaultColWidth="9.140625" defaultRowHeight="12.75"/>
  <cols>
    <col min="1" max="2" width="1.57421875" style="196" customWidth="1"/>
    <col min="3" max="3" width="42.140625" style="196" customWidth="1"/>
    <col min="4" max="5" width="12.7109375" style="196" customWidth="1"/>
    <col min="6" max="6" width="9.7109375" style="196" customWidth="1"/>
    <col min="7" max="7" width="4.7109375" style="196" customWidth="1"/>
    <col min="8" max="8" width="27.28125" style="196" customWidth="1"/>
    <col min="9" max="9" width="5.28125" style="196" customWidth="1"/>
    <col min="10" max="12" width="12.7109375" style="196" customWidth="1"/>
    <col min="13" max="13" width="9.7109375" style="196" customWidth="1"/>
    <col min="14" max="16384" width="9.140625" style="196" customWidth="1"/>
  </cols>
  <sheetData>
    <row r="1" spans="1:12" ht="23.25" customHeight="1">
      <c r="A1" s="369" t="s">
        <v>291</v>
      </c>
      <c r="B1" s="369"/>
      <c r="C1" s="369"/>
      <c r="D1" s="369"/>
      <c r="E1" s="369"/>
      <c r="F1" s="369"/>
      <c r="G1" s="369"/>
      <c r="H1" s="369"/>
      <c r="I1" s="369"/>
      <c r="J1" s="369"/>
      <c r="K1" s="197" t="s">
        <v>194</v>
      </c>
      <c r="L1" s="198" t="str">
        <f>[0]!CTD</f>
        <v>048701000</v>
      </c>
    </row>
    <row r="2" ht="3.75" customHeight="1"/>
    <row r="3" spans="1:13" ht="12" customHeight="1">
      <c r="A3" s="216" t="s">
        <v>215</v>
      </c>
      <c r="B3" s="217"/>
      <c r="C3" s="217"/>
      <c r="D3" s="379" t="s">
        <v>62</v>
      </c>
      <c r="E3" s="380"/>
      <c r="F3" s="210" t="s">
        <v>64</v>
      </c>
      <c r="H3" s="370" t="str">
        <f>"The budget of "&amp;IF(Cover!$D$3=0,Cover!$D$1,Cover!$D$1&amp;" (d.b.a. "&amp;Cover!$D$3&amp;")")&amp;" for fiscal year 2018 was officially proposed by the Governing Board on "&amp;TEXT(Cover!$F$20,"mmmm dd, yyyy")&amp;". The complete budget may be reviewed by contacting "&amp;Cover!$O$25&amp;" at "&amp;Cover!$M$26&amp;" or "&amp;Cover!$P$26&amp;"."</f>
        <v>The budget of Destiny School for fiscal year 2018 was officially proposed by the Governing Board on June 15, 2017. The complete budget may be reviewed by contacting Cindy Cothrun at 928-425-7792 or destinyschool@yahoo.com.</v>
      </c>
      <c r="I3" s="371"/>
      <c r="J3" s="371"/>
      <c r="K3" s="371"/>
      <c r="L3" s="371"/>
      <c r="M3" s="372"/>
    </row>
    <row r="4" spans="1:13" ht="12" customHeight="1">
      <c r="A4" s="218"/>
      <c r="D4" s="210" t="s">
        <v>251</v>
      </c>
      <c r="E4" s="210" t="s">
        <v>56</v>
      </c>
      <c r="F4" s="219" t="s">
        <v>65</v>
      </c>
      <c r="H4" s="373"/>
      <c r="I4" s="374"/>
      <c r="J4" s="374"/>
      <c r="K4" s="374"/>
      <c r="L4" s="374"/>
      <c r="M4" s="375"/>
    </row>
    <row r="5" spans="1:13" ht="12" customHeight="1">
      <c r="A5" s="218" t="s">
        <v>22</v>
      </c>
      <c r="D5" s="199">
        <v>2017</v>
      </c>
      <c r="E5" s="199">
        <v>2018</v>
      </c>
      <c r="F5" s="220" t="s">
        <v>66</v>
      </c>
      <c r="H5" s="373"/>
      <c r="I5" s="374"/>
      <c r="J5" s="374"/>
      <c r="K5" s="374"/>
      <c r="L5" s="374"/>
      <c r="M5" s="375"/>
    </row>
    <row r="6" spans="1:13" ht="12" customHeight="1">
      <c r="A6" s="218"/>
      <c r="B6" s="196" t="s">
        <v>23</v>
      </c>
      <c r="D6" s="201">
        <f>SP1000P100F1000CY</f>
        <v>813268</v>
      </c>
      <c r="E6" s="201">
        <f>SP1000P100F1000</f>
        <v>834768</v>
      </c>
      <c r="F6" s="221">
        <f>IF(D6=0," ",(E6-D6)/D6)</f>
        <v>0.026</v>
      </c>
      <c r="H6" s="373"/>
      <c r="I6" s="374"/>
      <c r="J6" s="374"/>
      <c r="K6" s="374"/>
      <c r="L6" s="374"/>
      <c r="M6" s="375"/>
    </row>
    <row r="7" spans="1:13" ht="12" customHeight="1">
      <c r="A7" s="218"/>
      <c r="B7" s="196" t="s">
        <v>24</v>
      </c>
      <c r="D7" s="202"/>
      <c r="E7" s="239"/>
      <c r="F7" s="240"/>
      <c r="H7" s="376"/>
      <c r="I7" s="377"/>
      <c r="J7" s="377"/>
      <c r="K7" s="377"/>
      <c r="L7" s="377"/>
      <c r="M7" s="378"/>
    </row>
    <row r="8" spans="1:11" ht="12" customHeight="1">
      <c r="A8" s="218"/>
      <c r="C8" s="196" t="s">
        <v>195</v>
      </c>
      <c r="D8" s="203">
        <f>SP1000P100F2100CY</f>
        <v>130890</v>
      </c>
      <c r="E8" s="238">
        <f>SP1000P100F2100</f>
        <v>131590</v>
      </c>
      <c r="F8" s="222">
        <f>IF(D8=0," ",(E8-D8)/D8)</f>
        <v>0.005</v>
      </c>
      <c r="H8" s="214"/>
      <c r="I8" s="214"/>
      <c r="J8" s="214"/>
      <c r="K8" s="214"/>
    </row>
    <row r="9" spans="1:13" ht="12" customHeight="1">
      <c r="A9" s="218"/>
      <c r="C9" s="196" t="s">
        <v>196</v>
      </c>
      <c r="D9" s="200">
        <f>SP1000P100F2200CY</f>
        <v>90272</v>
      </c>
      <c r="E9" s="200">
        <f>SP1000P100F2200</f>
        <v>90872</v>
      </c>
      <c r="F9" s="225">
        <f>IF(D9=0," ",(E9-D9)/D9)</f>
        <v>0.007</v>
      </c>
      <c r="H9" s="227"/>
      <c r="I9" s="217"/>
      <c r="J9" s="228"/>
      <c r="K9" s="381" t="s">
        <v>62</v>
      </c>
      <c r="L9" s="382"/>
      <c r="M9" s="210" t="s">
        <v>64</v>
      </c>
    </row>
    <row r="10" spans="1:13" ht="12" customHeight="1">
      <c r="A10" s="218"/>
      <c r="C10" s="196" t="s">
        <v>197</v>
      </c>
      <c r="D10" s="200">
        <f>SP1000P100F2300CY</f>
        <v>218585</v>
      </c>
      <c r="E10" s="200">
        <f>SP1000P100F2300</f>
        <v>221785</v>
      </c>
      <c r="F10" s="221">
        <f aca="true" t="shared" si="0" ref="F10:F21">IF(D10=0," ",(E10-D10)/D10)</f>
        <v>0.015</v>
      </c>
      <c r="H10" s="229" t="s">
        <v>209</v>
      </c>
      <c r="I10" s="233"/>
      <c r="J10" s="234"/>
      <c r="K10" s="210" t="s">
        <v>251</v>
      </c>
      <c r="L10" s="210" t="s">
        <v>56</v>
      </c>
      <c r="M10" s="219" t="s">
        <v>65</v>
      </c>
    </row>
    <row r="11" spans="1:13" ht="12" customHeight="1">
      <c r="A11" s="218"/>
      <c r="C11" s="196" t="s">
        <v>198</v>
      </c>
      <c r="D11" s="200">
        <f>SP1000P100F2400CY</f>
        <v>123311</v>
      </c>
      <c r="E11" s="200">
        <f>SP1000P100F2400</f>
        <v>123605</v>
      </c>
      <c r="F11" s="221">
        <f t="shared" si="0"/>
        <v>0.002</v>
      </c>
      <c r="H11" s="230"/>
      <c r="I11" s="235"/>
      <c r="J11" s="204"/>
      <c r="K11" s="199">
        <v>2017</v>
      </c>
      <c r="L11" s="199">
        <v>2018</v>
      </c>
      <c r="M11" s="220" t="s">
        <v>66</v>
      </c>
    </row>
    <row r="12" spans="1:13" ht="12" customHeight="1">
      <c r="A12" s="218"/>
      <c r="C12" s="196" t="s">
        <v>199</v>
      </c>
      <c r="D12" s="200">
        <f>SP1000P100F2500CY</f>
        <v>118500</v>
      </c>
      <c r="E12" s="200">
        <f>SP1000P100F2500</f>
        <v>118500</v>
      </c>
      <c r="F12" s="221">
        <f t="shared" si="0"/>
        <v>0</v>
      </c>
      <c r="H12" s="231" t="s">
        <v>271</v>
      </c>
      <c r="I12" s="197"/>
      <c r="J12" s="234"/>
      <c r="K12" s="201">
        <f>'Page 2'!M5</f>
        <v>167550</v>
      </c>
      <c r="L12" s="201">
        <f>'Page 2'!N5</f>
        <v>168450</v>
      </c>
      <c r="M12" s="221">
        <f aca="true" t="shared" si="1" ref="M12:M19">IF(K12=0," ",(L12-K12)/K12)</f>
        <v>0.005</v>
      </c>
    </row>
    <row r="13" spans="1:13" ht="12" customHeight="1">
      <c r="A13" s="218"/>
      <c r="C13" s="196" t="s">
        <v>200</v>
      </c>
      <c r="D13" s="200">
        <f>SP1000P100F2600CY</f>
        <v>322905</v>
      </c>
      <c r="E13" s="200">
        <f>SP1000P100F2600</f>
        <v>322905</v>
      </c>
      <c r="F13" s="221">
        <f t="shared" si="0"/>
        <v>0</v>
      </c>
      <c r="H13" s="231" t="s">
        <v>34</v>
      </c>
      <c r="I13" s="197"/>
      <c r="J13" s="234"/>
      <c r="K13" s="201">
        <f>P200GiftedEducationCY</f>
        <v>0</v>
      </c>
      <c r="L13" s="200">
        <f>P200GiftedEducation</f>
        <v>0</v>
      </c>
      <c r="M13" s="221" t="str">
        <f t="shared" si="1"/>
        <v> </v>
      </c>
    </row>
    <row r="14" spans="1:13" ht="12" customHeight="1">
      <c r="A14" s="218"/>
      <c r="C14" s="196" t="s">
        <v>201</v>
      </c>
      <c r="D14" s="200">
        <f>SP1000P100F2900CY</f>
        <v>20000</v>
      </c>
      <c r="E14" s="200">
        <f>SP1000P100F2900</f>
        <v>20000</v>
      </c>
      <c r="F14" s="221">
        <f t="shared" si="0"/>
        <v>0</v>
      </c>
      <c r="H14" s="231" t="s">
        <v>147</v>
      </c>
      <c r="I14" s="197"/>
      <c r="J14" s="234"/>
      <c r="K14" s="201">
        <f>P200ELLIncrementalCostsCY</f>
        <v>0</v>
      </c>
      <c r="L14" s="200">
        <f>P200ELLIncrementalCosts</f>
        <v>0</v>
      </c>
      <c r="M14" s="221" t="str">
        <f t="shared" si="1"/>
        <v> </v>
      </c>
    </row>
    <row r="15" spans="1:13" ht="12" customHeight="1">
      <c r="A15" s="218"/>
      <c r="B15" s="196" t="s">
        <v>27</v>
      </c>
      <c r="D15" s="200">
        <f>SP1000P100F3000CY</f>
        <v>0</v>
      </c>
      <c r="E15" s="200">
        <f>SP1000P100F3000</f>
        <v>0</v>
      </c>
      <c r="F15" s="221" t="str">
        <f t="shared" si="0"/>
        <v> </v>
      </c>
      <c r="H15" s="231" t="s">
        <v>148</v>
      </c>
      <c r="I15" s="197"/>
      <c r="J15" s="234"/>
      <c r="K15" s="200">
        <f>P200ELLCompensatoryInstructionCY</f>
        <v>0</v>
      </c>
      <c r="L15" s="200">
        <f>P200ELLCompensatoryInstruction</f>
        <v>0</v>
      </c>
      <c r="M15" s="221" t="str">
        <f t="shared" si="1"/>
        <v> </v>
      </c>
    </row>
    <row r="16" spans="1:13" ht="12" customHeight="1">
      <c r="A16" s="218"/>
      <c r="B16" s="196" t="s">
        <v>152</v>
      </c>
      <c r="D16" s="200">
        <f>SP1000P100F4000CY</f>
        <v>32000</v>
      </c>
      <c r="E16" s="200">
        <f>SP1000P100F4000</f>
        <v>25000</v>
      </c>
      <c r="F16" s="221">
        <f t="shared" si="0"/>
        <v>-0.219</v>
      </c>
      <c r="H16" s="231" t="s">
        <v>35</v>
      </c>
      <c r="I16" s="197"/>
      <c r="J16" s="234"/>
      <c r="K16" s="200">
        <f>P200RemedialEducationCY</f>
        <v>0</v>
      </c>
      <c r="L16" s="200">
        <f>P200RemedialEducation</f>
        <v>0</v>
      </c>
      <c r="M16" s="221" t="str">
        <f t="shared" si="1"/>
        <v> </v>
      </c>
    </row>
    <row r="17" spans="1:13" ht="12" customHeight="1">
      <c r="A17" s="218"/>
      <c r="B17" s="196" t="s">
        <v>28</v>
      </c>
      <c r="D17" s="200">
        <f>SP1000P100F5000CY</f>
        <v>0</v>
      </c>
      <c r="E17" s="200">
        <f>SP1000P100F5000</f>
        <v>0</v>
      </c>
      <c r="F17" s="221" t="str">
        <f t="shared" si="0"/>
        <v> </v>
      </c>
      <c r="H17" s="231" t="s">
        <v>181</v>
      </c>
      <c r="I17" s="197"/>
      <c r="J17" s="234"/>
      <c r="K17" s="200">
        <f>P200VocationalandTechnologicalEdCY</f>
        <v>0</v>
      </c>
      <c r="L17" s="200">
        <f>P200VocationalandTechnologicalEd</f>
        <v>0</v>
      </c>
      <c r="M17" s="221" t="str">
        <f t="shared" si="1"/>
        <v> </v>
      </c>
    </row>
    <row r="18" spans="1:13" ht="12" customHeight="1">
      <c r="A18" s="218" t="s">
        <v>77</v>
      </c>
      <c r="D18" s="200">
        <f>SP1000P610CY</f>
        <v>0</v>
      </c>
      <c r="E18" s="200">
        <f>SP1000P610</f>
        <v>0</v>
      </c>
      <c r="F18" s="221" t="str">
        <f t="shared" si="0"/>
        <v> </v>
      </c>
      <c r="H18" s="231" t="s">
        <v>36</v>
      </c>
      <c r="I18" s="197"/>
      <c r="J18" s="234"/>
      <c r="K18" s="213">
        <f>P200CareerEducationCY</f>
        <v>0</v>
      </c>
      <c r="L18" s="213">
        <f>P200CareerEducation</f>
        <v>0</v>
      </c>
      <c r="M18" s="221" t="str">
        <f t="shared" si="1"/>
        <v> </v>
      </c>
    </row>
    <row r="19" spans="1:13" ht="12" customHeight="1">
      <c r="A19" s="218" t="s">
        <v>79</v>
      </c>
      <c r="D19" s="200">
        <f>SP1000P620CY</f>
        <v>38790</v>
      </c>
      <c r="E19" s="200">
        <f>SP1000P620</f>
        <v>36790</v>
      </c>
      <c r="F19" s="221">
        <f t="shared" si="0"/>
        <v>-0.052</v>
      </c>
      <c r="H19" s="383" t="s">
        <v>206</v>
      </c>
      <c r="I19" s="384"/>
      <c r="J19" s="384"/>
      <c r="K19" s="200">
        <f>SUM(K12:K18)</f>
        <v>167550</v>
      </c>
      <c r="L19" s="200">
        <f>SUM(L12:L18)</f>
        <v>168450</v>
      </c>
      <c r="M19" s="224">
        <f t="shared" si="1"/>
        <v>0.005</v>
      </c>
    </row>
    <row r="20" spans="1:13" ht="12" customHeight="1">
      <c r="A20" s="218" t="s">
        <v>78</v>
      </c>
      <c r="D20" s="200">
        <f>SP1000P630700800900CY</f>
        <v>0</v>
      </c>
      <c r="E20" s="200">
        <f>SP1000P630700800900</f>
        <v>0</v>
      </c>
      <c r="F20" s="221" t="str">
        <f t="shared" si="0"/>
        <v> </v>
      </c>
      <c r="H20" s="197"/>
      <c r="I20" s="197"/>
      <c r="K20" s="280"/>
      <c r="L20" s="280"/>
      <c r="M20" s="281"/>
    </row>
    <row r="21" spans="1:13" ht="12" customHeight="1">
      <c r="A21" s="223"/>
      <c r="B21" s="198" t="s">
        <v>202</v>
      </c>
      <c r="C21" s="204"/>
      <c r="D21" s="200">
        <f>SUM(D6:D20)</f>
        <v>1908521</v>
      </c>
      <c r="E21" s="200">
        <f>SUM(E6:E20)</f>
        <v>1925815</v>
      </c>
      <c r="F21" s="221">
        <f t="shared" si="0"/>
        <v>0.009</v>
      </c>
      <c r="H21" s="197"/>
      <c r="I21" s="197"/>
      <c r="K21" s="280"/>
      <c r="L21" s="280"/>
      <c r="M21" s="281"/>
    </row>
    <row r="22" spans="1:13" ht="12" customHeight="1">
      <c r="A22" s="218" t="s">
        <v>29</v>
      </c>
      <c r="D22" s="202"/>
      <c r="E22" s="239"/>
      <c r="F22" s="240"/>
      <c r="H22" s="197"/>
      <c r="I22" s="197"/>
      <c r="K22" s="7"/>
      <c r="L22" s="280"/>
      <c r="M22" s="281"/>
    </row>
    <row r="23" spans="1:13" ht="12" customHeight="1">
      <c r="A23" s="218"/>
      <c r="B23" s="196" t="s">
        <v>23</v>
      </c>
      <c r="D23" s="205">
        <f>SP1000P200F1000CY</f>
        <v>167555</v>
      </c>
      <c r="E23" s="241">
        <f>SP1000P200F1000</f>
        <v>168450</v>
      </c>
      <c r="F23" s="222">
        <f>IF(D23=0," ",(E23-D23)/D23)</f>
        <v>0.005</v>
      </c>
      <c r="H23" s="385" t="s">
        <v>214</v>
      </c>
      <c r="I23" s="386"/>
      <c r="J23" s="386"/>
      <c r="K23" s="386"/>
      <c r="L23" s="387"/>
      <c r="M23" s="281"/>
    </row>
    <row r="24" spans="1:13" ht="12" customHeight="1">
      <c r="A24" s="218"/>
      <c r="B24" s="196" t="s">
        <v>24</v>
      </c>
      <c r="D24" s="206"/>
      <c r="E24" s="206"/>
      <c r="F24" s="225"/>
      <c r="H24" s="218"/>
      <c r="J24" s="367" t="s">
        <v>62</v>
      </c>
      <c r="K24" s="368"/>
      <c r="L24" s="219" t="s">
        <v>64</v>
      </c>
      <c r="M24" s="281"/>
    </row>
    <row r="25" spans="1:13" ht="12" customHeight="1">
      <c r="A25" s="218"/>
      <c r="C25" s="196" t="s">
        <v>195</v>
      </c>
      <c r="D25" s="201">
        <f>SP1000P200F2100CY</f>
        <v>0</v>
      </c>
      <c r="E25" s="201">
        <f>SP1000P200F2100</f>
        <v>0</v>
      </c>
      <c r="F25" s="222" t="str">
        <f aca="true" t="shared" si="2" ref="F25:F41">IF(D25=0," ",(E25-D25)/D25)</f>
        <v> </v>
      </c>
      <c r="H25" s="218"/>
      <c r="J25" s="211" t="s">
        <v>251</v>
      </c>
      <c r="K25" s="211" t="s">
        <v>56</v>
      </c>
      <c r="L25" s="219" t="s">
        <v>65</v>
      </c>
      <c r="M25" s="281"/>
    </row>
    <row r="26" spans="1:13" ht="12" customHeight="1">
      <c r="A26" s="218"/>
      <c r="C26" s="196" t="s">
        <v>196</v>
      </c>
      <c r="D26" s="201">
        <f>SP1000P200F2200CY</f>
        <v>0</v>
      </c>
      <c r="E26" s="201">
        <f>SP1000P200F2200</f>
        <v>0</v>
      </c>
      <c r="F26" s="225" t="str">
        <f t="shared" si="2"/>
        <v> </v>
      </c>
      <c r="H26" s="232"/>
      <c r="J26" s="199">
        <v>2017</v>
      </c>
      <c r="K26" s="199">
        <v>2018</v>
      </c>
      <c r="L26" s="220" t="s">
        <v>66</v>
      </c>
      <c r="M26" s="281"/>
    </row>
    <row r="27" spans="1:13" ht="12" customHeight="1">
      <c r="A27" s="218"/>
      <c r="C27" s="196" t="s">
        <v>197</v>
      </c>
      <c r="D27" s="201">
        <f>SP1000P200F2300CY</f>
        <v>0</v>
      </c>
      <c r="E27" s="201">
        <f>SP1000P200F2300</f>
        <v>0</v>
      </c>
      <c r="F27" s="221" t="str">
        <f t="shared" si="2"/>
        <v> </v>
      </c>
      <c r="H27" s="226" t="s">
        <v>210</v>
      </c>
      <c r="I27" s="207"/>
      <c r="J27" s="201">
        <f>SP1000TotalCY</f>
        <v>2076076</v>
      </c>
      <c r="K27" s="201">
        <f>SP1000Total</f>
        <v>2094265</v>
      </c>
      <c r="L27" s="224">
        <f>IF(J27=0," ",(K27-J27)/J27)</f>
        <v>0.009</v>
      </c>
      <c r="M27" s="281"/>
    </row>
    <row r="28" spans="1:13" ht="12" customHeight="1">
      <c r="A28" s="218"/>
      <c r="C28" s="196" t="s">
        <v>198</v>
      </c>
      <c r="D28" s="201">
        <f>SP1000P200F2400CY</f>
        <v>0</v>
      </c>
      <c r="E28" s="201">
        <f>SP1000P200F2400</f>
        <v>0</v>
      </c>
      <c r="F28" s="221" t="str">
        <f t="shared" si="2"/>
        <v> </v>
      </c>
      <c r="H28" s="226" t="s">
        <v>207</v>
      </c>
      <c r="I28" s="207"/>
      <c r="J28" s="200">
        <f>SP1000ClassSiteProjCY</f>
        <v>123386</v>
      </c>
      <c r="K28" s="200">
        <f>SP1000ClassSiteProj</f>
        <v>132600</v>
      </c>
      <c r="L28" s="224">
        <f aca="true" t="shared" si="3" ref="L28:L35">IF(J28=0," ",(K28-J28)/J28)</f>
        <v>0.075</v>
      </c>
      <c r="M28" s="281"/>
    </row>
    <row r="29" spans="1:13" ht="12" customHeight="1">
      <c r="A29" s="218"/>
      <c r="C29" s="196" t="s">
        <v>199</v>
      </c>
      <c r="D29" s="201">
        <f>SP1000P200F2500CY</f>
        <v>0</v>
      </c>
      <c r="E29" s="201">
        <f>SP1000P200F2500</f>
        <v>0</v>
      </c>
      <c r="F29" s="221" t="str">
        <f t="shared" si="2"/>
        <v> </v>
      </c>
      <c r="H29" s="226" t="s">
        <v>217</v>
      </c>
      <c r="I29" s="207"/>
      <c r="J29" s="200">
        <f>SP1000InstrImpProjCY</f>
        <v>8954</v>
      </c>
      <c r="K29" s="200">
        <f>SP1000InstrImpProj</f>
        <v>9150</v>
      </c>
      <c r="L29" s="224">
        <f t="shared" si="3"/>
        <v>0.022</v>
      </c>
      <c r="M29" s="281"/>
    </row>
    <row r="30" spans="1:13" ht="12" customHeight="1">
      <c r="A30" s="218"/>
      <c r="C30" s="196" t="s">
        <v>200</v>
      </c>
      <c r="D30" s="201">
        <f>SP1000P200F2600CY</f>
        <v>0</v>
      </c>
      <c r="E30" s="201">
        <f>SP1000P200F2600</f>
        <v>0</v>
      </c>
      <c r="F30" s="221" t="str">
        <f t="shared" si="2"/>
        <v> </v>
      </c>
      <c r="H30" s="226" t="s">
        <v>216</v>
      </c>
      <c r="I30" s="207"/>
      <c r="J30" s="200">
        <f>SP1000StruEngImmProjCY</f>
        <v>0</v>
      </c>
      <c r="K30" s="200">
        <f>SP1000StruEngImmProj</f>
        <v>0</v>
      </c>
      <c r="L30" s="224" t="str">
        <f t="shared" si="3"/>
        <v> </v>
      </c>
      <c r="M30" s="281"/>
    </row>
    <row r="31" spans="1:13" ht="12" customHeight="1">
      <c r="A31" s="218"/>
      <c r="C31" s="196" t="s">
        <v>201</v>
      </c>
      <c r="D31" s="201">
        <f>SP1000P200F2900CY</f>
        <v>0</v>
      </c>
      <c r="E31" s="201">
        <f>SP1000P200F2900</f>
        <v>0</v>
      </c>
      <c r="F31" s="221" t="str">
        <f t="shared" si="2"/>
        <v> </v>
      </c>
      <c r="H31" s="226" t="s">
        <v>148</v>
      </c>
      <c r="I31" s="207"/>
      <c r="J31" s="200">
        <f>SP1000CompInstrProjCY</f>
        <v>0</v>
      </c>
      <c r="K31" s="200">
        <f>SP1000CompInstrProj</f>
        <v>0</v>
      </c>
      <c r="L31" s="224" t="str">
        <f t="shared" si="3"/>
        <v> </v>
      </c>
      <c r="M31" s="281"/>
    </row>
    <row r="32" spans="1:13" ht="12" customHeight="1">
      <c r="A32" s="218"/>
      <c r="B32" s="196" t="s">
        <v>27</v>
      </c>
      <c r="D32" s="201">
        <f>SP1000P200F3000CY</f>
        <v>0</v>
      </c>
      <c r="E32" s="201">
        <f>SP1000P200F3000</f>
        <v>0</v>
      </c>
      <c r="F32" s="221" t="str">
        <f t="shared" si="2"/>
        <v> </v>
      </c>
      <c r="H32" s="226" t="s">
        <v>211</v>
      </c>
      <c r="I32" s="207"/>
      <c r="J32" s="200">
        <f>TotalFederalProjectsCY</f>
        <v>821006</v>
      </c>
      <c r="K32" s="200">
        <f>TotalFederalProjects</f>
        <v>790250</v>
      </c>
      <c r="L32" s="224">
        <f t="shared" si="3"/>
        <v>-0.037</v>
      </c>
      <c r="M32" s="281"/>
    </row>
    <row r="33" spans="1:12" ht="12" customHeight="1">
      <c r="A33" s="218"/>
      <c r="B33" s="196" t="s">
        <v>152</v>
      </c>
      <c r="D33" s="201">
        <f>SP1000P200F4000CY</f>
        <v>0</v>
      </c>
      <c r="E33" s="201">
        <f>SP1000P200F4000</f>
        <v>0</v>
      </c>
      <c r="F33" s="221" t="str">
        <f t="shared" si="2"/>
        <v> </v>
      </c>
      <c r="H33" s="226" t="s">
        <v>212</v>
      </c>
      <c r="I33" s="207"/>
      <c r="J33" s="200">
        <f>TotalStateProjectsCY</f>
        <v>5732</v>
      </c>
      <c r="K33" s="200">
        <f>TotalStateProjects</f>
        <v>5765</v>
      </c>
      <c r="L33" s="224">
        <f t="shared" si="3"/>
        <v>0.006</v>
      </c>
    </row>
    <row r="34" spans="1:12" ht="12" customHeight="1">
      <c r="A34" s="218"/>
      <c r="B34" s="196" t="s">
        <v>28</v>
      </c>
      <c r="D34" s="201">
        <f>SP1000P200F5000CY</f>
        <v>0</v>
      </c>
      <c r="E34" s="201">
        <f>SP1000P200F5000</f>
        <v>0</v>
      </c>
      <c r="F34" s="221" t="str">
        <f t="shared" si="2"/>
        <v> </v>
      </c>
      <c r="H34" s="226" t="s">
        <v>213</v>
      </c>
      <c r="I34" s="207"/>
      <c r="J34" s="200">
        <f>TotalCapitalAcquisitionsCY</f>
        <v>38500</v>
      </c>
      <c r="K34" s="200">
        <f>TotalCapitalAcquisitions</f>
        <v>38500</v>
      </c>
      <c r="L34" s="224">
        <f t="shared" si="3"/>
        <v>0</v>
      </c>
    </row>
    <row r="35" spans="1:13" ht="12" customHeight="1">
      <c r="A35" s="218"/>
      <c r="B35" s="196" t="s">
        <v>203</v>
      </c>
      <c r="C35" s="234"/>
      <c r="D35" s="213">
        <f>SUM(D23:D34)</f>
        <v>167555</v>
      </c>
      <c r="E35" s="213">
        <f>SUM(E23:E34)</f>
        <v>168450</v>
      </c>
      <c r="F35" s="221">
        <f t="shared" si="2"/>
        <v>0.005</v>
      </c>
      <c r="H35" s="226" t="s">
        <v>208</v>
      </c>
      <c r="I35" s="207"/>
      <c r="J35" s="200">
        <f>SUM(J27:J34)</f>
        <v>3073654</v>
      </c>
      <c r="K35" s="200">
        <f>SUM(K27:K34)</f>
        <v>3070530</v>
      </c>
      <c r="L35" s="224">
        <f t="shared" si="3"/>
        <v>-0.001</v>
      </c>
      <c r="M35" s="215"/>
    </row>
    <row r="36" spans="1:12" ht="0.75" customHeight="1">
      <c r="A36" s="223" t="s">
        <v>204</v>
      </c>
      <c r="B36" s="198"/>
      <c r="C36" s="204"/>
      <c r="D36" s="201"/>
      <c r="E36" s="201"/>
      <c r="F36" s="222"/>
      <c r="J36" s="295"/>
      <c r="K36" s="295"/>
      <c r="L36" s="295"/>
    </row>
    <row r="37" spans="1:12" ht="12" customHeight="1">
      <c r="A37" s="226" t="s">
        <v>30</v>
      </c>
      <c r="B37" s="207"/>
      <c r="C37" s="208"/>
      <c r="D37" s="200">
        <f>SP1000P400CY</f>
        <v>0</v>
      </c>
      <c r="E37" s="200">
        <f>SP1000P400</f>
        <v>0</v>
      </c>
      <c r="F37" s="224" t="str">
        <f t="shared" si="2"/>
        <v> </v>
      </c>
      <c r="H37" s="296"/>
      <c r="J37" s="295"/>
      <c r="K37" s="295"/>
      <c r="L37" s="295"/>
    </row>
    <row r="38" spans="1:12" ht="12" customHeight="1">
      <c r="A38" s="226" t="s">
        <v>31</v>
      </c>
      <c r="B38" s="207"/>
      <c r="C38" s="208"/>
      <c r="D38" s="200">
        <f>SP1000P530CY</f>
        <v>0</v>
      </c>
      <c r="E38" s="200">
        <f>SP1000P530</f>
        <v>0</v>
      </c>
      <c r="F38" s="224" t="str">
        <f t="shared" si="2"/>
        <v> </v>
      </c>
      <c r="J38" s="280"/>
      <c r="K38" s="280"/>
      <c r="L38" s="281"/>
    </row>
    <row r="39" spans="1:12" ht="12" customHeight="1">
      <c r="A39" s="226" t="s">
        <v>205</v>
      </c>
      <c r="B39" s="207"/>
      <c r="C39" s="208"/>
      <c r="D39" s="200">
        <f>SP1000P540CY</f>
        <v>0</v>
      </c>
      <c r="E39" s="200">
        <f>SP1000P540</f>
        <v>0</v>
      </c>
      <c r="F39" s="224" t="str">
        <f t="shared" si="2"/>
        <v> </v>
      </c>
      <c r="J39" s="280"/>
      <c r="K39" s="280"/>
      <c r="L39" s="281"/>
    </row>
    <row r="40" spans="1:12" ht="12" customHeight="1">
      <c r="A40" s="223" t="s">
        <v>218</v>
      </c>
      <c r="B40" s="198"/>
      <c r="C40" s="204"/>
      <c r="D40" s="200">
        <f>SP1000P550CY</f>
        <v>0</v>
      </c>
      <c r="E40" s="200">
        <f>SP1000P550</f>
        <v>0</v>
      </c>
      <c r="F40" s="224" t="str">
        <f t="shared" si="2"/>
        <v> </v>
      </c>
      <c r="J40" s="280"/>
      <c r="K40" s="280"/>
      <c r="L40" s="281"/>
    </row>
    <row r="41" spans="1:12" ht="12" customHeight="1">
      <c r="A41" s="223"/>
      <c r="B41" s="198"/>
      <c r="C41" s="204" t="s">
        <v>206</v>
      </c>
      <c r="D41" s="201">
        <f>SUM(D35:D40)+D21</f>
        <v>2076076</v>
      </c>
      <c r="E41" s="201">
        <f>SUM(E35:E40)+E21</f>
        <v>2094265</v>
      </c>
      <c r="F41" s="224">
        <f t="shared" si="2"/>
        <v>0.009</v>
      </c>
      <c r="J41" s="280"/>
      <c r="K41" s="280"/>
      <c r="L41" s="281"/>
    </row>
    <row r="42" spans="4:12" ht="12" customHeight="1">
      <c r="D42" s="280"/>
      <c r="E42" s="280"/>
      <c r="F42" s="281"/>
      <c r="J42" s="280"/>
      <c r="K42" s="280"/>
      <c r="L42" s="281"/>
    </row>
    <row r="43" spans="10:12" ht="12" customHeight="1">
      <c r="J43" s="280"/>
      <c r="K43" s="280"/>
      <c r="L43" s="281"/>
    </row>
    <row r="44" spans="10:12" ht="12" customHeight="1">
      <c r="J44" s="280"/>
      <c r="K44" s="280"/>
      <c r="L44" s="281"/>
    </row>
    <row r="45" spans="10:12" ht="12" customHeight="1">
      <c r="J45" s="280"/>
      <c r="K45" s="280"/>
      <c r="L45" s="281"/>
    </row>
    <row r="46" spans="10:12" ht="12" customHeight="1">
      <c r="J46" s="280"/>
      <c r="K46" s="280"/>
      <c r="L46" s="281"/>
    </row>
    <row r="47" ht="12" customHeight="1"/>
    <row r="48" ht="12.75" customHeight="1"/>
    <row r="49" ht="12.75" customHeight="1"/>
    <row r="50" ht="12.75" customHeight="1"/>
    <row r="51" ht="12.75" customHeight="1"/>
    <row r="52" ht="12.75" customHeight="1"/>
    <row r="53" spans="8:10" ht="12.75" customHeight="1">
      <c r="H53" s="209"/>
      <c r="J53" s="212"/>
    </row>
    <row r="54" ht="12.75" customHeight="1"/>
    <row r="55" ht="12.75" customHeight="1"/>
  </sheetData>
  <sheetProtection sheet="1"/>
  <mergeCells count="7">
    <mergeCell ref="J24:K24"/>
    <mergeCell ref="A1:J1"/>
    <mergeCell ref="H3:M7"/>
    <mergeCell ref="D3:E3"/>
    <mergeCell ref="K9:L9"/>
    <mergeCell ref="H19:J19"/>
    <mergeCell ref="H23:L23"/>
  </mergeCells>
  <printOptions horizontalCentered="1" verticalCentered="1"/>
  <pageMargins left="0.75" right="0.5" top="0.25" bottom="0.25" header="0" footer="0"/>
  <pageSetup horizontalDpi="600" verticalDpi="600" orientation="landscape" paperSize="5" r:id="rId2"/>
  <headerFooter>
    <oddFooter>&amp;L&amp;"Arial,Bold"Rev. 5/17&amp;C&amp;"Arial,Bold"FY 2018&amp;R&amp;"Arial,Bold"Page 1 of 1</oddFooter>
  </headerFooter>
  <drawing r:id="rId1"/>
</worksheet>
</file>

<file path=xl/worksheets/sheet7.xml><?xml version="1.0" encoding="utf-8"?>
<worksheet xmlns="http://schemas.openxmlformats.org/spreadsheetml/2006/main" xmlns:r="http://schemas.openxmlformats.org/officeDocument/2006/relationships">
  <dimension ref="A1:F35"/>
  <sheetViews>
    <sheetView showGridLines="0" tabSelected="1" zoomScalePageLayoutView="0" workbookViewId="0" topLeftCell="A1">
      <pane ySplit="1" topLeftCell="A10" activePane="bottomLeft" state="frozen"/>
      <selection pane="topLeft" activeCell="A1" sqref="A1"/>
      <selection pane="bottomLeft" activeCell="C23" sqref="C23"/>
    </sheetView>
  </sheetViews>
  <sheetFormatPr defaultColWidth="9.140625" defaultRowHeight="12.75"/>
  <cols>
    <col min="1" max="1" width="13.00390625" style="244" customWidth="1"/>
    <col min="2" max="2" width="21.140625" style="246" customWidth="1"/>
    <col min="3" max="3" width="88.7109375" style="245" customWidth="1"/>
    <col min="4" max="4" width="8.8515625" style="245" customWidth="1"/>
  </cols>
  <sheetData>
    <row r="1" spans="1:4" ht="21.75" customHeight="1">
      <c r="A1" s="242" t="s">
        <v>224</v>
      </c>
      <c r="B1" s="243" t="s">
        <v>225</v>
      </c>
      <c r="C1" s="250" t="s">
        <v>241</v>
      </c>
      <c r="D1" s="242"/>
    </row>
    <row r="2" spans="1:6" ht="162" customHeight="1">
      <c r="A2" s="263" t="s">
        <v>227</v>
      </c>
      <c r="B2" s="251" t="s">
        <v>226</v>
      </c>
      <c r="C2" s="283" t="s">
        <v>292</v>
      </c>
      <c r="F2" s="245"/>
    </row>
    <row r="3" spans="1:3" ht="44.25" customHeight="1">
      <c r="A3" s="263" t="s">
        <v>227</v>
      </c>
      <c r="B3" s="251" t="s">
        <v>194</v>
      </c>
      <c r="C3" s="283" t="s">
        <v>254</v>
      </c>
    </row>
    <row r="4" spans="1:3" ht="97.5" customHeight="1">
      <c r="A4" s="263" t="s">
        <v>227</v>
      </c>
      <c r="B4" s="251" t="s">
        <v>80</v>
      </c>
      <c r="C4" s="283" t="s">
        <v>264</v>
      </c>
    </row>
    <row r="5" spans="1:3" ht="37.5" customHeight="1">
      <c r="A5" s="263" t="s">
        <v>227</v>
      </c>
      <c r="B5" s="251" t="s">
        <v>246</v>
      </c>
      <c r="C5" s="283" t="s">
        <v>293</v>
      </c>
    </row>
    <row r="6" spans="1:3" ht="243" customHeight="1">
      <c r="A6" s="263" t="s">
        <v>227</v>
      </c>
      <c r="B6" s="251" t="s">
        <v>328</v>
      </c>
      <c r="C6" s="283" t="s">
        <v>335</v>
      </c>
    </row>
    <row r="7" spans="1:3" ht="59.25" customHeight="1">
      <c r="A7" s="263">
        <v>1</v>
      </c>
      <c r="B7" s="251" t="s">
        <v>226</v>
      </c>
      <c r="C7" s="283" t="s">
        <v>296</v>
      </c>
    </row>
    <row r="8" spans="1:3" ht="66" customHeight="1">
      <c r="A8" s="263">
        <v>1</v>
      </c>
      <c r="B8" s="251" t="s">
        <v>275</v>
      </c>
      <c r="C8" s="283" t="s">
        <v>276</v>
      </c>
    </row>
    <row r="9" spans="1:3" ht="60.75" customHeight="1">
      <c r="A9" s="263">
        <v>1</v>
      </c>
      <c r="B9" s="251" t="s">
        <v>240</v>
      </c>
      <c r="C9" s="283" t="s">
        <v>298</v>
      </c>
    </row>
    <row r="10" spans="1:3" ht="49.5" customHeight="1">
      <c r="A10" s="263">
        <v>1</v>
      </c>
      <c r="B10" s="251" t="s">
        <v>277</v>
      </c>
      <c r="C10" s="283" t="s">
        <v>278</v>
      </c>
    </row>
    <row r="11" spans="1:3" ht="62.25" customHeight="1">
      <c r="A11" s="263">
        <v>1</v>
      </c>
      <c r="B11" s="251" t="s">
        <v>239</v>
      </c>
      <c r="C11" s="283" t="s">
        <v>294</v>
      </c>
    </row>
    <row r="12" spans="1:3" ht="91.5" customHeight="1">
      <c r="A12" s="263">
        <v>2</v>
      </c>
      <c r="B12" s="251" t="s">
        <v>247</v>
      </c>
      <c r="C12" s="283" t="s">
        <v>299</v>
      </c>
    </row>
    <row r="13" spans="1:3" ht="76.5" customHeight="1">
      <c r="A13" s="263">
        <v>2</v>
      </c>
      <c r="B13" s="251" t="s">
        <v>302</v>
      </c>
      <c r="C13" s="283" t="s">
        <v>309</v>
      </c>
    </row>
    <row r="14" spans="1:3" ht="135" customHeight="1">
      <c r="A14" s="263">
        <v>2</v>
      </c>
      <c r="B14" s="251" t="s">
        <v>303</v>
      </c>
      <c r="C14" s="283" t="s">
        <v>319</v>
      </c>
    </row>
    <row r="15" spans="1:3" ht="102" customHeight="1">
      <c r="A15" s="263">
        <v>2</v>
      </c>
      <c r="B15" s="251" t="s">
        <v>213</v>
      </c>
      <c r="C15" s="283" t="s">
        <v>245</v>
      </c>
    </row>
    <row r="16" spans="1:3" ht="66" customHeight="1">
      <c r="A16" s="263">
        <v>2</v>
      </c>
      <c r="B16" s="251" t="s">
        <v>229</v>
      </c>
      <c r="C16" s="283" t="s">
        <v>279</v>
      </c>
    </row>
    <row r="17" spans="1:3" ht="49.5" customHeight="1">
      <c r="A17" s="263">
        <v>2</v>
      </c>
      <c r="B17" s="251" t="s">
        <v>273</v>
      </c>
      <c r="C17" s="283" t="s">
        <v>272</v>
      </c>
    </row>
    <row r="18" spans="1:3" ht="56.25" customHeight="1">
      <c r="A18" s="263">
        <v>2</v>
      </c>
      <c r="B18" s="251" t="s">
        <v>269</v>
      </c>
      <c r="C18" s="283" t="s">
        <v>252</v>
      </c>
    </row>
    <row r="19" spans="1:3" ht="75" customHeight="1">
      <c r="A19" s="263">
        <v>2</v>
      </c>
      <c r="B19" s="251" t="s">
        <v>230</v>
      </c>
      <c r="C19" s="283" t="s">
        <v>280</v>
      </c>
    </row>
    <row r="20" spans="1:3" ht="116.25" customHeight="1">
      <c r="A20" s="263">
        <v>2</v>
      </c>
      <c r="B20" s="251" t="s">
        <v>228</v>
      </c>
      <c r="C20" s="283" t="s">
        <v>313</v>
      </c>
    </row>
    <row r="21" spans="1:3" ht="59.25" customHeight="1">
      <c r="A21" s="263">
        <v>2</v>
      </c>
      <c r="B21" s="251" t="s">
        <v>232</v>
      </c>
      <c r="C21" s="283" t="s">
        <v>231</v>
      </c>
    </row>
    <row r="22" spans="1:3" ht="48" customHeight="1">
      <c r="A22" s="263">
        <v>2</v>
      </c>
      <c r="B22" s="251" t="s">
        <v>238</v>
      </c>
      <c r="C22" s="283" t="s">
        <v>242</v>
      </c>
    </row>
    <row r="23" spans="1:3" ht="201.75" customHeight="1">
      <c r="A23" s="263">
        <v>2</v>
      </c>
      <c r="B23" s="251" t="s">
        <v>320</v>
      </c>
      <c r="C23" s="283" t="s">
        <v>330</v>
      </c>
    </row>
    <row r="24" spans="1:3" ht="85.5" customHeight="1">
      <c r="A24" s="263">
        <v>2</v>
      </c>
      <c r="B24" s="251" t="s">
        <v>321</v>
      </c>
      <c r="C24" s="283" t="s">
        <v>337</v>
      </c>
    </row>
    <row r="25" spans="1:3" ht="45" customHeight="1">
      <c r="A25" s="263">
        <v>2</v>
      </c>
      <c r="B25" s="251" t="s">
        <v>322</v>
      </c>
      <c r="C25" s="283" t="s">
        <v>336</v>
      </c>
    </row>
    <row r="26" spans="1:3" ht="90.75" customHeight="1">
      <c r="A26" s="263">
        <v>2</v>
      </c>
      <c r="B26" s="251" t="s">
        <v>323</v>
      </c>
      <c r="C26" s="283" t="s">
        <v>338</v>
      </c>
    </row>
    <row r="27" spans="1:3" ht="99" customHeight="1">
      <c r="A27" s="263">
        <v>2</v>
      </c>
      <c r="B27" s="251" t="s">
        <v>324</v>
      </c>
      <c r="C27" s="283" t="s">
        <v>339</v>
      </c>
    </row>
    <row r="28" spans="1:3" ht="111" customHeight="1">
      <c r="A28" s="263">
        <v>2</v>
      </c>
      <c r="B28" s="251" t="s">
        <v>325</v>
      </c>
      <c r="C28" s="283" t="s">
        <v>317</v>
      </c>
    </row>
    <row r="29" spans="1:3" ht="49.5" customHeight="1">
      <c r="A29" s="263">
        <v>2</v>
      </c>
      <c r="B29" s="251" t="s">
        <v>326</v>
      </c>
      <c r="C29" s="283" t="s">
        <v>304</v>
      </c>
    </row>
    <row r="30" spans="1:3" ht="49.5" customHeight="1">
      <c r="A30" s="263">
        <v>2</v>
      </c>
      <c r="B30" s="251" t="s">
        <v>327</v>
      </c>
      <c r="C30" s="283" t="s">
        <v>310</v>
      </c>
    </row>
    <row r="31" spans="1:3" ht="65.25" customHeight="1">
      <c r="A31" s="263">
        <v>3</v>
      </c>
      <c r="B31" s="251" t="s">
        <v>235</v>
      </c>
      <c r="C31" s="283" t="s">
        <v>312</v>
      </c>
    </row>
    <row r="32" spans="1:3" ht="63.75" customHeight="1">
      <c r="A32" s="263">
        <v>4</v>
      </c>
      <c r="B32" s="251" t="s">
        <v>233</v>
      </c>
      <c r="C32" s="283" t="s">
        <v>244</v>
      </c>
    </row>
    <row r="33" spans="1:3" ht="66" customHeight="1">
      <c r="A33" s="263">
        <v>4</v>
      </c>
      <c r="B33" s="251" t="s">
        <v>234</v>
      </c>
      <c r="C33" s="283" t="s">
        <v>243</v>
      </c>
    </row>
    <row r="34" spans="1:3" ht="25.5">
      <c r="A34" s="277" t="s">
        <v>248</v>
      </c>
      <c r="B34" s="276" t="s">
        <v>226</v>
      </c>
      <c r="C34" s="283" t="s">
        <v>249</v>
      </c>
    </row>
    <row r="35" ht="12.75">
      <c r="C35" s="283"/>
    </row>
  </sheetData>
  <sheetProtection sheet="1"/>
  <hyperlinks>
    <hyperlink ref="A2" location="Cover!A1" display="Cover"/>
    <hyperlink ref="A4" location="Cover!A1" display="Cover"/>
    <hyperlink ref="A7" location="'Page 1'!A1" display="'Page 1'!A1"/>
    <hyperlink ref="A10" location="'Page 1'!A1" display="'Page 1'!A1"/>
    <hyperlink ref="A12" location="'Page 2'!A1" display="'Page 2'!A1"/>
    <hyperlink ref="A15" location="'Page 2'!A1" display="'Page 2'!A1"/>
    <hyperlink ref="A20" location="'Page 2'!A1" display="'Page 2'!A1"/>
    <hyperlink ref="A31" location="'Page 3'!A1" display="'Page 3'!A1"/>
    <hyperlink ref="A32" location="'Page 4'!A1" display="'Page 4'!A1"/>
    <hyperlink ref="A33" location="'Page 4'!A1" display="'Page 4'!A1"/>
    <hyperlink ref="A8" location="'Page 1'!A1" display="'Page 1'!A1"/>
    <hyperlink ref="A9" location="'Page 1'!A1" display="'Page 1'!A1"/>
    <hyperlink ref="A11" location="'Page 1'!A1" display="'Page 1'!A1"/>
    <hyperlink ref="A16" location="'Page 2'!A1" display="'Page 2'!A1"/>
    <hyperlink ref="A18" location="'Page 2'!A1" display="'Page 2'!A1"/>
    <hyperlink ref="A19" location="'Page 2'!A1" display="'Page 2'!A1"/>
    <hyperlink ref="A5" location="Cover!A1" display="Cover"/>
    <hyperlink ref="A3" location="Cover!A1" display="Cover"/>
    <hyperlink ref="A34" location="'Budget Summary'!A1" display="Budget Summary"/>
    <hyperlink ref="A21" location="'Page 2'!A1" display="'Page 2'!A1"/>
    <hyperlink ref="A22" location="'Page 2'!A1" display="'Page 2'!A1"/>
    <hyperlink ref="A17" location="'Page 2'!A1" display="'Page 2'!A1"/>
    <hyperlink ref="A25" location="'Page 2'!A1" display="'Page 2'!A1"/>
    <hyperlink ref="A26" location="'Page 2'!A1" display="'Page 2'!A1"/>
    <hyperlink ref="A27" location="'Page 2'!A1" display="'Page 2'!A1"/>
    <hyperlink ref="A29" location="'Page 2'!A1" display="'Page 2'!A1"/>
    <hyperlink ref="A28" location="'Page 2'!A1" display="'Page 2'!A1"/>
    <hyperlink ref="A13" location="'Page 2'!A1" display="'Page 2'!A1"/>
    <hyperlink ref="A14" location="'Page 2'!A1" display="'Page 2'!A1"/>
    <hyperlink ref="A23" location="'Page 2'!A1" display="'Page 2'!A1"/>
    <hyperlink ref="A30" location="'Page 2'!A1" display="'Page 2'!A1"/>
    <hyperlink ref="A24" location="'Page 2'!A1" display="'Page 2'!A1"/>
    <hyperlink ref="A6" location="Cover!A1" display="Cover"/>
  </hyperlinks>
  <printOptions/>
  <pageMargins left="0.7" right="0.7" top="0.75" bottom="0.75" header="0.3" footer="0.3"/>
  <pageSetup horizontalDpi="600" verticalDpi="600" orientation="landscape" r:id="rId1"/>
  <headerFooter scaleWithDoc="0">
    <oddFooter>&amp;L&amp;"Arial,Bold"Rev. 5/17&amp;C&amp;"Arial,Bold"FY 2018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Charter School Annual Budget Forms-Schoolwide</dc:title>
  <dc:subject/>
  <dc:creator>Office of the Auditor General</dc:creator>
  <cp:keywords/>
  <dc:description/>
  <cp:lastModifiedBy>Cindy Escobedo</cp:lastModifiedBy>
  <cp:lastPrinted>2017-05-25T19:12:17Z</cp:lastPrinted>
  <dcterms:created xsi:type="dcterms:W3CDTF">1997-10-08T16:25:08Z</dcterms:created>
  <dcterms:modified xsi:type="dcterms:W3CDTF">2017-06-14T22:32:48Z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scalYear">
    <vt:lpwstr>2018</vt:lpwstr>
  </property>
  <property fmtid="{D5CDD505-2E9C-101B-9397-08002B2CF9AE}" pid="3" name="BudgetTypeID">
    <vt:lpwstr>7</vt:lpwstr>
  </property>
  <property fmtid="{D5CDD505-2E9C-101B-9397-08002B2CF9AE}" pid="4" name="SchoolBySchool">
    <vt:lpwstr>0</vt:lpwstr>
  </property>
  <property fmtid="{D5CDD505-2E9C-101B-9397-08002B2CF9AE}" pid="5" name="Password">
    <vt:lpwstr>040114</vt:lpwstr>
  </property>
</Properties>
</file>