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 Bumpers\Documents\"/>
    </mc:Choice>
  </mc:AlternateContent>
  <xr:revisionPtr revIDLastSave="0" documentId="13_ncr:1_{0158B5C6-19A2-48E9-94D5-05E8258E2DA6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BUDGET" sheetId="1" r:id="rId1"/>
    <sheet name="Loan Schedule 375" sheetId="2" r:id="rId2"/>
    <sheet name="Loan Schedule 400" sheetId="3" r:id="rId3"/>
    <sheet name="Loan Schedule 425" sheetId="4" r:id="rId4"/>
    <sheet name="Loan Schedule 450" sheetId="5" r:id="rId5"/>
  </sheets>
  <definedNames>
    <definedName name="ActualNumberOfPayments" localSheetId="2">IFERROR(IF('Loan Schedule 400'!LoanIsGood,IF('Loan Schedule 400'!PaymentsPerYear=1,1,MATCH(0.01,'Loan Schedule 400'!End_Bal,-1)+1)),"")</definedName>
    <definedName name="ActualNumberOfPayments" localSheetId="3">IFERROR(IF('Loan Schedule 425'!LoanIsGood,IF('Loan Schedule 425'!PaymentsPerYear=1,1,MATCH(0.01,'Loan Schedule 425'!End_Bal,-1)+1)),"")</definedName>
    <definedName name="ActualNumberOfPayments" localSheetId="4">IFERROR(IF('Loan Schedule 450'!LoanIsGood,IF('Loan Schedule 450'!PaymentsPerYear=1,1,MATCH(0.01,'Loan Schedule 450'!End_Bal,-1)+1)),"")</definedName>
    <definedName name="ActualNumberOfPayments">IFERROR(IF(LoanIsGood,IF(PaymentsPerYear=1,1,MATCH(0.01,End_Bal,-1)+1)),"")</definedName>
    <definedName name="ColumnTitle1" localSheetId="2">PaymentSchedule3[[#Headers],[PMT NO]]</definedName>
    <definedName name="ColumnTitle1" localSheetId="3">PaymentSchedule34[[#Headers],[PMT NO]]</definedName>
    <definedName name="ColumnTitle1" localSheetId="4">PaymentSchedule345[[#Headers],[PMT NO]]</definedName>
    <definedName name="ColumnTitle1">PaymentSchedule[[#Headers],[PMT NO]]</definedName>
    <definedName name="End_Bal" localSheetId="2">PaymentSchedule3[ENDING BALANCE]</definedName>
    <definedName name="End_Bal" localSheetId="3">PaymentSchedule34[ENDING BALANCE]</definedName>
    <definedName name="End_Bal" localSheetId="4">PaymentSchedule345[ENDING BALANCE]</definedName>
    <definedName name="End_Bal">PaymentSchedule[ENDING BALANCE]</definedName>
    <definedName name="ExtraPayments" localSheetId="2">'Loan Schedule 400'!$E$9</definedName>
    <definedName name="ExtraPayments" localSheetId="3">'Loan Schedule 425'!$E$9</definedName>
    <definedName name="ExtraPayments" localSheetId="4">'Loan Schedule 450'!$E$9</definedName>
    <definedName name="ExtraPayments">'Loan Schedule 375'!$E$9</definedName>
    <definedName name="InterestRate" localSheetId="2">'Loan Schedule 400'!$E$4</definedName>
    <definedName name="InterestRate" localSheetId="3">'Loan Schedule 425'!$E$4</definedName>
    <definedName name="InterestRate" localSheetId="4">'Loan Schedule 450'!$E$4</definedName>
    <definedName name="InterestRate">'Loan Schedule 375'!$E$4</definedName>
    <definedName name="LastCol" localSheetId="2">MATCH(REPT("z",255),'Loan Schedule 400'!$11:$11)</definedName>
    <definedName name="LastCol" localSheetId="3">MATCH(REPT("z",255),'Loan Schedule 425'!$11:$11)</definedName>
    <definedName name="LastCol" localSheetId="4">MATCH(REPT("z",255),'Loan Schedule 450'!$11:$11)</definedName>
    <definedName name="LastCol">MATCH(REPT("z",255),'Loan Schedule 375'!$11:$11)</definedName>
    <definedName name="LastRow" localSheetId="2">MATCH(9.99E+307,'Loan Schedule 400'!$B:$B)</definedName>
    <definedName name="LastRow" localSheetId="3">MATCH(9.99E+307,'Loan Schedule 425'!$B:$B)</definedName>
    <definedName name="LastRow" localSheetId="4">MATCH(9.99E+307,'Loan Schedule 450'!$B:$B)</definedName>
    <definedName name="LastRow">MATCH(9.99E+307,'Loan Schedule 375'!$B:$B)</definedName>
    <definedName name="LenderName" localSheetId="2">'Loan Schedule 400'!$H$9:$I$9</definedName>
    <definedName name="LenderName" localSheetId="3">'Loan Schedule 425'!$H$9:$I$9</definedName>
    <definedName name="LenderName" localSheetId="4">'Loan Schedule 450'!$H$9:$I$9</definedName>
    <definedName name="LenderName">'Loan Schedule 375'!$H$9:$I$9</definedName>
    <definedName name="LoanAmount" localSheetId="2">'Loan Schedule 400'!$E$3</definedName>
    <definedName name="LoanAmount" localSheetId="3">'Loan Schedule 425'!$E$3</definedName>
    <definedName name="LoanAmount" localSheetId="4">'Loan Schedule 450'!$E$3</definedName>
    <definedName name="LoanAmount">'Loan Schedule 375'!$E$3</definedName>
    <definedName name="LoanIsGood" localSheetId="2">('Loan Schedule 400'!$E$3*'Loan Schedule 400'!$E$4*'Loan Schedule 400'!$E$5*'Loan Schedule 400'!$E$7)&gt;0</definedName>
    <definedName name="LoanIsGood" localSheetId="3">('Loan Schedule 425'!$E$3*'Loan Schedule 425'!$E$4*'Loan Schedule 425'!$E$5*'Loan Schedule 425'!$E$7)&gt;0</definedName>
    <definedName name="LoanIsGood" localSheetId="4">('Loan Schedule 450'!$E$3*'Loan Schedule 450'!$E$4*'Loan Schedule 450'!$E$5*'Loan Schedule 450'!$E$7)&gt;0</definedName>
    <definedName name="LoanIsGood">('Loan Schedule 375'!$E$3*'Loan Schedule 375'!$E$4*'Loan Schedule 375'!$E$5*'Loan Schedule 375'!$E$7)&gt;0</definedName>
    <definedName name="LoanPeriod" localSheetId="2">'Loan Schedule 400'!$E$5</definedName>
    <definedName name="LoanPeriod" localSheetId="3">'Loan Schedule 425'!$E$5</definedName>
    <definedName name="LoanPeriod" localSheetId="4">'Loan Schedule 450'!$E$5</definedName>
    <definedName name="LoanPeriod">'Loan Schedule 375'!$E$5</definedName>
    <definedName name="LoanStartDate" localSheetId="2">'Loan Schedule 400'!$E$7</definedName>
    <definedName name="LoanStartDate" localSheetId="3">'Loan Schedule 425'!$E$7</definedName>
    <definedName name="LoanStartDate" localSheetId="4">'Loan Schedule 450'!$E$7</definedName>
    <definedName name="LoanStartDate">'Loan Schedule 375'!$E$7</definedName>
    <definedName name="PaymentsPerYear" localSheetId="2">'Loan Schedule 400'!$E$6</definedName>
    <definedName name="PaymentsPerYear" localSheetId="3">'Loan Schedule 425'!$E$6</definedName>
    <definedName name="PaymentsPerYear" localSheetId="4">'Loan Schedule 450'!$E$6</definedName>
    <definedName name="PaymentsPerYear">'Loan Schedule 375'!$E$6</definedName>
    <definedName name="_xlnm.Print_Area" localSheetId="0">BUDGET!$A$1:$J$92</definedName>
    <definedName name="_xlnm.Print_Titles" localSheetId="1">'Loan Schedule 375'!$11:$11</definedName>
    <definedName name="_xlnm.Print_Titles" localSheetId="2">'Loan Schedule 400'!$11:$11</definedName>
    <definedName name="_xlnm.Print_Titles" localSheetId="3">'Loan Schedule 425'!$11:$11</definedName>
    <definedName name="_xlnm.Print_Titles" localSheetId="4">'Loan Schedule 450'!$11:$11</definedName>
    <definedName name="PrintArea_SET" localSheetId="2">OFFSET('Loan Schedule 400'!$B$1,,,'Loan Schedule 400'!LastRow,'Loan Schedule 400'!LastCol)</definedName>
    <definedName name="PrintArea_SET" localSheetId="3">OFFSET('Loan Schedule 425'!$B$1,,,'Loan Schedule 425'!LastRow,'Loan Schedule 425'!LastCol)</definedName>
    <definedName name="PrintArea_SET" localSheetId="4">OFFSET('Loan Schedule 450'!$B$1,,,'Loan Schedule 450'!LastRow,'Loan Schedule 450'!LastCol)</definedName>
    <definedName name="PrintArea_SET">OFFSET('Loan Schedule 375'!$B$1,,,LastRow,LastCol)</definedName>
    <definedName name="RowTitleRegion1..E9" localSheetId="2">'Loan Schedule 400'!$C$3:$D$3</definedName>
    <definedName name="RowTitleRegion1..E9" localSheetId="3">'Loan Schedule 425'!$C$3:$D$3</definedName>
    <definedName name="RowTitleRegion1..E9" localSheetId="4">'Loan Schedule 450'!$C$3:$D$3</definedName>
    <definedName name="RowTitleRegion1..E9">'Loan Schedule 375'!$C$3:$D$3</definedName>
    <definedName name="RowTitleRegion2..I7" localSheetId="2">'Loan Schedule 400'!$G$3:$H$3</definedName>
    <definedName name="RowTitleRegion2..I7" localSheetId="3">'Loan Schedule 425'!$G$3:$H$3</definedName>
    <definedName name="RowTitleRegion2..I7" localSheetId="4">'Loan Schedule 450'!$G$3:$H$3</definedName>
    <definedName name="RowTitleRegion2..I7">'Loan Schedule 375'!$G$3:$H$3</definedName>
    <definedName name="RowTitleRegion3..E9" localSheetId="2">'Loan Schedule 400'!$C$9</definedName>
    <definedName name="RowTitleRegion3..E9" localSheetId="3">'Loan Schedule 425'!$C$9</definedName>
    <definedName name="RowTitleRegion3..E9" localSheetId="4">'Loan Schedule 450'!$C$9</definedName>
    <definedName name="RowTitleRegion3..E9">'Loan Schedule 375'!$C$9</definedName>
    <definedName name="RowTitleRegion4..H9" localSheetId="2">'Loan Schedule 400'!$G$9</definedName>
    <definedName name="RowTitleRegion4..H9" localSheetId="3">'Loan Schedule 425'!$G$9</definedName>
    <definedName name="RowTitleRegion4..H9" localSheetId="4">'Loan Schedule 450'!$G$9</definedName>
    <definedName name="RowTitleRegion4..H9">'Loan Schedule 375'!$G$9</definedName>
    <definedName name="ScheduledNumberOfPayments" localSheetId="2">'Loan Schedule 400'!$I$4</definedName>
    <definedName name="ScheduledNumberOfPayments" localSheetId="3">'Loan Schedule 425'!$I$4</definedName>
    <definedName name="ScheduledNumberOfPayments" localSheetId="4">'Loan Schedule 450'!$I$4</definedName>
    <definedName name="ScheduledNumberOfPayments">'Loan Schedule 375'!$I$4</definedName>
    <definedName name="ScheduledPayment" localSheetId="2">'Loan Schedule 400'!$I$3</definedName>
    <definedName name="ScheduledPayment" localSheetId="3">'Loan Schedule 425'!$I$3</definedName>
    <definedName name="ScheduledPayment" localSheetId="4">'Loan Schedule 450'!$I$3</definedName>
    <definedName name="ScheduledPayment">'Loan Schedule 375'!$I$3</definedName>
    <definedName name="TotalEarlyPayments" localSheetId="2">SUM(PaymentSchedule3[EXTRA PAYMENT])</definedName>
    <definedName name="TotalEarlyPayments" localSheetId="3">SUM(PaymentSchedule34[EXTRA PAYMENT])</definedName>
    <definedName name="TotalEarlyPayments" localSheetId="4">SUM(PaymentSchedule345[EXTRA PAYMENT])</definedName>
    <definedName name="TotalEarlyPayments">SUM(PaymentSchedule[EXTRA PAYMENT])</definedName>
    <definedName name="TotalInterest" localSheetId="2">SUM(PaymentSchedule3[INTEREST])</definedName>
    <definedName name="TotalInterest" localSheetId="3">SUM(PaymentSchedule34[INTEREST])</definedName>
    <definedName name="TotalInterest" localSheetId="4">SUM(PaymentSchedule345[INTEREST])</definedName>
    <definedName name="TotalInterest">SUM(PaymentSchedule[INTEREST])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18" i="1" s="1"/>
  <c r="G72" i="1"/>
  <c r="G71" i="1"/>
  <c r="G69" i="1"/>
  <c r="G68" i="1"/>
  <c r="G14" i="1" s="1"/>
  <c r="G67" i="1"/>
  <c r="G16" i="1" s="1"/>
  <c r="G66" i="1"/>
  <c r="G17" i="1" s="1"/>
  <c r="G65" i="1"/>
  <c r="G13" i="1" s="1"/>
  <c r="H65" i="1"/>
  <c r="H66" i="1"/>
  <c r="H67" i="1"/>
  <c r="H68" i="1"/>
  <c r="H69" i="1"/>
  <c r="H71" i="1"/>
  <c r="H72" i="1"/>
  <c r="H75" i="1"/>
  <c r="H77" i="1"/>
  <c r="I77" i="1" s="1"/>
  <c r="H78" i="1"/>
  <c r="I78" i="1" s="1"/>
  <c r="H79" i="1"/>
  <c r="I79" i="1" s="1"/>
  <c r="H80" i="1"/>
  <c r="I80" i="1" s="1"/>
  <c r="G45" i="1"/>
  <c r="G46" i="1" s="1"/>
  <c r="G74" i="1" l="1"/>
  <c r="H74" i="1"/>
  <c r="I4" i="5"/>
  <c r="B145" i="5" s="1"/>
  <c r="I4" i="4"/>
  <c r="B236" i="4" s="1"/>
  <c r="I4" i="3"/>
  <c r="B178" i="3" s="1"/>
  <c r="I4" i="2"/>
  <c r="B28" i="2" s="1"/>
  <c r="B170" i="2"/>
  <c r="C170" i="2" s="1"/>
  <c r="B186" i="2"/>
  <c r="B202" i="2"/>
  <c r="B218" i="2"/>
  <c r="B234" i="2"/>
  <c r="B250" i="2"/>
  <c r="B266" i="2"/>
  <c r="B282" i="2"/>
  <c r="B298" i="2"/>
  <c r="B314" i="2"/>
  <c r="B326" i="2"/>
  <c r="B330" i="2"/>
  <c r="B334" i="2"/>
  <c r="B338" i="2"/>
  <c r="C338" i="2" s="1"/>
  <c r="B342" i="2"/>
  <c r="C342" i="2" s="1"/>
  <c r="B346" i="2"/>
  <c r="B350" i="2"/>
  <c r="C350" i="2" s="1"/>
  <c r="B354" i="2"/>
  <c r="C354" i="2" s="1"/>
  <c r="B358" i="2"/>
  <c r="C358" i="2" s="1"/>
  <c r="B362" i="2"/>
  <c r="C362" i="2" s="1"/>
  <c r="B366" i="2"/>
  <c r="C366" i="2" s="1"/>
  <c r="B370" i="2"/>
  <c r="C370" i="2" s="1"/>
  <c r="B21" i="5" l="1"/>
  <c r="B54" i="5"/>
  <c r="B86" i="5"/>
  <c r="B13" i="5"/>
  <c r="C13" i="5" s="1"/>
  <c r="B29" i="5"/>
  <c r="B62" i="5"/>
  <c r="B94" i="5"/>
  <c r="B137" i="5"/>
  <c r="B202" i="5"/>
  <c r="B15" i="5"/>
  <c r="C15" i="5" s="1"/>
  <c r="B37" i="5"/>
  <c r="B70" i="5"/>
  <c r="C70" i="5" s="1"/>
  <c r="B102" i="5"/>
  <c r="I3" i="5"/>
  <c r="B17" i="5"/>
  <c r="C17" i="5" s="1"/>
  <c r="B45" i="5"/>
  <c r="C45" i="5" s="1"/>
  <c r="B78" i="5"/>
  <c r="B110" i="5"/>
  <c r="B118" i="5"/>
  <c r="B310" i="2"/>
  <c r="B294" i="2"/>
  <c r="B278" i="2"/>
  <c r="C278" i="2" s="1"/>
  <c r="B262" i="2"/>
  <c r="C262" i="2" s="1"/>
  <c r="B246" i="2"/>
  <c r="B230" i="2"/>
  <c r="B214" i="2"/>
  <c r="B198" i="2"/>
  <c r="B182" i="2"/>
  <c r="C182" i="2" s="1"/>
  <c r="B164" i="2"/>
  <c r="B322" i="2"/>
  <c r="C322" i="2" s="1"/>
  <c r="B306" i="2"/>
  <c r="B290" i="2"/>
  <c r="B274" i="2"/>
  <c r="B258" i="2"/>
  <c r="B242" i="2"/>
  <c r="C242" i="2" s="1"/>
  <c r="B226" i="2"/>
  <c r="B210" i="2"/>
  <c r="B194" i="2"/>
  <c r="B178" i="2"/>
  <c r="C178" i="2" s="1"/>
  <c r="B157" i="2"/>
  <c r="B318" i="2"/>
  <c r="B302" i="2"/>
  <c r="B286" i="2"/>
  <c r="C286" i="2" s="1"/>
  <c r="B270" i="2"/>
  <c r="B254" i="2"/>
  <c r="B238" i="2"/>
  <c r="C238" i="2" s="1"/>
  <c r="B222" i="2"/>
  <c r="C222" i="2" s="1"/>
  <c r="B206" i="2"/>
  <c r="B190" i="2"/>
  <c r="C190" i="2" s="1"/>
  <c r="B174" i="2"/>
  <c r="C174" i="2" s="1"/>
  <c r="B150" i="2"/>
  <c r="B28" i="5"/>
  <c r="C28" i="5" s="1"/>
  <c r="B44" i="5"/>
  <c r="B58" i="5"/>
  <c r="E58" i="5" s="1"/>
  <c r="B74" i="5"/>
  <c r="B90" i="5"/>
  <c r="B106" i="5"/>
  <c r="B124" i="5"/>
  <c r="B20" i="5"/>
  <c r="B36" i="5"/>
  <c r="C36" i="5" s="1"/>
  <c r="B50" i="5"/>
  <c r="B66" i="5"/>
  <c r="C66" i="5" s="1"/>
  <c r="B82" i="5"/>
  <c r="C82" i="5" s="1"/>
  <c r="B98" i="5"/>
  <c r="B114" i="5"/>
  <c r="E114" i="5" s="1"/>
  <c r="C37" i="5"/>
  <c r="C124" i="5"/>
  <c r="C145" i="5"/>
  <c r="C202" i="5"/>
  <c r="B371" i="5"/>
  <c r="B369" i="5"/>
  <c r="B367" i="5"/>
  <c r="B365" i="5"/>
  <c r="B363" i="5"/>
  <c r="B361" i="5"/>
  <c r="B359" i="5"/>
  <c r="B357" i="5"/>
  <c r="B355" i="5"/>
  <c r="B353" i="5"/>
  <c r="B370" i="5"/>
  <c r="B362" i="5"/>
  <c r="B354" i="5"/>
  <c r="B351" i="5"/>
  <c r="B347" i="5"/>
  <c r="B343" i="5"/>
  <c r="B339" i="5"/>
  <c r="B337" i="5"/>
  <c r="B335" i="5"/>
  <c r="B333" i="5"/>
  <c r="B331" i="5"/>
  <c r="B329" i="5"/>
  <c r="B327" i="5"/>
  <c r="B325" i="5"/>
  <c r="B368" i="5"/>
  <c r="B360" i="5"/>
  <c r="B350" i="5"/>
  <c r="B346" i="5"/>
  <c r="B342" i="5"/>
  <c r="B366" i="5"/>
  <c r="B358" i="5"/>
  <c r="B349" i="5"/>
  <c r="B345" i="5"/>
  <c r="B341" i="5"/>
  <c r="B338" i="5"/>
  <c r="B336" i="5"/>
  <c r="B334" i="5"/>
  <c r="B332" i="5"/>
  <c r="B330" i="5"/>
  <c r="B328" i="5"/>
  <c r="B326" i="5"/>
  <c r="B324" i="5"/>
  <c r="B322" i="5"/>
  <c r="B320" i="5"/>
  <c r="B364" i="5"/>
  <c r="B352" i="5"/>
  <c r="B318" i="5"/>
  <c r="B317" i="5"/>
  <c r="B316" i="5"/>
  <c r="B314" i="5"/>
  <c r="B312" i="5"/>
  <c r="B310" i="5"/>
  <c r="B308" i="5"/>
  <c r="B306" i="5"/>
  <c r="B304" i="5"/>
  <c r="B302" i="5"/>
  <c r="B300" i="5"/>
  <c r="B298" i="5"/>
  <c r="B296" i="5"/>
  <c r="B294" i="5"/>
  <c r="B292" i="5"/>
  <c r="B290" i="5"/>
  <c r="B288" i="5"/>
  <c r="B356" i="5"/>
  <c r="B348" i="5"/>
  <c r="B321" i="5"/>
  <c r="B319" i="5"/>
  <c r="B344" i="5"/>
  <c r="B315" i="5"/>
  <c r="B313" i="5"/>
  <c r="B311" i="5"/>
  <c r="B309" i="5"/>
  <c r="B307" i="5"/>
  <c r="B305" i="5"/>
  <c r="B303" i="5"/>
  <c r="B301" i="5"/>
  <c r="B299" i="5"/>
  <c r="B297" i="5"/>
  <c r="B295" i="5"/>
  <c r="B283" i="5"/>
  <c r="B282" i="5"/>
  <c r="B278" i="5"/>
  <c r="B276" i="5"/>
  <c r="B274" i="5"/>
  <c r="B272" i="5"/>
  <c r="B270" i="5"/>
  <c r="B268" i="5"/>
  <c r="B266" i="5"/>
  <c r="B264" i="5"/>
  <c r="B262" i="5"/>
  <c r="B260" i="5"/>
  <c r="B258" i="5"/>
  <c r="B256" i="5"/>
  <c r="B254" i="5"/>
  <c r="B252" i="5"/>
  <c r="B250" i="5"/>
  <c r="B248" i="5"/>
  <c r="B246" i="5"/>
  <c r="B323" i="5"/>
  <c r="B291" i="5"/>
  <c r="B285" i="5"/>
  <c r="B284" i="5"/>
  <c r="B340" i="5"/>
  <c r="B287" i="5"/>
  <c r="B286" i="5"/>
  <c r="B279" i="5"/>
  <c r="B277" i="5"/>
  <c r="B275" i="5"/>
  <c r="B273" i="5"/>
  <c r="B271" i="5"/>
  <c r="B269" i="5"/>
  <c r="B267" i="5"/>
  <c r="B265" i="5"/>
  <c r="B263" i="5"/>
  <c r="B261" i="5"/>
  <c r="B259" i="5"/>
  <c r="B257" i="5"/>
  <c r="B255" i="5"/>
  <c r="B253" i="5"/>
  <c r="B251" i="5"/>
  <c r="B249" i="5"/>
  <c r="B247" i="5"/>
  <c r="B245" i="5"/>
  <c r="B243" i="5"/>
  <c r="B241" i="5"/>
  <c r="B281" i="5"/>
  <c r="B235" i="5"/>
  <c r="B234" i="5"/>
  <c r="B293" i="5"/>
  <c r="B244" i="5"/>
  <c r="B240" i="5"/>
  <c r="B237" i="5"/>
  <c r="B236" i="5"/>
  <c r="B229" i="5"/>
  <c r="B227" i="5"/>
  <c r="B225" i="5"/>
  <c r="B223" i="5"/>
  <c r="B221" i="5"/>
  <c r="B219" i="5"/>
  <c r="B217" i="5"/>
  <c r="B215" i="5"/>
  <c r="B213" i="5"/>
  <c r="B211" i="5"/>
  <c r="B209" i="5"/>
  <c r="B207" i="5"/>
  <c r="B205" i="5"/>
  <c r="B203" i="5"/>
  <c r="B289" i="5"/>
  <c r="B280" i="5"/>
  <c r="B239" i="5"/>
  <c r="B238" i="5"/>
  <c r="B231" i="5"/>
  <c r="B230" i="5"/>
  <c r="B232" i="5"/>
  <c r="B228" i="5"/>
  <c r="B220" i="5"/>
  <c r="B212" i="5"/>
  <c r="B204" i="5"/>
  <c r="B201" i="5"/>
  <c r="B197" i="5"/>
  <c r="B191" i="5"/>
  <c r="B190" i="5"/>
  <c r="B183" i="5"/>
  <c r="B181" i="5"/>
  <c r="B179" i="5"/>
  <c r="B177" i="5"/>
  <c r="B175" i="5"/>
  <c r="B173" i="5"/>
  <c r="B171" i="5"/>
  <c r="B169" i="5"/>
  <c r="B167" i="5"/>
  <c r="B165" i="5"/>
  <c r="B163" i="5"/>
  <c r="B161" i="5"/>
  <c r="B159" i="5"/>
  <c r="B157" i="5"/>
  <c r="B155" i="5"/>
  <c r="B153" i="5"/>
  <c r="B151" i="5"/>
  <c r="B149" i="5"/>
  <c r="B147" i="5"/>
  <c r="B226" i="5"/>
  <c r="B218" i="5"/>
  <c r="B210" i="5"/>
  <c r="B200" i="5"/>
  <c r="B196" i="5"/>
  <c r="B193" i="5"/>
  <c r="B192" i="5"/>
  <c r="B185" i="5"/>
  <c r="B233" i="5"/>
  <c r="B224" i="5"/>
  <c r="B216" i="5"/>
  <c r="B208" i="5"/>
  <c r="B199" i="5"/>
  <c r="B195" i="5"/>
  <c r="B187" i="5"/>
  <c r="B186" i="5"/>
  <c r="B184" i="5"/>
  <c r="B182" i="5"/>
  <c r="B180" i="5"/>
  <c r="B178" i="5"/>
  <c r="B176" i="5"/>
  <c r="B174" i="5"/>
  <c r="B172" i="5"/>
  <c r="B170" i="5"/>
  <c r="B168" i="5"/>
  <c r="B166" i="5"/>
  <c r="B164" i="5"/>
  <c r="B162" i="5"/>
  <c r="B160" i="5"/>
  <c r="B158" i="5"/>
  <c r="B156" i="5"/>
  <c r="B154" i="5"/>
  <c r="B152" i="5"/>
  <c r="B150" i="5"/>
  <c r="B148" i="5"/>
  <c r="B146" i="5"/>
  <c r="B144" i="5"/>
  <c r="B142" i="5"/>
  <c r="B242" i="5"/>
  <c r="B206" i="5"/>
  <c r="B198" i="5"/>
  <c r="B188" i="5"/>
  <c r="B140" i="5"/>
  <c r="B139" i="5"/>
  <c r="B132" i="5"/>
  <c r="B131" i="5"/>
  <c r="B194" i="5"/>
  <c r="B143" i="5"/>
  <c r="B134" i="5"/>
  <c r="B133" i="5"/>
  <c r="B129" i="5"/>
  <c r="B127" i="5"/>
  <c r="B125" i="5"/>
  <c r="B123" i="5"/>
  <c r="B121" i="5"/>
  <c r="B119" i="5"/>
  <c r="B117" i="5"/>
  <c r="B115" i="5"/>
  <c r="B113" i="5"/>
  <c r="B111" i="5"/>
  <c r="B109" i="5"/>
  <c r="B107" i="5"/>
  <c r="B105" i="5"/>
  <c r="B103" i="5"/>
  <c r="B101" i="5"/>
  <c r="B99" i="5"/>
  <c r="B97" i="5"/>
  <c r="B95" i="5"/>
  <c r="B93" i="5"/>
  <c r="B91" i="5"/>
  <c r="B89" i="5"/>
  <c r="B87" i="5"/>
  <c r="B85" i="5"/>
  <c r="B83" i="5"/>
  <c r="B81" i="5"/>
  <c r="B79" i="5"/>
  <c r="B77" i="5"/>
  <c r="B75" i="5"/>
  <c r="B73" i="5"/>
  <c r="B71" i="5"/>
  <c r="B69" i="5"/>
  <c r="B67" i="5"/>
  <c r="B65" i="5"/>
  <c r="B63" i="5"/>
  <c r="B61" i="5"/>
  <c r="B59" i="5"/>
  <c r="B57" i="5"/>
  <c r="B55" i="5"/>
  <c r="B53" i="5"/>
  <c r="B51" i="5"/>
  <c r="B49" i="5"/>
  <c r="B222" i="5"/>
  <c r="B189" i="5"/>
  <c r="B136" i="5"/>
  <c r="B135" i="5"/>
  <c r="B12" i="5"/>
  <c r="B14" i="5"/>
  <c r="B16" i="5"/>
  <c r="B18" i="5"/>
  <c r="C20" i="5"/>
  <c r="B26" i="5"/>
  <c r="B27" i="5"/>
  <c r="B34" i="5"/>
  <c r="B35" i="5"/>
  <c r="B42" i="5"/>
  <c r="B43" i="5"/>
  <c r="C44" i="5"/>
  <c r="C50" i="5"/>
  <c r="C54" i="5"/>
  <c r="C58" i="5"/>
  <c r="C62" i="5"/>
  <c r="C74" i="5"/>
  <c r="C78" i="5"/>
  <c r="C86" i="5"/>
  <c r="C94" i="5"/>
  <c r="C98" i="5"/>
  <c r="C102" i="5"/>
  <c r="C106" i="5"/>
  <c r="C110" i="5"/>
  <c r="C114" i="5"/>
  <c r="C118" i="5"/>
  <c r="B126" i="5"/>
  <c r="C21" i="5"/>
  <c r="B24" i="5"/>
  <c r="B25" i="5"/>
  <c r="B32" i="5"/>
  <c r="B33" i="5"/>
  <c r="B40" i="5"/>
  <c r="B41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8" i="5"/>
  <c r="B138" i="5"/>
  <c r="B214" i="5"/>
  <c r="C29" i="5"/>
  <c r="B19" i="5"/>
  <c r="B22" i="5"/>
  <c r="B23" i="5"/>
  <c r="B30" i="5"/>
  <c r="B31" i="5"/>
  <c r="B38" i="5"/>
  <c r="B39" i="5"/>
  <c r="B46" i="5"/>
  <c r="B47" i="5"/>
  <c r="B122" i="5"/>
  <c r="B130" i="5"/>
  <c r="B141" i="5"/>
  <c r="C236" i="4"/>
  <c r="B12" i="4"/>
  <c r="B16" i="4"/>
  <c r="B20" i="4"/>
  <c r="B24" i="4"/>
  <c r="B36" i="4"/>
  <c r="B40" i="4"/>
  <c r="B47" i="4"/>
  <c r="B55" i="4"/>
  <c r="B63" i="4"/>
  <c r="B159" i="4"/>
  <c r="B209" i="4"/>
  <c r="B45" i="4"/>
  <c r="B46" i="4"/>
  <c r="B53" i="4"/>
  <c r="B54" i="4"/>
  <c r="B61" i="4"/>
  <c r="B62" i="4"/>
  <c r="B163" i="4"/>
  <c r="B30" i="4"/>
  <c r="B32" i="4"/>
  <c r="B48" i="4"/>
  <c r="B64" i="4"/>
  <c r="B13" i="4"/>
  <c r="B15" i="4"/>
  <c r="B17" i="4"/>
  <c r="B19" i="4"/>
  <c r="B21" i="4"/>
  <c r="B23" i="4"/>
  <c r="B25" i="4"/>
  <c r="B27" i="4"/>
  <c r="B29" i="4"/>
  <c r="B31" i="4"/>
  <c r="B33" i="4"/>
  <c r="B35" i="4"/>
  <c r="B37" i="4"/>
  <c r="B39" i="4"/>
  <c r="B41" i="4"/>
  <c r="B43" i="4"/>
  <c r="B44" i="4"/>
  <c r="B51" i="4"/>
  <c r="B52" i="4"/>
  <c r="B59" i="4"/>
  <c r="B60" i="4"/>
  <c r="B167" i="4"/>
  <c r="B367" i="4"/>
  <c r="B366" i="4"/>
  <c r="B359" i="4"/>
  <c r="B358" i="4"/>
  <c r="B351" i="4"/>
  <c r="B350" i="4"/>
  <c r="B343" i="4"/>
  <c r="B342" i="4"/>
  <c r="B337" i="4"/>
  <c r="B335" i="4"/>
  <c r="B333" i="4"/>
  <c r="B331" i="4"/>
  <c r="B369" i="4"/>
  <c r="B368" i="4"/>
  <c r="B361" i="4"/>
  <c r="B360" i="4"/>
  <c r="B353" i="4"/>
  <c r="B352" i="4"/>
  <c r="B345" i="4"/>
  <c r="B344" i="4"/>
  <c r="B371" i="4"/>
  <c r="B370" i="4"/>
  <c r="B363" i="4"/>
  <c r="B362" i="4"/>
  <c r="B355" i="4"/>
  <c r="B354" i="4"/>
  <c r="B347" i="4"/>
  <c r="B346" i="4"/>
  <c r="B339" i="4"/>
  <c r="B338" i="4"/>
  <c r="B336" i="4"/>
  <c r="B334" i="4"/>
  <c r="B332" i="4"/>
  <c r="B330" i="4"/>
  <c r="B365" i="4"/>
  <c r="B348" i="4"/>
  <c r="B356" i="4"/>
  <c r="B341" i="4"/>
  <c r="B329" i="4"/>
  <c r="B327" i="4"/>
  <c r="B325" i="4"/>
  <c r="B323" i="4"/>
  <c r="B321" i="4"/>
  <c r="B319" i="4"/>
  <c r="B317" i="4"/>
  <c r="B364" i="4"/>
  <c r="B349" i="4"/>
  <c r="B328" i="4"/>
  <c r="B320" i="4"/>
  <c r="B312" i="4"/>
  <c r="B308" i="4"/>
  <c r="B304" i="4"/>
  <c r="B326" i="4"/>
  <c r="B318" i="4"/>
  <c r="B315" i="4"/>
  <c r="B311" i="4"/>
  <c r="B307" i="4"/>
  <c r="B303" i="4"/>
  <c r="B301" i="4"/>
  <c r="B299" i="4"/>
  <c r="B297" i="4"/>
  <c r="B295" i="4"/>
  <c r="B293" i="4"/>
  <c r="B291" i="4"/>
  <c r="B289" i="4"/>
  <c r="B287" i="4"/>
  <c r="B285" i="4"/>
  <c r="B283" i="4"/>
  <c r="B281" i="4"/>
  <c r="B279" i="4"/>
  <c r="B277" i="4"/>
  <c r="B275" i="4"/>
  <c r="B357" i="4"/>
  <c r="B340" i="4"/>
  <c r="B324" i="4"/>
  <c r="B316" i="4"/>
  <c r="B314" i="4"/>
  <c r="B310" i="4"/>
  <c r="B306" i="4"/>
  <c r="B313" i="4"/>
  <c r="B302" i="4"/>
  <c r="B294" i="4"/>
  <c r="B286" i="4"/>
  <c r="B278" i="4"/>
  <c r="B274" i="4"/>
  <c r="B270" i="4"/>
  <c r="B266" i="4"/>
  <c r="B262" i="4"/>
  <c r="B254" i="4"/>
  <c r="B253" i="4"/>
  <c r="B322" i="4"/>
  <c r="B309" i="4"/>
  <c r="B300" i="4"/>
  <c r="B292" i="4"/>
  <c r="B284" i="4"/>
  <c r="B276" i="4"/>
  <c r="B273" i="4"/>
  <c r="B269" i="4"/>
  <c r="B265" i="4"/>
  <c r="B261" i="4"/>
  <c r="B256" i="4"/>
  <c r="B255" i="4"/>
  <c r="B248" i="4"/>
  <c r="B247" i="4"/>
  <c r="B245" i="4"/>
  <c r="B243" i="4"/>
  <c r="B241" i="4"/>
  <c r="B239" i="4"/>
  <c r="B237" i="4"/>
  <c r="B235" i="4"/>
  <c r="B233" i="4"/>
  <c r="B231" i="4"/>
  <c r="B229" i="4"/>
  <c r="B227" i="4"/>
  <c r="B225" i="4"/>
  <c r="B223" i="4"/>
  <c r="B221" i="4"/>
  <c r="B305" i="4"/>
  <c r="B298" i="4"/>
  <c r="B290" i="4"/>
  <c r="B282" i="4"/>
  <c r="B272" i="4"/>
  <c r="B268" i="4"/>
  <c r="B264" i="4"/>
  <c r="B258" i="4"/>
  <c r="B257" i="4"/>
  <c r="B250" i="4"/>
  <c r="B249" i="4"/>
  <c r="B288" i="4"/>
  <c r="B251" i="4"/>
  <c r="B242" i="4"/>
  <c r="B234" i="4"/>
  <c r="B226" i="4"/>
  <c r="B220" i="4"/>
  <c r="B216" i="4"/>
  <c r="B212" i="4"/>
  <c r="B208" i="4"/>
  <c r="B205" i="4"/>
  <c r="B203" i="4"/>
  <c r="B201" i="4"/>
  <c r="B199" i="4"/>
  <c r="B197" i="4"/>
  <c r="B195" i="4"/>
  <c r="B193" i="4"/>
  <c r="B191" i="4"/>
  <c r="B189" i="4"/>
  <c r="B187" i="4"/>
  <c r="B185" i="4"/>
  <c r="B183" i="4"/>
  <c r="B181" i="4"/>
  <c r="B179" i="4"/>
  <c r="B177" i="4"/>
  <c r="B175" i="4"/>
  <c r="B173" i="4"/>
  <c r="B171" i="4"/>
  <c r="B169" i="4"/>
  <c r="B280" i="4"/>
  <c r="B271" i="4"/>
  <c r="B259" i="4"/>
  <c r="B240" i="4"/>
  <c r="B232" i="4"/>
  <c r="B224" i="4"/>
  <c r="B219" i="4"/>
  <c r="B215" i="4"/>
  <c r="B211" i="4"/>
  <c r="B207" i="4"/>
  <c r="B267" i="4"/>
  <c r="B252" i="4"/>
  <c r="B246" i="4"/>
  <c r="B238" i="4"/>
  <c r="B230" i="4"/>
  <c r="B222" i="4"/>
  <c r="B218" i="4"/>
  <c r="B214" i="4"/>
  <c r="B210" i="4"/>
  <c r="B204" i="4"/>
  <c r="B202" i="4"/>
  <c r="B200" i="4"/>
  <c r="B198" i="4"/>
  <c r="B196" i="4"/>
  <c r="B194" i="4"/>
  <c r="B192" i="4"/>
  <c r="B190" i="4"/>
  <c r="B188" i="4"/>
  <c r="B186" i="4"/>
  <c r="B184" i="4"/>
  <c r="B182" i="4"/>
  <c r="B180" i="4"/>
  <c r="B178" i="4"/>
  <c r="B176" i="4"/>
  <c r="B174" i="4"/>
  <c r="B172" i="4"/>
  <c r="B170" i="4"/>
  <c r="B168" i="4"/>
  <c r="B166" i="4"/>
  <c r="B164" i="4"/>
  <c r="B162" i="4"/>
  <c r="B160" i="4"/>
  <c r="B228" i="4"/>
  <c r="B157" i="4"/>
  <c r="B155" i="4"/>
  <c r="B153" i="4"/>
  <c r="B151" i="4"/>
  <c r="B149" i="4"/>
  <c r="B147" i="4"/>
  <c r="B145" i="4"/>
  <c r="B143" i="4"/>
  <c r="B141" i="4"/>
  <c r="B139" i="4"/>
  <c r="B137" i="4"/>
  <c r="B135" i="4"/>
  <c r="B133" i="4"/>
  <c r="B131" i="4"/>
  <c r="B129" i="4"/>
  <c r="B127" i="4"/>
  <c r="B125" i="4"/>
  <c r="B123" i="4"/>
  <c r="B121" i="4"/>
  <c r="B119" i="4"/>
  <c r="B117" i="4"/>
  <c r="B115" i="4"/>
  <c r="B113" i="4"/>
  <c r="B111" i="4"/>
  <c r="B109" i="4"/>
  <c r="B107" i="4"/>
  <c r="B105" i="4"/>
  <c r="B103" i="4"/>
  <c r="B101" i="4"/>
  <c r="B99" i="4"/>
  <c r="B97" i="4"/>
  <c r="B95" i="4"/>
  <c r="B93" i="4"/>
  <c r="B91" i="4"/>
  <c r="B89" i="4"/>
  <c r="B87" i="4"/>
  <c r="B85" i="4"/>
  <c r="B83" i="4"/>
  <c r="B81" i="4"/>
  <c r="B79" i="4"/>
  <c r="B77" i="4"/>
  <c r="B75" i="4"/>
  <c r="B73" i="4"/>
  <c r="B71" i="4"/>
  <c r="B69" i="4"/>
  <c r="B67" i="4"/>
  <c r="B65" i="4"/>
  <c r="B263" i="4"/>
  <c r="B217" i="4"/>
  <c r="B165" i="4"/>
  <c r="B161" i="4"/>
  <c r="B296" i="4"/>
  <c r="B260" i="4"/>
  <c r="B244" i="4"/>
  <c r="B213" i="4"/>
  <c r="B158" i="4"/>
  <c r="B156" i="4"/>
  <c r="B154" i="4"/>
  <c r="B152" i="4"/>
  <c r="B150" i="4"/>
  <c r="B148" i="4"/>
  <c r="B146" i="4"/>
  <c r="B144" i="4"/>
  <c r="B142" i="4"/>
  <c r="B140" i="4"/>
  <c r="B138" i="4"/>
  <c r="B136" i="4"/>
  <c r="B134" i="4"/>
  <c r="B132" i="4"/>
  <c r="B130" i="4"/>
  <c r="B128" i="4"/>
  <c r="B126" i="4"/>
  <c r="B124" i="4"/>
  <c r="B122" i="4"/>
  <c r="B120" i="4"/>
  <c r="B118" i="4"/>
  <c r="B116" i="4"/>
  <c r="B114" i="4"/>
  <c r="B112" i="4"/>
  <c r="B110" i="4"/>
  <c r="B108" i="4"/>
  <c r="B106" i="4"/>
  <c r="B104" i="4"/>
  <c r="B102" i="4"/>
  <c r="B100" i="4"/>
  <c r="B98" i="4"/>
  <c r="B96" i="4"/>
  <c r="B94" i="4"/>
  <c r="B92" i="4"/>
  <c r="B90" i="4"/>
  <c r="B88" i="4"/>
  <c r="B86" i="4"/>
  <c r="B84" i="4"/>
  <c r="B82" i="4"/>
  <c r="B80" i="4"/>
  <c r="B78" i="4"/>
  <c r="B76" i="4"/>
  <c r="B74" i="4"/>
  <c r="B72" i="4"/>
  <c r="B70" i="4"/>
  <c r="B68" i="4"/>
  <c r="B66" i="4"/>
  <c r="B14" i="4"/>
  <c r="B18" i="4"/>
  <c r="B22" i="4"/>
  <c r="B26" i="4"/>
  <c r="B28" i="4"/>
  <c r="B34" i="4"/>
  <c r="B38" i="4"/>
  <c r="B56" i="4"/>
  <c r="I3" i="4"/>
  <c r="B42" i="4"/>
  <c r="B49" i="4"/>
  <c r="B50" i="4"/>
  <c r="B57" i="4"/>
  <c r="B58" i="4"/>
  <c r="B206" i="4"/>
  <c r="B123" i="2"/>
  <c r="C123" i="2" s="1"/>
  <c r="B97" i="2"/>
  <c r="C97" i="2" s="1"/>
  <c r="B361" i="2"/>
  <c r="C361" i="2" s="1"/>
  <c r="B357" i="2"/>
  <c r="C357" i="2" s="1"/>
  <c r="B353" i="2"/>
  <c r="C353" i="2" s="1"/>
  <c r="B349" i="2"/>
  <c r="B345" i="2"/>
  <c r="B341" i="2"/>
  <c r="B337" i="2"/>
  <c r="C337" i="2" s="1"/>
  <c r="B333" i="2"/>
  <c r="C333" i="2" s="1"/>
  <c r="B329" i="2"/>
  <c r="C329" i="2" s="1"/>
  <c r="B325" i="2"/>
  <c r="C325" i="2" s="1"/>
  <c r="B321" i="2"/>
  <c r="C321" i="2" s="1"/>
  <c r="B317" i="2"/>
  <c r="B313" i="2"/>
  <c r="C313" i="2" s="1"/>
  <c r="B309" i="2"/>
  <c r="C309" i="2" s="1"/>
  <c r="B305" i="2"/>
  <c r="C305" i="2" s="1"/>
  <c r="B301" i="2"/>
  <c r="C301" i="2" s="1"/>
  <c r="B297" i="2"/>
  <c r="C297" i="2" s="1"/>
  <c r="B293" i="2"/>
  <c r="B289" i="2"/>
  <c r="C289" i="2" s="1"/>
  <c r="B285" i="2"/>
  <c r="B281" i="2"/>
  <c r="C281" i="2" s="1"/>
  <c r="B277" i="2"/>
  <c r="C277" i="2" s="1"/>
  <c r="B273" i="2"/>
  <c r="B269" i="2"/>
  <c r="C269" i="2" s="1"/>
  <c r="B265" i="2"/>
  <c r="C265" i="2" s="1"/>
  <c r="B261" i="2"/>
  <c r="C261" i="2" s="1"/>
  <c r="B257" i="2"/>
  <c r="C257" i="2" s="1"/>
  <c r="B253" i="2"/>
  <c r="B249" i="2"/>
  <c r="C249" i="2" s="1"/>
  <c r="B245" i="2"/>
  <c r="C245" i="2" s="1"/>
  <c r="B241" i="2"/>
  <c r="B237" i="2"/>
  <c r="C237" i="2" s="1"/>
  <c r="B233" i="2"/>
  <c r="C233" i="2" s="1"/>
  <c r="B229" i="2"/>
  <c r="C229" i="2" s="1"/>
  <c r="B225" i="2"/>
  <c r="B221" i="2"/>
  <c r="C221" i="2" s="1"/>
  <c r="B217" i="2"/>
  <c r="C217" i="2" s="1"/>
  <c r="B213" i="2"/>
  <c r="C213" i="2" s="1"/>
  <c r="B209" i="2"/>
  <c r="B205" i="2"/>
  <c r="C205" i="2" s="1"/>
  <c r="B201" i="2"/>
  <c r="C201" i="2" s="1"/>
  <c r="B197" i="2"/>
  <c r="C197" i="2" s="1"/>
  <c r="B193" i="2"/>
  <c r="C193" i="2" s="1"/>
  <c r="B189" i="2"/>
  <c r="B185" i="2"/>
  <c r="C185" i="2" s="1"/>
  <c r="B181" i="2"/>
  <c r="C181" i="2" s="1"/>
  <c r="B177" i="2"/>
  <c r="C177" i="2" s="1"/>
  <c r="B173" i="2"/>
  <c r="C173" i="2" s="1"/>
  <c r="B169" i="2"/>
  <c r="C169" i="2" s="1"/>
  <c r="B162" i="2"/>
  <c r="B156" i="2"/>
  <c r="C156" i="2" s="1"/>
  <c r="B147" i="2"/>
  <c r="B118" i="2"/>
  <c r="C118" i="2" s="1"/>
  <c r="B89" i="2"/>
  <c r="C89" i="2" s="1"/>
  <c r="B103" i="3"/>
  <c r="C103" i="3" s="1"/>
  <c r="B369" i="2"/>
  <c r="C369" i="2" s="1"/>
  <c r="B368" i="2"/>
  <c r="C368" i="2" s="1"/>
  <c r="B364" i="2"/>
  <c r="C364" i="2" s="1"/>
  <c r="B360" i="2"/>
  <c r="C360" i="2" s="1"/>
  <c r="B356" i="2"/>
  <c r="B352" i="2"/>
  <c r="C352" i="2" s="1"/>
  <c r="B348" i="2"/>
  <c r="C348" i="2" s="1"/>
  <c r="B344" i="2"/>
  <c r="C344" i="2" s="1"/>
  <c r="B340" i="2"/>
  <c r="B336" i="2"/>
  <c r="C336" i="2" s="1"/>
  <c r="B332" i="2"/>
  <c r="C332" i="2" s="1"/>
  <c r="B328" i="2"/>
  <c r="B324" i="2"/>
  <c r="B320" i="2"/>
  <c r="C320" i="2" s="1"/>
  <c r="B316" i="2"/>
  <c r="C316" i="2" s="1"/>
  <c r="B312" i="2"/>
  <c r="C312" i="2" s="1"/>
  <c r="B308" i="2"/>
  <c r="C308" i="2" s="1"/>
  <c r="B304" i="2"/>
  <c r="C304" i="2" s="1"/>
  <c r="B300" i="2"/>
  <c r="C300" i="2" s="1"/>
  <c r="B296" i="2"/>
  <c r="C296" i="2" s="1"/>
  <c r="B292" i="2"/>
  <c r="B288" i="2"/>
  <c r="C288" i="2" s="1"/>
  <c r="B284" i="2"/>
  <c r="C284" i="2" s="1"/>
  <c r="B280" i="2"/>
  <c r="C280" i="2" s="1"/>
  <c r="B276" i="2"/>
  <c r="C276" i="2" s="1"/>
  <c r="B272" i="2"/>
  <c r="C272" i="2" s="1"/>
  <c r="B268" i="2"/>
  <c r="C268" i="2" s="1"/>
  <c r="B264" i="2"/>
  <c r="C264" i="2" s="1"/>
  <c r="B260" i="2"/>
  <c r="B256" i="2"/>
  <c r="C256" i="2" s="1"/>
  <c r="B252" i="2"/>
  <c r="C252" i="2" s="1"/>
  <c r="B248" i="2"/>
  <c r="C248" i="2" s="1"/>
  <c r="B244" i="2"/>
  <c r="C244" i="2" s="1"/>
  <c r="B240" i="2"/>
  <c r="C240" i="2" s="1"/>
  <c r="B236" i="2"/>
  <c r="C236" i="2" s="1"/>
  <c r="B232" i="2"/>
  <c r="C232" i="2" s="1"/>
  <c r="B228" i="2"/>
  <c r="B224" i="2"/>
  <c r="C224" i="2" s="1"/>
  <c r="B220" i="2"/>
  <c r="C220" i="2" s="1"/>
  <c r="B216" i="2"/>
  <c r="C216" i="2" s="1"/>
  <c r="B212" i="2"/>
  <c r="B208" i="2"/>
  <c r="C208" i="2" s="1"/>
  <c r="B204" i="2"/>
  <c r="C204" i="2" s="1"/>
  <c r="B200" i="2"/>
  <c r="C200" i="2" s="1"/>
  <c r="B196" i="2"/>
  <c r="B192" i="2"/>
  <c r="C192" i="2" s="1"/>
  <c r="B188" i="2"/>
  <c r="C188" i="2" s="1"/>
  <c r="B184" i="2"/>
  <c r="C184" i="2" s="1"/>
  <c r="B180" i="2"/>
  <c r="C180" i="2" s="1"/>
  <c r="B176" i="2"/>
  <c r="C176" i="2" s="1"/>
  <c r="B172" i="2"/>
  <c r="C172" i="2" s="1"/>
  <c r="B168" i="2"/>
  <c r="C168" i="2" s="1"/>
  <c r="B161" i="2"/>
  <c r="B154" i="2"/>
  <c r="C154" i="2" s="1"/>
  <c r="B139" i="2"/>
  <c r="B112" i="2"/>
  <c r="C112" i="2" s="1"/>
  <c r="B77" i="2"/>
  <c r="C77" i="2" s="1"/>
  <c r="B111" i="3"/>
  <c r="C111" i="3" s="1"/>
  <c r="B365" i="2"/>
  <c r="C365" i="2" s="1"/>
  <c r="B371" i="2"/>
  <c r="B367" i="2"/>
  <c r="C367" i="2" s="1"/>
  <c r="B363" i="2"/>
  <c r="C363" i="2" s="1"/>
  <c r="B359" i="2"/>
  <c r="C359" i="2" s="1"/>
  <c r="B355" i="2"/>
  <c r="C355" i="2" s="1"/>
  <c r="B351" i="2"/>
  <c r="B347" i="2"/>
  <c r="C347" i="2" s="1"/>
  <c r="B343" i="2"/>
  <c r="B339" i="2"/>
  <c r="C339" i="2" s="1"/>
  <c r="B335" i="2"/>
  <c r="B331" i="2"/>
  <c r="C331" i="2" s="1"/>
  <c r="B327" i="2"/>
  <c r="C327" i="2" s="1"/>
  <c r="B323" i="2"/>
  <c r="C323" i="2" s="1"/>
  <c r="B319" i="2"/>
  <c r="B315" i="2"/>
  <c r="C315" i="2" s="1"/>
  <c r="B311" i="2"/>
  <c r="C311" i="2" s="1"/>
  <c r="B307" i="2"/>
  <c r="C307" i="2" s="1"/>
  <c r="B303" i="2"/>
  <c r="C303" i="2" s="1"/>
  <c r="B299" i="2"/>
  <c r="C299" i="2" s="1"/>
  <c r="B295" i="2"/>
  <c r="C295" i="2" s="1"/>
  <c r="B291" i="2"/>
  <c r="C291" i="2" s="1"/>
  <c r="B287" i="2"/>
  <c r="C287" i="2" s="1"/>
  <c r="B283" i="2"/>
  <c r="C283" i="2" s="1"/>
  <c r="B279" i="2"/>
  <c r="C279" i="2" s="1"/>
  <c r="B275" i="2"/>
  <c r="C275" i="2" s="1"/>
  <c r="B271" i="2"/>
  <c r="B267" i="2"/>
  <c r="C267" i="2" s="1"/>
  <c r="B263" i="2"/>
  <c r="C263" i="2" s="1"/>
  <c r="B259" i="2"/>
  <c r="C259" i="2" s="1"/>
  <c r="B255" i="2"/>
  <c r="C255" i="2" s="1"/>
  <c r="B251" i="2"/>
  <c r="C251" i="2" s="1"/>
  <c r="B247" i="2"/>
  <c r="C247" i="2" s="1"/>
  <c r="B243" i="2"/>
  <c r="C243" i="2" s="1"/>
  <c r="B239" i="2"/>
  <c r="B235" i="2"/>
  <c r="C235" i="2" s="1"/>
  <c r="B231" i="2"/>
  <c r="C231" i="2" s="1"/>
  <c r="B227" i="2"/>
  <c r="C227" i="2" s="1"/>
  <c r="B223" i="2"/>
  <c r="C223" i="2" s="1"/>
  <c r="B219" i="2"/>
  <c r="C219" i="2" s="1"/>
  <c r="B215" i="2"/>
  <c r="C215" i="2" s="1"/>
  <c r="B211" i="2"/>
  <c r="C211" i="2" s="1"/>
  <c r="B207" i="2"/>
  <c r="B203" i="2"/>
  <c r="C203" i="2" s="1"/>
  <c r="B199" i="2"/>
  <c r="C199" i="2" s="1"/>
  <c r="B195" i="2"/>
  <c r="C195" i="2" s="1"/>
  <c r="B191" i="2"/>
  <c r="C191" i="2" s="1"/>
  <c r="B187" i="2"/>
  <c r="C187" i="2" s="1"/>
  <c r="B183" i="2"/>
  <c r="B179" i="2"/>
  <c r="C179" i="2" s="1"/>
  <c r="B175" i="2"/>
  <c r="B171" i="2"/>
  <c r="C171" i="2" s="1"/>
  <c r="B167" i="2"/>
  <c r="B159" i="2"/>
  <c r="C159" i="2" s="1"/>
  <c r="B152" i="2"/>
  <c r="B127" i="2"/>
  <c r="C127" i="2" s="1"/>
  <c r="B106" i="2"/>
  <c r="C106" i="2" s="1"/>
  <c r="B72" i="2"/>
  <c r="C72" i="2" s="1"/>
  <c r="B126" i="3"/>
  <c r="C126" i="3" s="1"/>
  <c r="C178" i="3"/>
  <c r="B158" i="3"/>
  <c r="B194" i="3"/>
  <c r="B215" i="3"/>
  <c r="B13" i="3"/>
  <c r="B15" i="3"/>
  <c r="B17" i="3"/>
  <c r="B19" i="3"/>
  <c r="B21" i="3"/>
  <c r="B23" i="3"/>
  <c r="B25" i="3"/>
  <c r="B27" i="3"/>
  <c r="B29" i="3"/>
  <c r="B31" i="3"/>
  <c r="B33" i="3"/>
  <c r="B35" i="3"/>
  <c r="B37" i="3"/>
  <c r="B39" i="3"/>
  <c r="B41" i="3"/>
  <c r="B43" i="3"/>
  <c r="B45" i="3"/>
  <c r="B47" i="3"/>
  <c r="B49" i="3"/>
  <c r="B51" i="3"/>
  <c r="B53" i="3"/>
  <c r="B55" i="3"/>
  <c r="B57" i="3"/>
  <c r="B59" i="3"/>
  <c r="B61" i="3"/>
  <c r="B63" i="3"/>
  <c r="B65" i="3"/>
  <c r="B67" i="3"/>
  <c r="B69" i="3"/>
  <c r="B71" i="3"/>
  <c r="B73" i="3"/>
  <c r="B75" i="3"/>
  <c r="B77" i="3"/>
  <c r="B79" i="3"/>
  <c r="B81" i="3"/>
  <c r="B83" i="3"/>
  <c r="B85" i="3"/>
  <c r="B87" i="3"/>
  <c r="B89" i="3"/>
  <c r="B91" i="3"/>
  <c r="B93" i="3"/>
  <c r="B95" i="3"/>
  <c r="B97" i="3"/>
  <c r="B118" i="3"/>
  <c r="B135" i="3"/>
  <c r="B150" i="3"/>
  <c r="B167" i="3"/>
  <c r="B202" i="3"/>
  <c r="B143" i="3"/>
  <c r="I3" i="3"/>
  <c r="B101" i="3"/>
  <c r="B110" i="3"/>
  <c r="B127" i="3"/>
  <c r="B142" i="3"/>
  <c r="B159" i="3"/>
  <c r="B371" i="3"/>
  <c r="B369" i="3"/>
  <c r="B367" i="3"/>
  <c r="B365" i="3"/>
  <c r="B363" i="3"/>
  <c r="B361" i="3"/>
  <c r="B359" i="3"/>
  <c r="B357" i="3"/>
  <c r="B370" i="3"/>
  <c r="B362" i="3"/>
  <c r="B356" i="3"/>
  <c r="B352" i="3"/>
  <c r="B348" i="3"/>
  <c r="B344" i="3"/>
  <c r="B340" i="3"/>
  <c r="B368" i="3"/>
  <c r="B360" i="3"/>
  <c r="B355" i="3"/>
  <c r="B351" i="3"/>
  <c r="B347" i="3"/>
  <c r="B343" i="3"/>
  <c r="B338" i="3"/>
  <c r="B336" i="3"/>
  <c r="B334" i="3"/>
  <c r="B332" i="3"/>
  <c r="B330" i="3"/>
  <c r="B328" i="3"/>
  <c r="B326" i="3"/>
  <c r="B324" i="3"/>
  <c r="B358" i="3"/>
  <c r="B354" i="3"/>
  <c r="B346" i="3"/>
  <c r="B316" i="3"/>
  <c r="B314" i="3"/>
  <c r="B312" i="3"/>
  <c r="B310" i="3"/>
  <c r="B308" i="3"/>
  <c r="B306" i="3"/>
  <c r="B304" i="3"/>
  <c r="B364" i="3"/>
  <c r="B349" i="3"/>
  <c r="B341" i="3"/>
  <c r="B335" i="3"/>
  <c r="B331" i="3"/>
  <c r="B327" i="3"/>
  <c r="B323" i="3"/>
  <c r="B318" i="3"/>
  <c r="B350" i="3"/>
  <c r="B320" i="3"/>
  <c r="B319" i="3"/>
  <c r="B317" i="3"/>
  <c r="B313" i="3"/>
  <c r="B309" i="3"/>
  <c r="B305" i="3"/>
  <c r="B353" i="3"/>
  <c r="B333" i="3"/>
  <c r="B325" i="3"/>
  <c r="B322" i="3"/>
  <c r="B321" i="3"/>
  <c r="B300" i="3"/>
  <c r="B298" i="3"/>
  <c r="B296" i="3"/>
  <c r="B294" i="3"/>
  <c r="B292" i="3"/>
  <c r="B290" i="3"/>
  <c r="B288" i="3"/>
  <c r="B286" i="3"/>
  <c r="B284" i="3"/>
  <c r="B282" i="3"/>
  <c r="B280" i="3"/>
  <c r="B278" i="3"/>
  <c r="B276" i="3"/>
  <c r="B274" i="3"/>
  <c r="B272" i="3"/>
  <c r="B270" i="3"/>
  <c r="B366" i="3"/>
  <c r="B342" i="3"/>
  <c r="B339" i="3"/>
  <c r="B315" i="3"/>
  <c r="B311" i="3"/>
  <c r="B307" i="3"/>
  <c r="B303" i="3"/>
  <c r="B302" i="3"/>
  <c r="B337" i="3"/>
  <c r="B301" i="3"/>
  <c r="B293" i="3"/>
  <c r="B285" i="3"/>
  <c r="B277" i="3"/>
  <c r="B269" i="3"/>
  <c r="B265" i="3"/>
  <c r="B263" i="3"/>
  <c r="B256" i="3"/>
  <c r="B345" i="3"/>
  <c r="B329" i="3"/>
  <c r="B299" i="3"/>
  <c r="B291" i="3"/>
  <c r="B283" i="3"/>
  <c r="B275" i="3"/>
  <c r="B268" i="3"/>
  <c r="B264" i="3"/>
  <c r="B258" i="3"/>
  <c r="B257" i="3"/>
  <c r="B297" i="3"/>
  <c r="B289" i="3"/>
  <c r="B281" i="3"/>
  <c r="B273" i="3"/>
  <c r="B267" i="3"/>
  <c r="B260" i="3"/>
  <c r="B259" i="3"/>
  <c r="B252" i="3"/>
  <c r="B251" i="3"/>
  <c r="B249" i="3"/>
  <c r="B247" i="3"/>
  <c r="B245" i="3"/>
  <c r="B243" i="3"/>
  <c r="B241" i="3"/>
  <c r="B239" i="3"/>
  <c r="B237" i="3"/>
  <c r="B235" i="3"/>
  <c r="B233" i="3"/>
  <c r="B231" i="3"/>
  <c r="B229" i="3"/>
  <c r="B227" i="3"/>
  <c r="B225" i="3"/>
  <c r="B223" i="3"/>
  <c r="B221" i="3"/>
  <c r="B219" i="3"/>
  <c r="B279" i="3"/>
  <c r="B262" i="3"/>
  <c r="B248" i="3"/>
  <c r="B244" i="3"/>
  <c r="B240" i="3"/>
  <c r="B236" i="3"/>
  <c r="B232" i="3"/>
  <c r="B228" i="3"/>
  <c r="B224" i="3"/>
  <c r="B220" i="3"/>
  <c r="B217" i="3"/>
  <c r="B216" i="3"/>
  <c r="B209" i="3"/>
  <c r="B208" i="3"/>
  <c r="B271" i="3"/>
  <c r="B254" i="3"/>
  <c r="B253" i="3"/>
  <c r="B211" i="3"/>
  <c r="B210" i="3"/>
  <c r="B207" i="3"/>
  <c r="B205" i="3"/>
  <c r="B203" i="3"/>
  <c r="B201" i="3"/>
  <c r="B199" i="3"/>
  <c r="B197" i="3"/>
  <c r="B195" i="3"/>
  <c r="B193" i="3"/>
  <c r="B191" i="3"/>
  <c r="B189" i="3"/>
  <c r="B187" i="3"/>
  <c r="B185" i="3"/>
  <c r="B183" i="3"/>
  <c r="B181" i="3"/>
  <c r="B179" i="3"/>
  <c r="B177" i="3"/>
  <c r="B175" i="3"/>
  <c r="B173" i="3"/>
  <c r="B295" i="3"/>
  <c r="B266" i="3"/>
  <c r="B261" i="3"/>
  <c r="B255" i="3"/>
  <c r="B250" i="3"/>
  <c r="B246" i="3"/>
  <c r="B242" i="3"/>
  <c r="B238" i="3"/>
  <c r="B234" i="3"/>
  <c r="B230" i="3"/>
  <c r="B226" i="3"/>
  <c r="B222" i="3"/>
  <c r="B218" i="3"/>
  <c r="B213" i="3"/>
  <c r="B212" i="3"/>
  <c r="B287" i="3"/>
  <c r="B200" i="3"/>
  <c r="B192" i="3"/>
  <c r="B184" i="3"/>
  <c r="B176" i="3"/>
  <c r="B169" i="3"/>
  <c r="B168" i="3"/>
  <c r="B161" i="3"/>
  <c r="B160" i="3"/>
  <c r="B153" i="3"/>
  <c r="B152" i="3"/>
  <c r="B145" i="3"/>
  <c r="B144" i="3"/>
  <c r="B137" i="3"/>
  <c r="B136" i="3"/>
  <c r="B129" i="3"/>
  <c r="B128" i="3"/>
  <c r="B121" i="3"/>
  <c r="B120" i="3"/>
  <c r="B113" i="3"/>
  <c r="B112" i="3"/>
  <c r="B105" i="3"/>
  <c r="B104" i="3"/>
  <c r="B102" i="3"/>
  <c r="B100" i="3"/>
  <c r="B214" i="3"/>
  <c r="B206" i="3"/>
  <c r="B198" i="3"/>
  <c r="B190" i="3"/>
  <c r="B182" i="3"/>
  <c r="B171" i="3"/>
  <c r="B170" i="3"/>
  <c r="B163" i="3"/>
  <c r="B162" i="3"/>
  <c r="B155" i="3"/>
  <c r="B154" i="3"/>
  <c r="B147" i="3"/>
  <c r="B146" i="3"/>
  <c r="B139" i="3"/>
  <c r="B138" i="3"/>
  <c r="B131" i="3"/>
  <c r="B130" i="3"/>
  <c r="B123" i="3"/>
  <c r="B122" i="3"/>
  <c r="B115" i="3"/>
  <c r="B114" i="3"/>
  <c r="B107" i="3"/>
  <c r="B106" i="3"/>
  <c r="B204" i="3"/>
  <c r="B196" i="3"/>
  <c r="B188" i="3"/>
  <c r="B180" i="3"/>
  <c r="B174" i="3"/>
  <c r="B172" i="3"/>
  <c r="B165" i="3"/>
  <c r="B164" i="3"/>
  <c r="B157" i="3"/>
  <c r="B156" i="3"/>
  <c r="B149" i="3"/>
  <c r="B148" i="3"/>
  <c r="B141" i="3"/>
  <c r="B140" i="3"/>
  <c r="B133" i="3"/>
  <c r="B132" i="3"/>
  <c r="B125" i="3"/>
  <c r="B124" i="3"/>
  <c r="B117" i="3"/>
  <c r="B116" i="3"/>
  <c r="B109" i="3"/>
  <c r="B108" i="3"/>
  <c r="B12" i="3"/>
  <c r="B14" i="3"/>
  <c r="B16" i="3"/>
  <c r="B18" i="3"/>
  <c r="B20" i="3"/>
  <c r="B22" i="3"/>
  <c r="B24" i="3"/>
  <c r="B26" i="3"/>
  <c r="B28" i="3"/>
  <c r="B30" i="3"/>
  <c r="B32" i="3"/>
  <c r="B34" i="3"/>
  <c r="B36" i="3"/>
  <c r="B38" i="3"/>
  <c r="B40" i="3"/>
  <c r="B42" i="3"/>
  <c r="B44" i="3"/>
  <c r="B46" i="3"/>
  <c r="B48" i="3"/>
  <c r="B50" i="3"/>
  <c r="B52" i="3"/>
  <c r="B54" i="3"/>
  <c r="B56" i="3"/>
  <c r="B58" i="3"/>
  <c r="B60" i="3"/>
  <c r="B62" i="3"/>
  <c r="B64" i="3"/>
  <c r="B66" i="3"/>
  <c r="B68" i="3"/>
  <c r="B70" i="3"/>
  <c r="B72" i="3"/>
  <c r="B74" i="3"/>
  <c r="B76" i="3"/>
  <c r="B78" i="3"/>
  <c r="B80" i="3"/>
  <c r="B82" i="3"/>
  <c r="B84" i="3"/>
  <c r="B86" i="3"/>
  <c r="B88" i="3"/>
  <c r="B90" i="3"/>
  <c r="B92" i="3"/>
  <c r="B94" i="3"/>
  <c r="B96" i="3"/>
  <c r="B98" i="3"/>
  <c r="B99" i="3"/>
  <c r="B119" i="3"/>
  <c r="B134" i="3"/>
  <c r="B151" i="3"/>
  <c r="B166" i="3"/>
  <c r="B186" i="3"/>
  <c r="B149" i="2"/>
  <c r="B134" i="2"/>
  <c r="B120" i="2"/>
  <c r="C120" i="2" s="1"/>
  <c r="B109" i="2"/>
  <c r="C109" i="2" s="1"/>
  <c r="B92" i="2"/>
  <c r="B76" i="2"/>
  <c r="C76" i="2" s="1"/>
  <c r="B144" i="2"/>
  <c r="C144" i="2" s="1"/>
  <c r="B125" i="2"/>
  <c r="C125" i="2" s="1"/>
  <c r="B115" i="2"/>
  <c r="B99" i="2"/>
  <c r="B85" i="2"/>
  <c r="C85" i="2" s="1"/>
  <c r="B63" i="2"/>
  <c r="C63" i="2" s="1"/>
  <c r="C253" i="2"/>
  <c r="C371" i="2"/>
  <c r="C271" i="2"/>
  <c r="B42" i="2"/>
  <c r="C42" i="2" s="1"/>
  <c r="B32" i="2"/>
  <c r="C32" i="2" s="1"/>
  <c r="B18" i="2"/>
  <c r="C18" i="2" s="1"/>
  <c r="C273" i="2"/>
  <c r="C356" i="2"/>
  <c r="C351" i="2"/>
  <c r="C241" i="2"/>
  <c r="C28" i="2"/>
  <c r="B94" i="2"/>
  <c r="C94" i="2" s="1"/>
  <c r="B80" i="2"/>
  <c r="C80" i="2" s="1"/>
  <c r="B16" i="2"/>
  <c r="B22" i="2"/>
  <c r="C22" i="2" s="1"/>
  <c r="B34" i="2"/>
  <c r="B44" i="2"/>
  <c r="B47" i="2"/>
  <c r="C47" i="2" s="1"/>
  <c r="B49" i="2"/>
  <c r="B51" i="2"/>
  <c r="B53" i="2"/>
  <c r="C53" i="2" s="1"/>
  <c r="B55" i="2"/>
  <c r="B60" i="2"/>
  <c r="C60" i="2" s="1"/>
  <c r="B64" i="2"/>
  <c r="B68" i="2"/>
  <c r="B69" i="2"/>
  <c r="C69" i="2" s="1"/>
  <c r="B74" i="2"/>
  <c r="B75" i="2"/>
  <c r="B78" i="2"/>
  <c r="C78" i="2" s="1"/>
  <c r="B81" i="2"/>
  <c r="B88" i="2"/>
  <c r="B90" i="2"/>
  <c r="B102" i="2"/>
  <c r="B107" i="2"/>
  <c r="B110" i="2"/>
  <c r="B111" i="2"/>
  <c r="C111" i="2" s="1"/>
  <c r="B119" i="2"/>
  <c r="C119" i="2" s="1"/>
  <c r="B121" i="2"/>
  <c r="C121" i="2" s="1"/>
  <c r="B128" i="2"/>
  <c r="C128" i="2" s="1"/>
  <c r="B131" i="2"/>
  <c r="B133" i="2"/>
  <c r="B135" i="2"/>
  <c r="B140" i="2"/>
  <c r="B141" i="2"/>
  <c r="B145" i="2"/>
  <c r="C145" i="2" s="1"/>
  <c r="B158" i="2"/>
  <c r="C158" i="2" s="1"/>
  <c r="B165" i="2"/>
  <c r="B166" i="2"/>
  <c r="B24" i="2"/>
  <c r="B38" i="2"/>
  <c r="B46" i="2"/>
  <c r="C46" i="2" s="1"/>
  <c r="B48" i="2"/>
  <c r="C48" i="2" s="1"/>
  <c r="B54" i="2"/>
  <c r="B56" i="2"/>
  <c r="C56" i="2" s="1"/>
  <c r="B58" i="2"/>
  <c r="C58" i="2" s="1"/>
  <c r="B61" i="2"/>
  <c r="B66" i="2"/>
  <c r="B67" i="2"/>
  <c r="B70" i="2"/>
  <c r="C70" i="2" s="1"/>
  <c r="B73" i="2"/>
  <c r="B79" i="2"/>
  <c r="C79" i="2" s="1"/>
  <c r="B82" i="2"/>
  <c r="C82" i="2" s="1"/>
  <c r="B83" i="2"/>
  <c r="B98" i="2"/>
  <c r="B100" i="2"/>
  <c r="B104" i="2"/>
  <c r="C104" i="2" s="1"/>
  <c r="B114" i="2"/>
  <c r="B116" i="2"/>
  <c r="B122" i="2"/>
  <c r="B124" i="2"/>
  <c r="C124" i="2" s="1"/>
  <c r="B129" i="2"/>
  <c r="B136" i="2"/>
  <c r="B138" i="2"/>
  <c r="B142" i="2"/>
  <c r="B26" i="2"/>
  <c r="B30" i="2"/>
  <c r="B36" i="2"/>
  <c r="B40" i="2"/>
  <c r="C40" i="2" s="1"/>
  <c r="B50" i="2"/>
  <c r="B52" i="2"/>
  <c r="B57" i="2"/>
  <c r="B59" i="2"/>
  <c r="C59" i="2" s="1"/>
  <c r="B62" i="2"/>
  <c r="B65" i="2"/>
  <c r="B71" i="2"/>
  <c r="C71" i="2" s="1"/>
  <c r="B84" i="2"/>
  <c r="B86" i="2"/>
  <c r="B87" i="2"/>
  <c r="B91" i="2"/>
  <c r="C91" i="2" s="1"/>
  <c r="B93" i="2"/>
  <c r="C93" i="2" s="1"/>
  <c r="B95" i="2"/>
  <c r="B96" i="2"/>
  <c r="B101" i="2"/>
  <c r="B103" i="2"/>
  <c r="B105" i="2"/>
  <c r="B108" i="2"/>
  <c r="B113" i="2"/>
  <c r="B117" i="2"/>
  <c r="C117" i="2" s="1"/>
  <c r="B126" i="2"/>
  <c r="B130" i="2"/>
  <c r="B132" i="2"/>
  <c r="C132" i="2" s="1"/>
  <c r="B137" i="2"/>
  <c r="C137" i="2" s="1"/>
  <c r="B143" i="2"/>
  <c r="B146" i="2"/>
  <c r="C146" i="2" s="1"/>
  <c r="B148" i="2"/>
  <c r="B151" i="2"/>
  <c r="C151" i="2" s="1"/>
  <c r="B153" i="2"/>
  <c r="B155" i="2"/>
  <c r="B160" i="2"/>
  <c r="C160" i="2" s="1"/>
  <c r="B163" i="2"/>
  <c r="B14" i="2"/>
  <c r="C14" i="2" s="1"/>
  <c r="C319" i="2"/>
  <c r="C326" i="2"/>
  <c r="C334" i="2"/>
  <c r="C317" i="2"/>
  <c r="C340" i="2"/>
  <c r="C324" i="2"/>
  <c r="C293" i="2"/>
  <c r="C285" i="2"/>
  <c r="C239" i="2"/>
  <c r="C225" i="2"/>
  <c r="C207" i="2"/>
  <c r="C209" i="2"/>
  <c r="B20" i="2"/>
  <c r="B12" i="2"/>
  <c r="C12" i="2" s="1"/>
  <c r="C68" i="2"/>
  <c r="I3" i="2"/>
  <c r="E268" i="2" s="1"/>
  <c r="C346" i="2"/>
  <c r="C330" i="2"/>
  <c r="C294" i="2"/>
  <c r="C270" i="2"/>
  <c r="C254" i="2"/>
  <c r="C246" i="2"/>
  <c r="C142" i="2"/>
  <c r="C292" i="2"/>
  <c r="C260" i="2"/>
  <c r="C228" i="2"/>
  <c r="C212" i="2"/>
  <c r="C196" i="2"/>
  <c r="C186" i="2"/>
  <c r="C349" i="2"/>
  <c r="C341" i="2"/>
  <c r="C298" i="2"/>
  <c r="C290" i="2"/>
  <c r="C282" i="2"/>
  <c r="C274" i="2"/>
  <c r="C266" i="2"/>
  <c r="C258" i="2"/>
  <c r="C250" i="2"/>
  <c r="C150" i="2"/>
  <c r="C343" i="2"/>
  <c r="C335" i="2"/>
  <c r="C318" i="2"/>
  <c r="C314" i="2"/>
  <c r="C310" i="2"/>
  <c r="C306" i="2"/>
  <c r="C302" i="2"/>
  <c r="C234" i="2"/>
  <c r="C230" i="2"/>
  <c r="C226" i="2"/>
  <c r="C218" i="2"/>
  <c r="C214" i="2"/>
  <c r="C210" i="2"/>
  <c r="C206" i="2"/>
  <c r="C202" i="2"/>
  <c r="C198" i="2"/>
  <c r="C194" i="2"/>
  <c r="C189" i="2"/>
  <c r="C183" i="2"/>
  <c r="C175" i="2"/>
  <c r="C162" i="2"/>
  <c r="C161" i="2"/>
  <c r="C157" i="2"/>
  <c r="C101" i="2"/>
  <c r="C164" i="2"/>
  <c r="C152" i="2"/>
  <c r="C148" i="2"/>
  <c r="C163" i="2"/>
  <c r="C147" i="2"/>
  <c r="C138" i="2"/>
  <c r="C134" i="2"/>
  <c r="C122" i="2"/>
  <c r="C100" i="2"/>
  <c r="C135" i="2"/>
  <c r="C133" i="2"/>
  <c r="C103" i="2"/>
  <c r="C113" i="2"/>
  <c r="C81" i="2"/>
  <c r="C107" i="2"/>
  <c r="C99" i="2"/>
  <c r="C92" i="2"/>
  <c r="C54" i="2"/>
  <c r="C44" i="2"/>
  <c r="C24" i="2"/>
  <c r="C84" i="2"/>
  <c r="C57" i="2"/>
  <c r="C55" i="2"/>
  <c r="C16" i="2"/>
  <c r="B13" i="2"/>
  <c r="B15" i="2"/>
  <c r="B17" i="2"/>
  <c r="B19" i="2"/>
  <c r="B21" i="2"/>
  <c r="B23" i="2"/>
  <c r="B25" i="2"/>
  <c r="B27" i="2"/>
  <c r="B29" i="2"/>
  <c r="B31" i="2"/>
  <c r="B33" i="2"/>
  <c r="B35" i="2"/>
  <c r="B37" i="2"/>
  <c r="B39" i="2"/>
  <c r="B41" i="2"/>
  <c r="B43" i="2"/>
  <c r="B45" i="2"/>
  <c r="G55" i="1"/>
  <c r="G56" i="1"/>
  <c r="G59" i="1"/>
  <c r="G54" i="1"/>
  <c r="G53" i="1"/>
  <c r="E147" i="2" l="1"/>
  <c r="E264" i="2"/>
  <c r="E323" i="2"/>
  <c r="E81" i="2"/>
  <c r="E159" i="2"/>
  <c r="E194" i="2"/>
  <c r="E218" i="2"/>
  <c r="E342" i="2"/>
  <c r="E292" i="2"/>
  <c r="E44" i="5"/>
  <c r="E45" i="5"/>
  <c r="E62" i="5"/>
  <c r="E74" i="5"/>
  <c r="E226" i="2"/>
  <c r="E238" i="2"/>
  <c r="E17" i="5"/>
  <c r="E28" i="5"/>
  <c r="E278" i="2"/>
  <c r="E21" i="5"/>
  <c r="E54" i="5"/>
  <c r="E118" i="5"/>
  <c r="E322" i="2"/>
  <c r="E37" i="5"/>
  <c r="E15" i="5"/>
  <c r="E106" i="5"/>
  <c r="E13" i="5"/>
  <c r="E50" i="5"/>
  <c r="E20" i="5"/>
  <c r="E42" i="2"/>
  <c r="E306" i="2"/>
  <c r="E71" i="2"/>
  <c r="E244" i="2"/>
  <c r="E210" i="2"/>
  <c r="E94" i="5"/>
  <c r="E110" i="5"/>
  <c r="E202" i="5"/>
  <c r="E124" i="5"/>
  <c r="E66" i="5"/>
  <c r="E29" i="5"/>
  <c r="E102" i="5"/>
  <c r="E296" i="2"/>
  <c r="E282" i="2"/>
  <c r="E86" i="5"/>
  <c r="E145" i="5"/>
  <c r="E98" i="5"/>
  <c r="E90" i="5"/>
  <c r="E137" i="5"/>
  <c r="E70" i="5"/>
  <c r="C90" i="5"/>
  <c r="C137" i="5"/>
  <c r="E36" i="5"/>
  <c r="E78" i="5"/>
  <c r="E236" i="4"/>
  <c r="E111" i="3"/>
  <c r="E55" i="2"/>
  <c r="E56" i="2"/>
  <c r="E106" i="2"/>
  <c r="E102" i="2"/>
  <c r="E144" i="2"/>
  <c r="E202" i="2"/>
  <c r="E234" i="2"/>
  <c r="E314" i="2"/>
  <c r="E346" i="2"/>
  <c r="E224" i="2"/>
  <c r="E169" i="2"/>
  <c r="E107" i="2"/>
  <c r="E328" i="2"/>
  <c r="G15" i="1"/>
  <c r="G62" i="1"/>
  <c r="E82" i="5"/>
  <c r="E104" i="2"/>
  <c r="E100" i="2"/>
  <c r="E124" i="2"/>
  <c r="E138" i="2"/>
  <c r="E168" i="2"/>
  <c r="E170" i="2"/>
  <c r="E190" i="2"/>
  <c r="E326" i="2"/>
  <c r="E178" i="2"/>
  <c r="E266" i="2"/>
  <c r="E324" i="2"/>
  <c r="E337" i="2"/>
  <c r="E216" i="2"/>
  <c r="E276" i="2"/>
  <c r="E312" i="2"/>
  <c r="E142" i="2"/>
  <c r="E262" i="2"/>
  <c r="E143" i="2"/>
  <c r="E126" i="2"/>
  <c r="E86" i="2"/>
  <c r="E50" i="2"/>
  <c r="C328" i="2"/>
  <c r="E53" i="2"/>
  <c r="E44" i="2"/>
  <c r="E79" i="2"/>
  <c r="E85" i="2"/>
  <c r="E112" i="2"/>
  <c r="E120" i="2"/>
  <c r="E132" i="2"/>
  <c r="E151" i="2"/>
  <c r="E163" i="2"/>
  <c r="E160" i="2"/>
  <c r="E176" i="2"/>
  <c r="E174" i="2"/>
  <c r="E180" i="2"/>
  <c r="E91" i="2"/>
  <c r="E198" i="2"/>
  <c r="E206" i="2"/>
  <c r="E214" i="2"/>
  <c r="E222" i="2"/>
  <c r="E230" i="2"/>
  <c r="E248" i="2"/>
  <c r="E280" i="2"/>
  <c r="E302" i="2"/>
  <c r="E310" i="2"/>
  <c r="E318" i="2"/>
  <c r="E150" i="2"/>
  <c r="E250" i="2"/>
  <c r="E329" i="2"/>
  <c r="E340" i="2"/>
  <c r="E330" i="2"/>
  <c r="E186" i="2"/>
  <c r="E204" i="2"/>
  <c r="E232" i="2"/>
  <c r="E242" i="2"/>
  <c r="E252" i="2"/>
  <c r="E246" i="2"/>
  <c r="E344" i="2"/>
  <c r="E117" i="2"/>
  <c r="E103" i="2"/>
  <c r="E59" i="2"/>
  <c r="E40" i="2"/>
  <c r="E67" i="2"/>
  <c r="E158" i="2"/>
  <c r="E304" i="2"/>
  <c r="E118" i="2"/>
  <c r="E345" i="2"/>
  <c r="E26" i="2"/>
  <c r="E47" i="2"/>
  <c r="E69" i="2"/>
  <c r="E24" i="2"/>
  <c r="E54" i="2"/>
  <c r="E93" i="2"/>
  <c r="E122" i="2"/>
  <c r="E152" i="2"/>
  <c r="E101" i="2"/>
  <c r="E157" i="2"/>
  <c r="E185" i="2"/>
  <c r="E339" i="2"/>
  <c r="E298" i="2"/>
  <c r="E332" i="2"/>
  <c r="E196" i="2"/>
  <c r="E212" i="2"/>
  <c r="E220" i="2"/>
  <c r="E284" i="2"/>
  <c r="E308" i="2"/>
  <c r="E316" i="2"/>
  <c r="E294" i="2"/>
  <c r="C31" i="5"/>
  <c r="E31" i="5"/>
  <c r="E214" i="5"/>
  <c r="C214" i="5"/>
  <c r="E112" i="5"/>
  <c r="C112" i="5"/>
  <c r="E96" i="5"/>
  <c r="C96" i="5"/>
  <c r="E76" i="5"/>
  <c r="C76" i="5"/>
  <c r="E34" i="5"/>
  <c r="C34" i="5"/>
  <c r="C27" i="5"/>
  <c r="E27" i="5"/>
  <c r="C16" i="5"/>
  <c r="E16" i="5"/>
  <c r="C136" i="5"/>
  <c r="E136" i="5"/>
  <c r="C59" i="5"/>
  <c r="E59" i="5"/>
  <c r="C75" i="5"/>
  <c r="E75" i="5"/>
  <c r="C91" i="5"/>
  <c r="E91" i="5"/>
  <c r="C107" i="5"/>
  <c r="E107" i="5"/>
  <c r="C123" i="5"/>
  <c r="E123" i="5"/>
  <c r="E131" i="5"/>
  <c r="C131" i="5"/>
  <c r="C142" i="5"/>
  <c r="E142" i="5"/>
  <c r="C158" i="5"/>
  <c r="E158" i="5"/>
  <c r="C174" i="5"/>
  <c r="E174" i="5"/>
  <c r="E224" i="5"/>
  <c r="C224" i="5"/>
  <c r="C193" i="5"/>
  <c r="E193" i="5"/>
  <c r="E151" i="5"/>
  <c r="C151" i="5"/>
  <c r="E167" i="5"/>
  <c r="C167" i="5"/>
  <c r="E183" i="5"/>
  <c r="C183" i="5"/>
  <c r="E228" i="5"/>
  <c r="C228" i="5"/>
  <c r="C203" i="5"/>
  <c r="E203" i="5"/>
  <c r="C219" i="5"/>
  <c r="E219" i="5"/>
  <c r="E240" i="5"/>
  <c r="C240" i="5"/>
  <c r="C245" i="5"/>
  <c r="E245" i="5"/>
  <c r="C261" i="5"/>
  <c r="E261" i="5"/>
  <c r="C277" i="5"/>
  <c r="E277" i="5"/>
  <c r="E323" i="5"/>
  <c r="C323" i="5"/>
  <c r="E260" i="5"/>
  <c r="C260" i="5"/>
  <c r="E276" i="5"/>
  <c r="C276" i="5"/>
  <c r="C303" i="5"/>
  <c r="E303" i="5"/>
  <c r="E319" i="5"/>
  <c r="C319" i="5"/>
  <c r="E296" i="5"/>
  <c r="C296" i="5"/>
  <c r="E312" i="5"/>
  <c r="C312" i="5"/>
  <c r="C322" i="5"/>
  <c r="E322" i="5"/>
  <c r="E338" i="5"/>
  <c r="C338" i="5"/>
  <c r="E350" i="5"/>
  <c r="C350" i="5"/>
  <c r="E335" i="5"/>
  <c r="C335" i="5"/>
  <c r="E370" i="5"/>
  <c r="C370" i="5"/>
  <c r="C367" i="5"/>
  <c r="E367" i="5"/>
  <c r="C313" i="5"/>
  <c r="E313" i="5"/>
  <c r="E321" i="5"/>
  <c r="C321" i="5"/>
  <c r="E290" i="5"/>
  <c r="C290" i="5"/>
  <c r="E298" i="5"/>
  <c r="C298" i="5"/>
  <c r="E306" i="5"/>
  <c r="C306" i="5"/>
  <c r="E314" i="5"/>
  <c r="C314" i="5"/>
  <c r="E352" i="5"/>
  <c r="C352" i="5"/>
  <c r="C324" i="5"/>
  <c r="E324" i="5"/>
  <c r="C332" i="5"/>
  <c r="E332" i="5"/>
  <c r="C341" i="5"/>
  <c r="E341" i="5"/>
  <c r="E366" i="5"/>
  <c r="C366" i="5"/>
  <c r="E360" i="5"/>
  <c r="C360" i="5"/>
  <c r="E329" i="5"/>
  <c r="C329" i="5"/>
  <c r="E337" i="5"/>
  <c r="C337" i="5"/>
  <c r="C351" i="5"/>
  <c r="E351" i="5"/>
  <c r="C353" i="5"/>
  <c r="E353" i="5"/>
  <c r="C361" i="5"/>
  <c r="E361" i="5"/>
  <c r="C369" i="5"/>
  <c r="E369" i="5"/>
  <c r="E38" i="5"/>
  <c r="C38" i="5"/>
  <c r="E120" i="5"/>
  <c r="C120" i="5"/>
  <c r="E104" i="5"/>
  <c r="C104" i="5"/>
  <c r="E64" i="5"/>
  <c r="C64" i="5"/>
  <c r="E40" i="5"/>
  <c r="C40" i="5"/>
  <c r="C51" i="5"/>
  <c r="E51" i="5"/>
  <c r="C67" i="5"/>
  <c r="E67" i="5"/>
  <c r="C83" i="5"/>
  <c r="E83" i="5"/>
  <c r="C99" i="5"/>
  <c r="E99" i="5"/>
  <c r="C115" i="5"/>
  <c r="E115" i="5"/>
  <c r="E133" i="5"/>
  <c r="C133" i="5"/>
  <c r="E188" i="5"/>
  <c r="C188" i="5"/>
  <c r="C150" i="5"/>
  <c r="E150" i="5"/>
  <c r="C166" i="5"/>
  <c r="E166" i="5"/>
  <c r="C182" i="5"/>
  <c r="E182" i="5"/>
  <c r="C195" i="5"/>
  <c r="E195" i="5"/>
  <c r="E218" i="5"/>
  <c r="C218" i="5"/>
  <c r="E159" i="5"/>
  <c r="C159" i="5"/>
  <c r="E175" i="5"/>
  <c r="C175" i="5"/>
  <c r="C201" i="5"/>
  <c r="E201" i="5"/>
  <c r="E238" i="5"/>
  <c r="C238" i="5"/>
  <c r="C211" i="5"/>
  <c r="E211" i="5"/>
  <c r="C227" i="5"/>
  <c r="E227" i="5"/>
  <c r="C235" i="5"/>
  <c r="E235" i="5"/>
  <c r="C253" i="5"/>
  <c r="E253" i="5"/>
  <c r="C269" i="5"/>
  <c r="E269" i="5"/>
  <c r="E340" i="5"/>
  <c r="C340" i="5"/>
  <c r="E252" i="5"/>
  <c r="C252" i="5"/>
  <c r="E268" i="5"/>
  <c r="C268" i="5"/>
  <c r="C295" i="5"/>
  <c r="E295" i="5"/>
  <c r="C311" i="5"/>
  <c r="E311" i="5"/>
  <c r="E288" i="5"/>
  <c r="C288" i="5"/>
  <c r="E304" i="5"/>
  <c r="C304" i="5"/>
  <c r="C318" i="5"/>
  <c r="E318" i="5"/>
  <c r="C330" i="5"/>
  <c r="E330" i="5"/>
  <c r="E358" i="5"/>
  <c r="C358" i="5"/>
  <c r="E327" i="5"/>
  <c r="C327" i="5"/>
  <c r="C347" i="5"/>
  <c r="E347" i="5"/>
  <c r="C359" i="5"/>
  <c r="E359" i="5"/>
  <c r="E30" i="5"/>
  <c r="C30" i="5"/>
  <c r="E92" i="5"/>
  <c r="C92" i="5"/>
  <c r="E52" i="5"/>
  <c r="C52" i="5"/>
  <c r="C18" i="5"/>
  <c r="E18" i="5"/>
  <c r="C189" i="5"/>
  <c r="E189" i="5"/>
  <c r="C61" i="5"/>
  <c r="E61" i="5"/>
  <c r="C77" i="5"/>
  <c r="E77" i="5"/>
  <c r="C93" i="5"/>
  <c r="E93" i="5"/>
  <c r="C109" i="5"/>
  <c r="E109" i="5"/>
  <c r="C125" i="5"/>
  <c r="E125" i="5"/>
  <c r="C132" i="5"/>
  <c r="E132" i="5"/>
  <c r="C144" i="5"/>
  <c r="E144" i="5"/>
  <c r="C160" i="5"/>
  <c r="E160" i="5"/>
  <c r="C176" i="5"/>
  <c r="E176" i="5"/>
  <c r="C199" i="5"/>
  <c r="E199" i="5"/>
  <c r="E196" i="5"/>
  <c r="C196" i="5"/>
  <c r="E153" i="5"/>
  <c r="C153" i="5"/>
  <c r="E169" i="5"/>
  <c r="C169" i="5"/>
  <c r="E190" i="5"/>
  <c r="C190" i="5"/>
  <c r="E232" i="5"/>
  <c r="C232" i="5"/>
  <c r="C205" i="5"/>
  <c r="E205" i="5"/>
  <c r="C221" i="5"/>
  <c r="E221" i="5"/>
  <c r="C229" i="5"/>
  <c r="E229" i="5"/>
  <c r="C247" i="5"/>
  <c r="E247" i="5"/>
  <c r="C263" i="5"/>
  <c r="E263" i="5"/>
  <c r="C279" i="5"/>
  <c r="E279" i="5"/>
  <c r="E246" i="5"/>
  <c r="C246" i="5"/>
  <c r="E262" i="5"/>
  <c r="C262" i="5"/>
  <c r="E278" i="5"/>
  <c r="C278" i="5"/>
  <c r="C305" i="5"/>
  <c r="E305" i="5"/>
  <c r="C130" i="5"/>
  <c r="E130" i="5"/>
  <c r="C47" i="5"/>
  <c r="E47" i="5"/>
  <c r="E22" i="5"/>
  <c r="C22" i="5"/>
  <c r="E19" i="5"/>
  <c r="C19" i="5"/>
  <c r="E128" i="5"/>
  <c r="C128" i="5"/>
  <c r="E116" i="5"/>
  <c r="C116" i="5"/>
  <c r="E108" i="5"/>
  <c r="C108" i="5"/>
  <c r="E100" i="5"/>
  <c r="C100" i="5"/>
  <c r="E80" i="5"/>
  <c r="C80" i="5"/>
  <c r="E60" i="5"/>
  <c r="C60" i="5"/>
  <c r="E32" i="5"/>
  <c r="C32" i="5"/>
  <c r="C25" i="5"/>
  <c r="E25" i="5"/>
  <c r="E126" i="5"/>
  <c r="C126" i="5"/>
  <c r="C43" i="5"/>
  <c r="E43" i="5"/>
  <c r="D12" i="5"/>
  <c r="I12" i="5" s="1"/>
  <c r="C12" i="5"/>
  <c r="E12" i="5"/>
  <c r="E222" i="5"/>
  <c r="C222" i="5"/>
  <c r="C55" i="5"/>
  <c r="E55" i="5"/>
  <c r="C63" i="5"/>
  <c r="E63" i="5"/>
  <c r="C71" i="5"/>
  <c r="E71" i="5"/>
  <c r="C79" i="5"/>
  <c r="E79" i="5"/>
  <c r="C87" i="5"/>
  <c r="E87" i="5"/>
  <c r="C95" i="5"/>
  <c r="E95" i="5"/>
  <c r="C103" i="5"/>
  <c r="E103" i="5"/>
  <c r="C111" i="5"/>
  <c r="E111" i="5"/>
  <c r="C119" i="5"/>
  <c r="E119" i="5"/>
  <c r="C127" i="5"/>
  <c r="E127" i="5"/>
  <c r="E143" i="5"/>
  <c r="C143" i="5"/>
  <c r="E139" i="5"/>
  <c r="C139" i="5"/>
  <c r="E206" i="5"/>
  <c r="C206" i="5"/>
  <c r="C146" i="5"/>
  <c r="E146" i="5"/>
  <c r="C154" i="5"/>
  <c r="E154" i="5"/>
  <c r="C162" i="5"/>
  <c r="E162" i="5"/>
  <c r="C170" i="5"/>
  <c r="E170" i="5"/>
  <c r="C178" i="5"/>
  <c r="E178" i="5"/>
  <c r="E186" i="5"/>
  <c r="C186" i="5"/>
  <c r="E208" i="5"/>
  <c r="C208" i="5"/>
  <c r="C185" i="5"/>
  <c r="E185" i="5"/>
  <c r="E200" i="5"/>
  <c r="C200" i="5"/>
  <c r="E147" i="5"/>
  <c r="C147" i="5"/>
  <c r="E155" i="5"/>
  <c r="C155" i="5"/>
  <c r="E163" i="5"/>
  <c r="C163" i="5"/>
  <c r="E171" i="5"/>
  <c r="C171" i="5"/>
  <c r="E179" i="5"/>
  <c r="C179" i="5"/>
  <c r="C191" i="5"/>
  <c r="E191" i="5"/>
  <c r="E212" i="5"/>
  <c r="C212" i="5"/>
  <c r="E230" i="5"/>
  <c r="C230" i="5"/>
  <c r="E280" i="5"/>
  <c r="C280" i="5"/>
  <c r="C207" i="5"/>
  <c r="E207" i="5"/>
  <c r="C215" i="5"/>
  <c r="E215" i="5"/>
  <c r="C223" i="5"/>
  <c r="E223" i="5"/>
  <c r="E236" i="5"/>
  <c r="C236" i="5"/>
  <c r="C293" i="5"/>
  <c r="E293" i="5"/>
  <c r="C241" i="5"/>
  <c r="E241" i="5"/>
  <c r="C249" i="5"/>
  <c r="E249" i="5"/>
  <c r="C257" i="5"/>
  <c r="E257" i="5"/>
  <c r="C265" i="5"/>
  <c r="E265" i="5"/>
  <c r="C273" i="5"/>
  <c r="E273" i="5"/>
  <c r="E286" i="5"/>
  <c r="C286" i="5"/>
  <c r="C285" i="5"/>
  <c r="E285" i="5"/>
  <c r="E248" i="5"/>
  <c r="C248" i="5"/>
  <c r="E256" i="5"/>
  <c r="C256" i="5"/>
  <c r="E264" i="5"/>
  <c r="C264" i="5"/>
  <c r="E272" i="5"/>
  <c r="C272" i="5"/>
  <c r="E282" i="5"/>
  <c r="C282" i="5"/>
  <c r="C299" i="5"/>
  <c r="E299" i="5"/>
  <c r="C307" i="5"/>
  <c r="E307" i="5"/>
  <c r="C315" i="5"/>
  <c r="E315" i="5"/>
  <c r="E348" i="5"/>
  <c r="C348" i="5"/>
  <c r="E292" i="5"/>
  <c r="C292" i="5"/>
  <c r="E300" i="5"/>
  <c r="C300" i="5"/>
  <c r="E308" i="5"/>
  <c r="C308" i="5"/>
  <c r="E316" i="5"/>
  <c r="C316" i="5"/>
  <c r="E364" i="5"/>
  <c r="C364" i="5"/>
  <c r="C326" i="5"/>
  <c r="E326" i="5"/>
  <c r="C334" i="5"/>
  <c r="E334" i="5"/>
  <c r="C345" i="5"/>
  <c r="E345" i="5"/>
  <c r="E342" i="5"/>
  <c r="C342" i="5"/>
  <c r="E368" i="5"/>
  <c r="C368" i="5"/>
  <c r="E331" i="5"/>
  <c r="C331" i="5"/>
  <c r="C339" i="5"/>
  <c r="E339" i="5"/>
  <c r="E354" i="5"/>
  <c r="C354" i="5"/>
  <c r="C355" i="5"/>
  <c r="E355" i="5"/>
  <c r="C363" i="5"/>
  <c r="E363" i="5"/>
  <c r="C371" i="5"/>
  <c r="E371" i="5"/>
  <c r="E141" i="5"/>
  <c r="C141" i="5"/>
  <c r="C23" i="5"/>
  <c r="E23" i="5"/>
  <c r="C138" i="5"/>
  <c r="E138" i="5"/>
  <c r="E84" i="5"/>
  <c r="C84" i="5"/>
  <c r="E72" i="5"/>
  <c r="C72" i="5"/>
  <c r="C33" i="5"/>
  <c r="E33" i="5"/>
  <c r="E26" i="5"/>
  <c r="C26" i="5"/>
  <c r="C53" i="5"/>
  <c r="E53" i="5"/>
  <c r="C69" i="5"/>
  <c r="E69" i="5"/>
  <c r="C85" i="5"/>
  <c r="E85" i="5"/>
  <c r="C101" i="5"/>
  <c r="E101" i="5"/>
  <c r="C117" i="5"/>
  <c r="E117" i="5"/>
  <c r="C134" i="5"/>
  <c r="E134" i="5"/>
  <c r="E198" i="5"/>
  <c r="C198" i="5"/>
  <c r="C152" i="5"/>
  <c r="E152" i="5"/>
  <c r="C168" i="5"/>
  <c r="E168" i="5"/>
  <c r="C184" i="5"/>
  <c r="E184" i="5"/>
  <c r="C233" i="5"/>
  <c r="E233" i="5"/>
  <c r="E226" i="5"/>
  <c r="C226" i="5"/>
  <c r="E161" i="5"/>
  <c r="C161" i="5"/>
  <c r="E177" i="5"/>
  <c r="C177" i="5"/>
  <c r="E204" i="5"/>
  <c r="C204" i="5"/>
  <c r="C239" i="5"/>
  <c r="E239" i="5"/>
  <c r="C213" i="5"/>
  <c r="E213" i="5"/>
  <c r="E244" i="5"/>
  <c r="C244" i="5"/>
  <c r="C281" i="5"/>
  <c r="E281" i="5"/>
  <c r="C255" i="5"/>
  <c r="E255" i="5"/>
  <c r="C271" i="5"/>
  <c r="E271" i="5"/>
  <c r="E284" i="5"/>
  <c r="C284" i="5"/>
  <c r="E254" i="5"/>
  <c r="C254" i="5"/>
  <c r="E270" i="5"/>
  <c r="C270" i="5"/>
  <c r="C297" i="5"/>
  <c r="E297" i="5"/>
  <c r="E122" i="5"/>
  <c r="C122" i="5"/>
  <c r="E46" i="5"/>
  <c r="C46" i="5"/>
  <c r="C39" i="5"/>
  <c r="E39" i="5"/>
  <c r="E88" i="5"/>
  <c r="C88" i="5"/>
  <c r="E68" i="5"/>
  <c r="C68" i="5"/>
  <c r="E56" i="5"/>
  <c r="C56" i="5"/>
  <c r="E48" i="5"/>
  <c r="C48" i="5"/>
  <c r="C41" i="5"/>
  <c r="E41" i="5"/>
  <c r="E24" i="5"/>
  <c r="C24" i="5"/>
  <c r="E42" i="5"/>
  <c r="C42" i="5"/>
  <c r="C35" i="5"/>
  <c r="E35" i="5"/>
  <c r="C14" i="5"/>
  <c r="E14" i="5"/>
  <c r="E135" i="5"/>
  <c r="C135" i="5"/>
  <c r="C49" i="5"/>
  <c r="E49" i="5"/>
  <c r="C57" i="5"/>
  <c r="E57" i="5"/>
  <c r="C65" i="5"/>
  <c r="E65" i="5"/>
  <c r="C73" i="5"/>
  <c r="E73" i="5"/>
  <c r="C81" i="5"/>
  <c r="E81" i="5"/>
  <c r="C89" i="5"/>
  <c r="E89" i="5"/>
  <c r="C97" i="5"/>
  <c r="E97" i="5"/>
  <c r="C105" i="5"/>
  <c r="E105" i="5"/>
  <c r="C113" i="5"/>
  <c r="E113" i="5"/>
  <c r="C121" i="5"/>
  <c r="E121" i="5"/>
  <c r="C129" i="5"/>
  <c r="E129" i="5"/>
  <c r="E194" i="5"/>
  <c r="C194" i="5"/>
  <c r="C140" i="5"/>
  <c r="E140" i="5"/>
  <c r="E242" i="5"/>
  <c r="C242" i="5"/>
  <c r="C148" i="5"/>
  <c r="E148" i="5"/>
  <c r="C156" i="5"/>
  <c r="E156" i="5"/>
  <c r="C164" i="5"/>
  <c r="E164" i="5"/>
  <c r="C172" i="5"/>
  <c r="E172" i="5"/>
  <c r="C180" i="5"/>
  <c r="E180" i="5"/>
  <c r="C187" i="5"/>
  <c r="E187" i="5"/>
  <c r="E216" i="5"/>
  <c r="C216" i="5"/>
  <c r="E192" i="5"/>
  <c r="C192" i="5"/>
  <c r="E210" i="5"/>
  <c r="C210" i="5"/>
  <c r="E149" i="5"/>
  <c r="C149" i="5"/>
  <c r="E157" i="5"/>
  <c r="C157" i="5"/>
  <c r="E165" i="5"/>
  <c r="C165" i="5"/>
  <c r="E173" i="5"/>
  <c r="C173" i="5"/>
  <c r="E181" i="5"/>
  <c r="C181" i="5"/>
  <c r="C197" i="5"/>
  <c r="E197" i="5"/>
  <c r="E220" i="5"/>
  <c r="C220" i="5"/>
  <c r="C231" i="5"/>
  <c r="E231" i="5"/>
  <c r="C289" i="5"/>
  <c r="E289" i="5"/>
  <c r="C209" i="5"/>
  <c r="E209" i="5"/>
  <c r="C217" i="5"/>
  <c r="E217" i="5"/>
  <c r="C225" i="5"/>
  <c r="E225" i="5"/>
  <c r="C237" i="5"/>
  <c r="E237" i="5"/>
  <c r="E234" i="5"/>
  <c r="C234" i="5"/>
  <c r="C243" i="5"/>
  <c r="E243" i="5"/>
  <c r="C251" i="5"/>
  <c r="E251" i="5"/>
  <c r="C259" i="5"/>
  <c r="E259" i="5"/>
  <c r="C267" i="5"/>
  <c r="E267" i="5"/>
  <c r="C275" i="5"/>
  <c r="E275" i="5"/>
  <c r="C287" i="5"/>
  <c r="E287" i="5"/>
  <c r="C291" i="5"/>
  <c r="E291" i="5"/>
  <c r="E250" i="5"/>
  <c r="C250" i="5"/>
  <c r="E258" i="5"/>
  <c r="C258" i="5"/>
  <c r="E266" i="5"/>
  <c r="C266" i="5"/>
  <c r="E274" i="5"/>
  <c r="C274" i="5"/>
  <c r="C283" i="5"/>
  <c r="E283" i="5"/>
  <c r="C301" i="5"/>
  <c r="E301" i="5"/>
  <c r="C309" i="5"/>
  <c r="E309" i="5"/>
  <c r="E344" i="5"/>
  <c r="C344" i="5"/>
  <c r="E356" i="5"/>
  <c r="C356" i="5"/>
  <c r="E294" i="5"/>
  <c r="C294" i="5"/>
  <c r="E302" i="5"/>
  <c r="C302" i="5"/>
  <c r="E310" i="5"/>
  <c r="C310" i="5"/>
  <c r="E317" i="5"/>
  <c r="C317" i="5"/>
  <c r="C320" i="5"/>
  <c r="E320" i="5"/>
  <c r="C328" i="5"/>
  <c r="E328" i="5"/>
  <c r="C336" i="5"/>
  <c r="E336" i="5"/>
  <c r="C349" i="5"/>
  <c r="E349" i="5"/>
  <c r="E346" i="5"/>
  <c r="C346" i="5"/>
  <c r="E325" i="5"/>
  <c r="C325" i="5"/>
  <c r="E333" i="5"/>
  <c r="C333" i="5"/>
  <c r="C343" i="5"/>
  <c r="E343" i="5"/>
  <c r="E362" i="5"/>
  <c r="C362" i="5"/>
  <c r="C357" i="5"/>
  <c r="E357" i="5"/>
  <c r="C365" i="5"/>
  <c r="E365" i="5"/>
  <c r="E63" i="2"/>
  <c r="E154" i="2"/>
  <c r="E187" i="2"/>
  <c r="E240" i="2"/>
  <c r="E272" i="2"/>
  <c r="E208" i="2"/>
  <c r="C345" i="2"/>
  <c r="E256" i="2"/>
  <c r="E288" i="2"/>
  <c r="E331" i="2"/>
  <c r="E32" i="2"/>
  <c r="E77" i="2"/>
  <c r="E134" i="2"/>
  <c r="E148" i="2"/>
  <c r="E156" i="2"/>
  <c r="E164" i="2"/>
  <c r="E172" i="2"/>
  <c r="E145" i="2"/>
  <c r="E161" i="2"/>
  <c r="E184" i="2"/>
  <c r="E182" i="2"/>
  <c r="E177" i="2"/>
  <c r="E334" i="2"/>
  <c r="E258" i="2"/>
  <c r="E274" i="2"/>
  <c r="E290" i="2"/>
  <c r="E321" i="2"/>
  <c r="E192" i="2"/>
  <c r="E200" i="2"/>
  <c r="E228" i="2"/>
  <c r="E236" i="2"/>
  <c r="E260" i="2"/>
  <c r="E300" i="2"/>
  <c r="E320" i="2"/>
  <c r="E338" i="2"/>
  <c r="E179" i="2"/>
  <c r="E254" i="2"/>
  <c r="E270" i="2"/>
  <c r="E286" i="2"/>
  <c r="E336" i="2"/>
  <c r="E261" i="2"/>
  <c r="E347" i="2"/>
  <c r="E123" i="2"/>
  <c r="E227" i="2"/>
  <c r="E115" i="2"/>
  <c r="E92" i="2"/>
  <c r="E149" i="2"/>
  <c r="E167" i="2"/>
  <c r="E139" i="2"/>
  <c r="E162" i="2"/>
  <c r="E49" i="4"/>
  <c r="C49" i="4"/>
  <c r="E38" i="4"/>
  <c r="C38" i="4"/>
  <c r="E22" i="4"/>
  <c r="C22" i="4"/>
  <c r="C68" i="4"/>
  <c r="E68" i="4"/>
  <c r="C76" i="4"/>
  <c r="E76" i="4"/>
  <c r="C84" i="4"/>
  <c r="E84" i="4"/>
  <c r="C92" i="4"/>
  <c r="E92" i="4"/>
  <c r="C100" i="4"/>
  <c r="E100" i="4"/>
  <c r="C108" i="4"/>
  <c r="E108" i="4"/>
  <c r="C116" i="4"/>
  <c r="E116" i="4"/>
  <c r="C124" i="4"/>
  <c r="E124" i="4"/>
  <c r="C132" i="4"/>
  <c r="E132" i="4"/>
  <c r="C140" i="4"/>
  <c r="E140" i="4"/>
  <c r="C148" i="4"/>
  <c r="E148" i="4"/>
  <c r="C156" i="4"/>
  <c r="E156" i="4"/>
  <c r="C260" i="4"/>
  <c r="E260" i="4"/>
  <c r="C217" i="4"/>
  <c r="E217" i="4"/>
  <c r="E69" i="4"/>
  <c r="C69" i="4"/>
  <c r="E77" i="4"/>
  <c r="C77" i="4"/>
  <c r="E85" i="4"/>
  <c r="C85" i="4"/>
  <c r="E93" i="4"/>
  <c r="C93" i="4"/>
  <c r="E101" i="4"/>
  <c r="C101" i="4"/>
  <c r="E109" i="4"/>
  <c r="C109" i="4"/>
  <c r="E117" i="4"/>
  <c r="C117" i="4"/>
  <c r="E125" i="4"/>
  <c r="C125" i="4"/>
  <c r="E133" i="4"/>
  <c r="C133" i="4"/>
  <c r="E141" i="4"/>
  <c r="C141" i="4"/>
  <c r="E149" i="4"/>
  <c r="C149" i="4"/>
  <c r="E157" i="4"/>
  <c r="C157" i="4"/>
  <c r="C164" i="4"/>
  <c r="E164" i="4"/>
  <c r="C172" i="4"/>
  <c r="E172" i="4"/>
  <c r="C180" i="4"/>
  <c r="E180" i="4"/>
  <c r="C188" i="4"/>
  <c r="E188" i="4"/>
  <c r="C196" i="4"/>
  <c r="E196" i="4"/>
  <c r="C204" i="4"/>
  <c r="E204" i="4"/>
  <c r="E222" i="4"/>
  <c r="C222" i="4"/>
  <c r="C252" i="4"/>
  <c r="E252" i="4"/>
  <c r="C58" i="4"/>
  <c r="E58" i="4"/>
  <c r="C42" i="4"/>
  <c r="E42" i="4"/>
  <c r="E34" i="4"/>
  <c r="C34" i="4"/>
  <c r="E18" i="4"/>
  <c r="C18" i="4"/>
  <c r="C70" i="4"/>
  <c r="E70" i="4"/>
  <c r="C78" i="4"/>
  <c r="E78" i="4"/>
  <c r="C86" i="4"/>
  <c r="E86" i="4"/>
  <c r="C94" i="4"/>
  <c r="E94" i="4"/>
  <c r="C102" i="4"/>
  <c r="E102" i="4"/>
  <c r="C110" i="4"/>
  <c r="E110" i="4"/>
  <c r="C118" i="4"/>
  <c r="E118" i="4"/>
  <c r="C126" i="4"/>
  <c r="E126" i="4"/>
  <c r="C134" i="4"/>
  <c r="E134" i="4"/>
  <c r="C142" i="4"/>
  <c r="E142" i="4"/>
  <c r="C150" i="4"/>
  <c r="E150" i="4"/>
  <c r="C158" i="4"/>
  <c r="E158" i="4"/>
  <c r="E296" i="4"/>
  <c r="C296" i="4"/>
  <c r="C263" i="4"/>
  <c r="E263" i="4"/>
  <c r="E71" i="4"/>
  <c r="C71" i="4"/>
  <c r="E79" i="4"/>
  <c r="C79" i="4"/>
  <c r="E87" i="4"/>
  <c r="C87" i="4"/>
  <c r="E95" i="4"/>
  <c r="C95" i="4"/>
  <c r="E103" i="4"/>
  <c r="C103" i="4"/>
  <c r="E111" i="4"/>
  <c r="C111" i="4"/>
  <c r="E119" i="4"/>
  <c r="C119" i="4"/>
  <c r="E127" i="4"/>
  <c r="C127" i="4"/>
  <c r="E135" i="4"/>
  <c r="C135" i="4"/>
  <c r="E143" i="4"/>
  <c r="C143" i="4"/>
  <c r="E151" i="4"/>
  <c r="C151" i="4"/>
  <c r="E228" i="4"/>
  <c r="C228" i="4"/>
  <c r="C166" i="4"/>
  <c r="E166" i="4"/>
  <c r="C174" i="4"/>
  <c r="E174" i="4"/>
  <c r="C182" i="4"/>
  <c r="E182" i="4"/>
  <c r="C190" i="4"/>
  <c r="E190" i="4"/>
  <c r="C198" i="4"/>
  <c r="E198" i="4"/>
  <c r="E210" i="4"/>
  <c r="C210" i="4"/>
  <c r="E230" i="4"/>
  <c r="C230" i="4"/>
  <c r="C267" i="4"/>
  <c r="E267" i="4"/>
  <c r="C219" i="4"/>
  <c r="E219" i="4"/>
  <c r="E259" i="4"/>
  <c r="C259" i="4"/>
  <c r="E171" i="4"/>
  <c r="C171" i="4"/>
  <c r="E187" i="4"/>
  <c r="C187" i="4"/>
  <c r="E203" i="4"/>
  <c r="C203" i="4"/>
  <c r="E242" i="4"/>
  <c r="C242" i="4"/>
  <c r="E268" i="4"/>
  <c r="C268" i="4"/>
  <c r="C225" i="4"/>
  <c r="E225" i="4"/>
  <c r="C241" i="4"/>
  <c r="E241" i="4"/>
  <c r="C265" i="4"/>
  <c r="E265" i="4"/>
  <c r="E322" i="4"/>
  <c r="C322" i="4"/>
  <c r="E286" i="4"/>
  <c r="C286" i="4"/>
  <c r="E324" i="4"/>
  <c r="C324" i="4"/>
  <c r="C285" i="4"/>
  <c r="E285" i="4"/>
  <c r="C301" i="4"/>
  <c r="E301" i="4"/>
  <c r="E308" i="4"/>
  <c r="C308" i="4"/>
  <c r="C321" i="4"/>
  <c r="E321" i="4"/>
  <c r="C329" i="4"/>
  <c r="E329" i="4"/>
  <c r="C336" i="4"/>
  <c r="E336" i="4"/>
  <c r="C363" i="4"/>
  <c r="E363" i="4"/>
  <c r="C361" i="4"/>
  <c r="E361" i="4"/>
  <c r="C343" i="4"/>
  <c r="E343" i="4"/>
  <c r="C60" i="4"/>
  <c r="E60" i="4"/>
  <c r="C37" i="4"/>
  <c r="E37" i="4"/>
  <c r="C21" i="4"/>
  <c r="E21" i="4"/>
  <c r="E30" i="4"/>
  <c r="C30" i="4"/>
  <c r="C209" i="4"/>
  <c r="E209" i="4"/>
  <c r="E57" i="4"/>
  <c r="C57" i="4"/>
  <c r="E28" i="4"/>
  <c r="C28" i="4"/>
  <c r="E14" i="4"/>
  <c r="C14" i="4"/>
  <c r="C72" i="4"/>
  <c r="E72" i="4"/>
  <c r="C80" i="4"/>
  <c r="E80" i="4"/>
  <c r="C88" i="4"/>
  <c r="E88" i="4"/>
  <c r="C96" i="4"/>
  <c r="E96" i="4"/>
  <c r="C104" i="4"/>
  <c r="E104" i="4"/>
  <c r="C112" i="4"/>
  <c r="E112" i="4"/>
  <c r="C120" i="4"/>
  <c r="E120" i="4"/>
  <c r="C128" i="4"/>
  <c r="E128" i="4"/>
  <c r="C136" i="4"/>
  <c r="E136" i="4"/>
  <c r="C144" i="4"/>
  <c r="E144" i="4"/>
  <c r="C152" i="4"/>
  <c r="E152" i="4"/>
  <c r="C213" i="4"/>
  <c r="E213" i="4"/>
  <c r="E161" i="4"/>
  <c r="C161" i="4"/>
  <c r="E65" i="4"/>
  <c r="C65" i="4"/>
  <c r="E73" i="4"/>
  <c r="C73" i="4"/>
  <c r="E81" i="4"/>
  <c r="C81" i="4"/>
  <c r="E89" i="4"/>
  <c r="C89" i="4"/>
  <c r="E97" i="4"/>
  <c r="C97" i="4"/>
  <c r="E105" i="4"/>
  <c r="C105" i="4"/>
  <c r="E113" i="4"/>
  <c r="C113" i="4"/>
  <c r="E121" i="4"/>
  <c r="C121" i="4"/>
  <c r="E129" i="4"/>
  <c r="C129" i="4"/>
  <c r="E137" i="4"/>
  <c r="C137" i="4"/>
  <c r="E145" i="4"/>
  <c r="C145" i="4"/>
  <c r="E153" i="4"/>
  <c r="C153" i="4"/>
  <c r="C160" i="4"/>
  <c r="E160" i="4"/>
  <c r="C168" i="4"/>
  <c r="E168" i="4"/>
  <c r="C176" i="4"/>
  <c r="E176" i="4"/>
  <c r="C184" i="4"/>
  <c r="E184" i="4"/>
  <c r="C192" i="4"/>
  <c r="E192" i="4"/>
  <c r="C200" i="4"/>
  <c r="E200" i="4"/>
  <c r="E214" i="4"/>
  <c r="C214" i="4"/>
  <c r="E238" i="4"/>
  <c r="C238" i="4"/>
  <c r="C207" i="4"/>
  <c r="E207" i="4"/>
  <c r="E224" i="4"/>
  <c r="C224" i="4"/>
  <c r="C271" i="4"/>
  <c r="E271" i="4"/>
  <c r="E173" i="4"/>
  <c r="C173" i="4"/>
  <c r="E181" i="4"/>
  <c r="C181" i="4"/>
  <c r="E189" i="4"/>
  <c r="C189" i="4"/>
  <c r="E197" i="4"/>
  <c r="C197" i="4"/>
  <c r="E205" i="4"/>
  <c r="C205" i="4"/>
  <c r="E220" i="4"/>
  <c r="C220" i="4"/>
  <c r="E251" i="4"/>
  <c r="C251" i="4"/>
  <c r="E257" i="4"/>
  <c r="C257" i="4"/>
  <c r="E272" i="4"/>
  <c r="C272" i="4"/>
  <c r="C305" i="4"/>
  <c r="E305" i="4"/>
  <c r="C227" i="4"/>
  <c r="E227" i="4"/>
  <c r="C235" i="4"/>
  <c r="E235" i="4"/>
  <c r="C243" i="4"/>
  <c r="E243" i="4"/>
  <c r="E255" i="4"/>
  <c r="C255" i="4"/>
  <c r="C269" i="4"/>
  <c r="E269" i="4"/>
  <c r="E292" i="4"/>
  <c r="C292" i="4"/>
  <c r="E253" i="4"/>
  <c r="C253" i="4"/>
  <c r="E270" i="4"/>
  <c r="C270" i="4"/>
  <c r="E294" i="4"/>
  <c r="C294" i="4"/>
  <c r="E310" i="4"/>
  <c r="C310" i="4"/>
  <c r="E340" i="4"/>
  <c r="C340" i="4"/>
  <c r="C279" i="4"/>
  <c r="E279" i="4"/>
  <c r="C287" i="4"/>
  <c r="E287" i="4"/>
  <c r="C295" i="4"/>
  <c r="E295" i="4"/>
  <c r="C303" i="4"/>
  <c r="E303" i="4"/>
  <c r="E318" i="4"/>
  <c r="C318" i="4"/>
  <c r="E312" i="4"/>
  <c r="C312" i="4"/>
  <c r="E364" i="4"/>
  <c r="C364" i="4"/>
  <c r="C323" i="4"/>
  <c r="E323" i="4"/>
  <c r="C341" i="4"/>
  <c r="E341" i="4"/>
  <c r="C330" i="4"/>
  <c r="E330" i="4"/>
  <c r="E338" i="4"/>
  <c r="C338" i="4"/>
  <c r="E354" i="4"/>
  <c r="C354" i="4"/>
  <c r="E370" i="4"/>
  <c r="C370" i="4"/>
  <c r="E352" i="4"/>
  <c r="C352" i="4"/>
  <c r="E368" i="4"/>
  <c r="C368" i="4"/>
  <c r="E335" i="4"/>
  <c r="C335" i="4"/>
  <c r="E350" i="4"/>
  <c r="C350" i="4"/>
  <c r="E366" i="4"/>
  <c r="C366" i="4"/>
  <c r="E59" i="4"/>
  <c r="C59" i="4"/>
  <c r="E43" i="4"/>
  <c r="C43" i="4"/>
  <c r="C35" i="4"/>
  <c r="E35" i="4"/>
  <c r="C27" i="4"/>
  <c r="E27" i="4"/>
  <c r="C19" i="4"/>
  <c r="E19" i="4"/>
  <c r="C64" i="4"/>
  <c r="E64" i="4"/>
  <c r="E163" i="4"/>
  <c r="C163" i="4"/>
  <c r="E53" i="4"/>
  <c r="C53" i="4"/>
  <c r="E159" i="4"/>
  <c r="C159" i="4"/>
  <c r="E40" i="4"/>
  <c r="C40" i="4"/>
  <c r="E16" i="4"/>
  <c r="C16" i="4"/>
  <c r="C206" i="4"/>
  <c r="E206" i="4"/>
  <c r="E179" i="4"/>
  <c r="C179" i="4"/>
  <c r="E195" i="4"/>
  <c r="C195" i="4"/>
  <c r="E216" i="4"/>
  <c r="C216" i="4"/>
  <c r="C250" i="4"/>
  <c r="E250" i="4"/>
  <c r="E298" i="4"/>
  <c r="C298" i="4"/>
  <c r="C233" i="4"/>
  <c r="E233" i="4"/>
  <c r="C248" i="4"/>
  <c r="E248" i="4"/>
  <c r="E284" i="4"/>
  <c r="C284" i="4"/>
  <c r="E266" i="4"/>
  <c r="C266" i="4"/>
  <c r="E306" i="4"/>
  <c r="C306" i="4"/>
  <c r="C277" i="4"/>
  <c r="E277" i="4"/>
  <c r="C293" i="4"/>
  <c r="E293" i="4"/>
  <c r="C315" i="4"/>
  <c r="E315" i="4"/>
  <c r="C349" i="4"/>
  <c r="E349" i="4"/>
  <c r="C365" i="4"/>
  <c r="E365" i="4"/>
  <c r="C347" i="4"/>
  <c r="E347" i="4"/>
  <c r="C345" i="4"/>
  <c r="E345" i="4"/>
  <c r="E333" i="4"/>
  <c r="C333" i="4"/>
  <c r="C359" i="4"/>
  <c r="E359" i="4"/>
  <c r="C44" i="4"/>
  <c r="E44" i="4"/>
  <c r="C29" i="4"/>
  <c r="E29" i="4"/>
  <c r="C13" i="4"/>
  <c r="E13" i="4"/>
  <c r="C54" i="4"/>
  <c r="E54" i="4"/>
  <c r="E47" i="4"/>
  <c r="C47" i="4"/>
  <c r="E20" i="4"/>
  <c r="C20" i="4"/>
  <c r="C50" i="4"/>
  <c r="E50" i="4"/>
  <c r="C56" i="4"/>
  <c r="E56" i="4"/>
  <c r="E26" i="4"/>
  <c r="C26" i="4"/>
  <c r="C66" i="4"/>
  <c r="E66" i="4"/>
  <c r="C74" i="4"/>
  <c r="E74" i="4"/>
  <c r="C82" i="4"/>
  <c r="E82" i="4"/>
  <c r="C90" i="4"/>
  <c r="E90" i="4"/>
  <c r="C98" i="4"/>
  <c r="E98" i="4"/>
  <c r="C106" i="4"/>
  <c r="E106" i="4"/>
  <c r="C114" i="4"/>
  <c r="E114" i="4"/>
  <c r="C122" i="4"/>
  <c r="E122" i="4"/>
  <c r="C130" i="4"/>
  <c r="E130" i="4"/>
  <c r="C138" i="4"/>
  <c r="E138" i="4"/>
  <c r="C146" i="4"/>
  <c r="E146" i="4"/>
  <c r="C154" i="4"/>
  <c r="E154" i="4"/>
  <c r="E244" i="4"/>
  <c r="C244" i="4"/>
  <c r="E165" i="4"/>
  <c r="C165" i="4"/>
  <c r="E67" i="4"/>
  <c r="C67" i="4"/>
  <c r="E75" i="4"/>
  <c r="C75" i="4"/>
  <c r="E83" i="4"/>
  <c r="C83" i="4"/>
  <c r="E91" i="4"/>
  <c r="C91" i="4"/>
  <c r="E99" i="4"/>
  <c r="C99" i="4"/>
  <c r="E107" i="4"/>
  <c r="C107" i="4"/>
  <c r="E115" i="4"/>
  <c r="C115" i="4"/>
  <c r="E123" i="4"/>
  <c r="C123" i="4"/>
  <c r="E131" i="4"/>
  <c r="C131" i="4"/>
  <c r="E139" i="4"/>
  <c r="C139" i="4"/>
  <c r="E147" i="4"/>
  <c r="C147" i="4"/>
  <c r="E155" i="4"/>
  <c r="C155" i="4"/>
  <c r="C162" i="4"/>
  <c r="E162" i="4"/>
  <c r="C170" i="4"/>
  <c r="E170" i="4"/>
  <c r="C178" i="4"/>
  <c r="E178" i="4"/>
  <c r="C186" i="4"/>
  <c r="E186" i="4"/>
  <c r="C194" i="4"/>
  <c r="E194" i="4"/>
  <c r="C202" i="4"/>
  <c r="E202" i="4"/>
  <c r="E218" i="4"/>
  <c r="C218" i="4"/>
  <c r="E246" i="4"/>
  <c r="C246" i="4"/>
  <c r="C211" i="4"/>
  <c r="E211" i="4"/>
  <c r="E232" i="4"/>
  <c r="C232" i="4"/>
  <c r="E280" i="4"/>
  <c r="C280" i="4"/>
  <c r="E175" i="4"/>
  <c r="C175" i="4"/>
  <c r="E183" i="4"/>
  <c r="C183" i="4"/>
  <c r="E191" i="4"/>
  <c r="C191" i="4"/>
  <c r="E199" i="4"/>
  <c r="C199" i="4"/>
  <c r="E208" i="4"/>
  <c r="C208" i="4"/>
  <c r="E226" i="4"/>
  <c r="C226" i="4"/>
  <c r="E288" i="4"/>
  <c r="C288" i="4"/>
  <c r="C258" i="4"/>
  <c r="E258" i="4"/>
  <c r="E282" i="4"/>
  <c r="C282" i="4"/>
  <c r="C221" i="4"/>
  <c r="E221" i="4"/>
  <c r="C229" i="4"/>
  <c r="E229" i="4"/>
  <c r="C237" i="4"/>
  <c r="E237" i="4"/>
  <c r="C245" i="4"/>
  <c r="E245" i="4"/>
  <c r="C256" i="4"/>
  <c r="E256" i="4"/>
  <c r="C273" i="4"/>
  <c r="E273" i="4"/>
  <c r="E300" i="4"/>
  <c r="C300" i="4"/>
  <c r="C254" i="4"/>
  <c r="E254" i="4"/>
  <c r="E274" i="4"/>
  <c r="C274" i="4"/>
  <c r="E302" i="4"/>
  <c r="C302" i="4"/>
  <c r="E314" i="4"/>
  <c r="C314" i="4"/>
  <c r="C357" i="4"/>
  <c r="E357" i="4"/>
  <c r="C281" i="4"/>
  <c r="E281" i="4"/>
  <c r="C289" i="4"/>
  <c r="E289" i="4"/>
  <c r="C297" i="4"/>
  <c r="E297" i="4"/>
  <c r="C307" i="4"/>
  <c r="E307" i="4"/>
  <c r="E326" i="4"/>
  <c r="C326" i="4"/>
  <c r="E320" i="4"/>
  <c r="C320" i="4"/>
  <c r="C317" i="4"/>
  <c r="E317" i="4"/>
  <c r="C325" i="4"/>
  <c r="E325" i="4"/>
  <c r="E356" i="4"/>
  <c r="C356" i="4"/>
  <c r="C332" i="4"/>
  <c r="E332" i="4"/>
  <c r="C339" i="4"/>
  <c r="E339" i="4"/>
  <c r="C355" i="4"/>
  <c r="E355" i="4"/>
  <c r="C371" i="4"/>
  <c r="E371" i="4"/>
  <c r="C353" i="4"/>
  <c r="E353" i="4"/>
  <c r="C369" i="4"/>
  <c r="E369" i="4"/>
  <c r="E337" i="4"/>
  <c r="C337" i="4"/>
  <c r="C351" i="4"/>
  <c r="E351" i="4"/>
  <c r="C367" i="4"/>
  <c r="E367" i="4"/>
  <c r="C52" i="4"/>
  <c r="E52" i="4"/>
  <c r="C41" i="4"/>
  <c r="E41" i="4"/>
  <c r="C33" i="4"/>
  <c r="E33" i="4"/>
  <c r="C25" i="4"/>
  <c r="E25" i="4"/>
  <c r="C17" i="4"/>
  <c r="E17" i="4"/>
  <c r="C48" i="4"/>
  <c r="E48" i="4"/>
  <c r="C62" i="4"/>
  <c r="E62" i="4"/>
  <c r="C46" i="4"/>
  <c r="E46" i="4"/>
  <c r="E63" i="4"/>
  <c r="C63" i="4"/>
  <c r="E36" i="4"/>
  <c r="C36" i="4"/>
  <c r="E12" i="4"/>
  <c r="D12" i="4"/>
  <c r="C12" i="4"/>
  <c r="C215" i="4"/>
  <c r="E215" i="4"/>
  <c r="E240" i="4"/>
  <c r="C240" i="4"/>
  <c r="E169" i="4"/>
  <c r="C169" i="4"/>
  <c r="E177" i="4"/>
  <c r="C177" i="4"/>
  <c r="E185" i="4"/>
  <c r="C185" i="4"/>
  <c r="E193" i="4"/>
  <c r="C193" i="4"/>
  <c r="E201" i="4"/>
  <c r="C201" i="4"/>
  <c r="E212" i="4"/>
  <c r="C212" i="4"/>
  <c r="E234" i="4"/>
  <c r="C234" i="4"/>
  <c r="E249" i="4"/>
  <c r="C249" i="4"/>
  <c r="E264" i="4"/>
  <c r="C264" i="4"/>
  <c r="E290" i="4"/>
  <c r="C290" i="4"/>
  <c r="C223" i="4"/>
  <c r="E223" i="4"/>
  <c r="C231" i="4"/>
  <c r="E231" i="4"/>
  <c r="C239" i="4"/>
  <c r="E239" i="4"/>
  <c r="E247" i="4"/>
  <c r="C247" i="4"/>
  <c r="C261" i="4"/>
  <c r="E261" i="4"/>
  <c r="E276" i="4"/>
  <c r="C276" i="4"/>
  <c r="C309" i="4"/>
  <c r="E309" i="4"/>
  <c r="E262" i="4"/>
  <c r="C262" i="4"/>
  <c r="E278" i="4"/>
  <c r="C278" i="4"/>
  <c r="C313" i="4"/>
  <c r="E313" i="4"/>
  <c r="E316" i="4"/>
  <c r="C316" i="4"/>
  <c r="C275" i="4"/>
  <c r="E275" i="4"/>
  <c r="C283" i="4"/>
  <c r="E283" i="4"/>
  <c r="C291" i="4"/>
  <c r="E291" i="4"/>
  <c r="C299" i="4"/>
  <c r="E299" i="4"/>
  <c r="C311" i="4"/>
  <c r="E311" i="4"/>
  <c r="E304" i="4"/>
  <c r="C304" i="4"/>
  <c r="E328" i="4"/>
  <c r="C328" i="4"/>
  <c r="C319" i="4"/>
  <c r="E319" i="4"/>
  <c r="C327" i="4"/>
  <c r="E327" i="4"/>
  <c r="E348" i="4"/>
  <c r="C348" i="4"/>
  <c r="C334" i="4"/>
  <c r="E334" i="4"/>
  <c r="E346" i="4"/>
  <c r="C346" i="4"/>
  <c r="E362" i="4"/>
  <c r="C362" i="4"/>
  <c r="E344" i="4"/>
  <c r="C344" i="4"/>
  <c r="E360" i="4"/>
  <c r="C360" i="4"/>
  <c r="E331" i="4"/>
  <c r="C331" i="4"/>
  <c r="E342" i="4"/>
  <c r="C342" i="4"/>
  <c r="E358" i="4"/>
  <c r="C358" i="4"/>
  <c r="E167" i="4"/>
  <c r="C167" i="4"/>
  <c r="E51" i="4"/>
  <c r="C51" i="4"/>
  <c r="C39" i="4"/>
  <c r="E39" i="4"/>
  <c r="C31" i="4"/>
  <c r="E31" i="4"/>
  <c r="C23" i="4"/>
  <c r="E23" i="4"/>
  <c r="C15" i="4"/>
  <c r="E15" i="4"/>
  <c r="E32" i="4"/>
  <c r="C32" i="4"/>
  <c r="E61" i="4"/>
  <c r="C61" i="4"/>
  <c r="E45" i="4"/>
  <c r="C45" i="4"/>
  <c r="E55" i="4"/>
  <c r="C55" i="4"/>
  <c r="E24" i="4"/>
  <c r="C24" i="4"/>
  <c r="E89" i="2"/>
  <c r="C149" i="2"/>
  <c r="E188" i="2"/>
  <c r="E88" i="2"/>
  <c r="E125" i="2"/>
  <c r="C115" i="2"/>
  <c r="C139" i="2"/>
  <c r="C167" i="2"/>
  <c r="E348" i="2"/>
  <c r="E209" i="2"/>
  <c r="E245" i="2"/>
  <c r="E62" i="3"/>
  <c r="C62" i="3"/>
  <c r="E22" i="3"/>
  <c r="C22" i="3"/>
  <c r="E138" i="3"/>
  <c r="C138" i="3"/>
  <c r="C353" i="3"/>
  <c r="E353" i="3"/>
  <c r="E335" i="3"/>
  <c r="C335" i="3"/>
  <c r="E354" i="3"/>
  <c r="C354" i="3"/>
  <c r="E340" i="3"/>
  <c r="C340" i="3"/>
  <c r="E142" i="3"/>
  <c r="C142" i="3"/>
  <c r="E92" i="3"/>
  <c r="C92" i="3"/>
  <c r="E68" i="3"/>
  <c r="C68" i="3"/>
  <c r="E28" i="3"/>
  <c r="C28" i="3"/>
  <c r="C117" i="3"/>
  <c r="E117" i="3"/>
  <c r="C165" i="3"/>
  <c r="E165" i="3"/>
  <c r="C123" i="3"/>
  <c r="E123" i="3"/>
  <c r="C171" i="3"/>
  <c r="E171" i="3"/>
  <c r="E206" i="3"/>
  <c r="C206" i="3"/>
  <c r="E104" i="3"/>
  <c r="C104" i="3"/>
  <c r="E152" i="3"/>
  <c r="C152" i="3"/>
  <c r="E168" i="3"/>
  <c r="C168" i="3"/>
  <c r="E192" i="3"/>
  <c r="C192" i="3"/>
  <c r="C213" i="3"/>
  <c r="E213" i="3"/>
  <c r="E230" i="3"/>
  <c r="C230" i="3"/>
  <c r="E246" i="3"/>
  <c r="C246" i="3"/>
  <c r="C266" i="3"/>
  <c r="E266" i="3"/>
  <c r="C177" i="3"/>
  <c r="E177" i="3"/>
  <c r="C185" i="3"/>
  <c r="E185" i="3"/>
  <c r="C193" i="3"/>
  <c r="E193" i="3"/>
  <c r="C201" i="3"/>
  <c r="E201" i="3"/>
  <c r="E210" i="3"/>
  <c r="C210" i="3"/>
  <c r="E271" i="3"/>
  <c r="C271" i="3"/>
  <c r="C217" i="3"/>
  <c r="E217" i="3"/>
  <c r="E232" i="3"/>
  <c r="C232" i="3"/>
  <c r="E248" i="3"/>
  <c r="C248" i="3"/>
  <c r="C221" i="3"/>
  <c r="E221" i="3"/>
  <c r="C229" i="3"/>
  <c r="E229" i="3"/>
  <c r="C237" i="3"/>
  <c r="E237" i="3"/>
  <c r="C245" i="3"/>
  <c r="E245" i="3"/>
  <c r="C252" i="3"/>
  <c r="E252" i="3"/>
  <c r="E273" i="3"/>
  <c r="C273" i="3"/>
  <c r="E257" i="3"/>
  <c r="C257" i="3"/>
  <c r="E275" i="3"/>
  <c r="C275" i="3"/>
  <c r="E329" i="3"/>
  <c r="C329" i="3"/>
  <c r="E265" i="3"/>
  <c r="C265" i="3"/>
  <c r="E293" i="3"/>
  <c r="C293" i="3"/>
  <c r="C303" i="3"/>
  <c r="E303" i="3"/>
  <c r="E339" i="3"/>
  <c r="C339" i="3"/>
  <c r="C272" i="3"/>
  <c r="E272" i="3"/>
  <c r="C280" i="3"/>
  <c r="E280" i="3"/>
  <c r="C288" i="3"/>
  <c r="E288" i="3"/>
  <c r="C296" i="3"/>
  <c r="E296" i="3"/>
  <c r="C322" i="3"/>
  <c r="E322" i="3"/>
  <c r="C305" i="3"/>
  <c r="E305" i="3"/>
  <c r="E319" i="3"/>
  <c r="C319" i="3"/>
  <c r="E323" i="3"/>
  <c r="C323" i="3"/>
  <c r="C341" i="3"/>
  <c r="E341" i="3"/>
  <c r="E306" i="3"/>
  <c r="C306" i="3"/>
  <c r="E314" i="3"/>
  <c r="C314" i="3"/>
  <c r="E358" i="3"/>
  <c r="C358" i="3"/>
  <c r="C330" i="3"/>
  <c r="E330" i="3"/>
  <c r="C338" i="3"/>
  <c r="E338" i="3"/>
  <c r="C355" i="3"/>
  <c r="E355" i="3"/>
  <c r="E344" i="3"/>
  <c r="C344" i="3"/>
  <c r="E362" i="3"/>
  <c r="C362" i="3"/>
  <c r="C361" i="3"/>
  <c r="E361" i="3"/>
  <c r="C369" i="3"/>
  <c r="E369" i="3"/>
  <c r="C127" i="3"/>
  <c r="E127" i="3"/>
  <c r="E126" i="3"/>
  <c r="E202" i="3"/>
  <c r="C202" i="3"/>
  <c r="E118" i="3"/>
  <c r="C118" i="3"/>
  <c r="C93" i="3"/>
  <c r="E93" i="3"/>
  <c r="C85" i="3"/>
  <c r="E85" i="3"/>
  <c r="C77" i="3"/>
  <c r="E77" i="3"/>
  <c r="C69" i="3"/>
  <c r="E69" i="3"/>
  <c r="C61" i="3"/>
  <c r="E61" i="3"/>
  <c r="C53" i="3"/>
  <c r="E53" i="3"/>
  <c r="C45" i="3"/>
  <c r="E45" i="3"/>
  <c r="C37" i="3"/>
  <c r="E37" i="3"/>
  <c r="C29" i="3"/>
  <c r="E29" i="3"/>
  <c r="C21" i="3"/>
  <c r="E21" i="3"/>
  <c r="C13" i="3"/>
  <c r="E13" i="3"/>
  <c r="E178" i="3"/>
  <c r="E94" i="3"/>
  <c r="C94" i="3"/>
  <c r="C78" i="3"/>
  <c r="E78" i="3"/>
  <c r="E54" i="3"/>
  <c r="C54" i="3"/>
  <c r="E38" i="3"/>
  <c r="C38" i="3"/>
  <c r="E14" i="3"/>
  <c r="C14" i="3"/>
  <c r="E132" i="3"/>
  <c r="C132" i="3"/>
  <c r="E180" i="3"/>
  <c r="C180" i="3"/>
  <c r="E106" i="3"/>
  <c r="C106" i="3"/>
  <c r="E154" i="3"/>
  <c r="C154" i="3"/>
  <c r="E198" i="3"/>
  <c r="C198" i="3"/>
  <c r="C113" i="3"/>
  <c r="E113" i="3"/>
  <c r="C145" i="3"/>
  <c r="E145" i="3"/>
  <c r="E184" i="3"/>
  <c r="C184" i="3"/>
  <c r="E226" i="3"/>
  <c r="C226" i="3"/>
  <c r="E261" i="3"/>
  <c r="C261" i="3"/>
  <c r="C183" i="3"/>
  <c r="E183" i="3"/>
  <c r="C199" i="3"/>
  <c r="E199" i="3"/>
  <c r="C254" i="3"/>
  <c r="E254" i="3"/>
  <c r="E228" i="3"/>
  <c r="C228" i="3"/>
  <c r="C219" i="3"/>
  <c r="E219" i="3"/>
  <c r="C235" i="3"/>
  <c r="E235" i="3"/>
  <c r="E251" i="3"/>
  <c r="C251" i="3"/>
  <c r="E297" i="3"/>
  <c r="C297" i="3"/>
  <c r="E299" i="3"/>
  <c r="C299" i="3"/>
  <c r="E285" i="3"/>
  <c r="C285" i="3"/>
  <c r="C315" i="3"/>
  <c r="E315" i="3"/>
  <c r="C278" i="3"/>
  <c r="E278" i="3"/>
  <c r="C294" i="3"/>
  <c r="E294" i="3"/>
  <c r="C317" i="3"/>
  <c r="E317" i="3"/>
  <c r="E312" i="3"/>
  <c r="C312" i="3"/>
  <c r="C336" i="3"/>
  <c r="E336" i="3"/>
  <c r="E356" i="3"/>
  <c r="C356" i="3"/>
  <c r="C367" i="3"/>
  <c r="E367" i="3"/>
  <c r="C101" i="3"/>
  <c r="E101" i="3"/>
  <c r="C135" i="3"/>
  <c r="E135" i="3"/>
  <c r="C87" i="3"/>
  <c r="E87" i="3"/>
  <c r="E71" i="3"/>
  <c r="C71" i="3"/>
  <c r="C55" i="3"/>
  <c r="E55" i="3"/>
  <c r="C39" i="3"/>
  <c r="E39" i="3"/>
  <c r="C23" i="3"/>
  <c r="E23" i="3"/>
  <c r="C151" i="3"/>
  <c r="E151" i="3"/>
  <c r="E84" i="3"/>
  <c r="C84" i="3"/>
  <c r="E60" i="3"/>
  <c r="C60" i="3"/>
  <c r="E36" i="3"/>
  <c r="C36" i="3"/>
  <c r="E20" i="3"/>
  <c r="C20" i="3"/>
  <c r="C133" i="3"/>
  <c r="E133" i="3"/>
  <c r="E188" i="3"/>
  <c r="C188" i="3"/>
  <c r="C155" i="3"/>
  <c r="E155" i="3"/>
  <c r="E136" i="3"/>
  <c r="C136" i="3"/>
  <c r="E134" i="3"/>
  <c r="C134" i="3"/>
  <c r="E98" i="3"/>
  <c r="C98" i="3"/>
  <c r="E90" i="3"/>
  <c r="C90" i="3"/>
  <c r="C82" i="3"/>
  <c r="E82" i="3"/>
  <c r="E74" i="3"/>
  <c r="C74" i="3"/>
  <c r="E66" i="3"/>
  <c r="C66" i="3"/>
  <c r="E58" i="3"/>
  <c r="C58" i="3"/>
  <c r="E50" i="3"/>
  <c r="C50" i="3"/>
  <c r="E42" i="3"/>
  <c r="C42" i="3"/>
  <c r="E34" i="3"/>
  <c r="C34" i="3"/>
  <c r="E26" i="3"/>
  <c r="C26" i="3"/>
  <c r="E18" i="3"/>
  <c r="C18" i="3"/>
  <c r="E108" i="3"/>
  <c r="C108" i="3"/>
  <c r="E124" i="3"/>
  <c r="C124" i="3"/>
  <c r="E140" i="3"/>
  <c r="C140" i="3"/>
  <c r="E156" i="3"/>
  <c r="C156" i="3"/>
  <c r="E172" i="3"/>
  <c r="C172" i="3"/>
  <c r="E196" i="3"/>
  <c r="C196" i="3"/>
  <c r="E114" i="3"/>
  <c r="C114" i="3"/>
  <c r="E130" i="3"/>
  <c r="C130" i="3"/>
  <c r="E146" i="3"/>
  <c r="C146" i="3"/>
  <c r="E162" i="3"/>
  <c r="C162" i="3"/>
  <c r="E182" i="3"/>
  <c r="C182" i="3"/>
  <c r="E214" i="3"/>
  <c r="C214" i="3"/>
  <c r="C105" i="3"/>
  <c r="E105" i="3"/>
  <c r="C121" i="3"/>
  <c r="E121" i="3"/>
  <c r="C137" i="3"/>
  <c r="E137" i="3"/>
  <c r="C153" i="3"/>
  <c r="E153" i="3"/>
  <c r="C169" i="3"/>
  <c r="E169" i="3"/>
  <c r="E200" i="3"/>
  <c r="C200" i="3"/>
  <c r="E218" i="3"/>
  <c r="C218" i="3"/>
  <c r="E234" i="3"/>
  <c r="C234" i="3"/>
  <c r="E250" i="3"/>
  <c r="C250" i="3"/>
  <c r="E295" i="3"/>
  <c r="C295" i="3"/>
  <c r="C179" i="3"/>
  <c r="E179" i="3"/>
  <c r="C187" i="3"/>
  <c r="E187" i="3"/>
  <c r="C195" i="3"/>
  <c r="E195" i="3"/>
  <c r="C203" i="3"/>
  <c r="E203" i="3"/>
  <c r="C211" i="3"/>
  <c r="E211" i="3"/>
  <c r="E208" i="3"/>
  <c r="C208" i="3"/>
  <c r="E220" i="3"/>
  <c r="C220" i="3"/>
  <c r="E236" i="3"/>
  <c r="C236" i="3"/>
  <c r="C262" i="3"/>
  <c r="E262" i="3"/>
  <c r="C223" i="3"/>
  <c r="E223" i="3"/>
  <c r="C231" i="3"/>
  <c r="E231" i="3"/>
  <c r="C239" i="3"/>
  <c r="E239" i="3"/>
  <c r="C247" i="3"/>
  <c r="E247" i="3"/>
  <c r="E259" i="3"/>
  <c r="C259" i="3"/>
  <c r="E281" i="3"/>
  <c r="C281" i="3"/>
  <c r="C258" i="3"/>
  <c r="E258" i="3"/>
  <c r="E283" i="3"/>
  <c r="C283" i="3"/>
  <c r="C345" i="3"/>
  <c r="E345" i="3"/>
  <c r="E269" i="3"/>
  <c r="C269" i="3"/>
  <c r="E301" i="3"/>
  <c r="C301" i="3"/>
  <c r="C307" i="3"/>
  <c r="E307" i="3"/>
  <c r="E342" i="3"/>
  <c r="C342" i="3"/>
  <c r="C274" i="3"/>
  <c r="E274" i="3"/>
  <c r="C282" i="3"/>
  <c r="E282" i="3"/>
  <c r="C290" i="3"/>
  <c r="E290" i="3"/>
  <c r="C298" i="3"/>
  <c r="E298" i="3"/>
  <c r="E325" i="3"/>
  <c r="C325" i="3"/>
  <c r="C309" i="3"/>
  <c r="E309" i="3"/>
  <c r="C320" i="3"/>
  <c r="E320" i="3"/>
  <c r="E327" i="3"/>
  <c r="C327" i="3"/>
  <c r="C349" i="3"/>
  <c r="E349" i="3"/>
  <c r="E308" i="3"/>
  <c r="C308" i="3"/>
  <c r="E316" i="3"/>
  <c r="C316" i="3"/>
  <c r="C324" i="3"/>
  <c r="E324" i="3"/>
  <c r="C332" i="3"/>
  <c r="E332" i="3"/>
  <c r="C343" i="3"/>
  <c r="E343" i="3"/>
  <c r="E360" i="3"/>
  <c r="C360" i="3"/>
  <c r="E348" i="3"/>
  <c r="C348" i="3"/>
  <c r="E370" i="3"/>
  <c r="C370" i="3"/>
  <c r="C363" i="3"/>
  <c r="E363" i="3"/>
  <c r="C371" i="3"/>
  <c r="E371" i="3"/>
  <c r="E110" i="3"/>
  <c r="C110" i="3"/>
  <c r="C143" i="3"/>
  <c r="E143" i="3"/>
  <c r="C167" i="3"/>
  <c r="E167" i="3"/>
  <c r="C91" i="3"/>
  <c r="E91" i="3"/>
  <c r="C83" i="3"/>
  <c r="E83" i="3"/>
  <c r="C75" i="3"/>
  <c r="E75" i="3"/>
  <c r="C67" i="3"/>
  <c r="E67" i="3"/>
  <c r="C59" i="3"/>
  <c r="E59" i="3"/>
  <c r="C51" i="3"/>
  <c r="E51" i="3"/>
  <c r="C43" i="3"/>
  <c r="E43" i="3"/>
  <c r="C35" i="3"/>
  <c r="E35" i="3"/>
  <c r="C27" i="3"/>
  <c r="E27" i="3"/>
  <c r="C19" i="3"/>
  <c r="E19" i="3"/>
  <c r="C215" i="3"/>
  <c r="E215" i="3"/>
  <c r="E166" i="3"/>
  <c r="C166" i="3"/>
  <c r="E86" i="3"/>
  <c r="C86" i="3"/>
  <c r="C70" i="3"/>
  <c r="E70" i="3"/>
  <c r="E46" i="3"/>
  <c r="C46" i="3"/>
  <c r="E30" i="3"/>
  <c r="C30" i="3"/>
  <c r="E116" i="3"/>
  <c r="C116" i="3"/>
  <c r="E148" i="3"/>
  <c r="C148" i="3"/>
  <c r="E164" i="3"/>
  <c r="C164" i="3"/>
  <c r="E122" i="3"/>
  <c r="C122" i="3"/>
  <c r="E170" i="3"/>
  <c r="C170" i="3"/>
  <c r="E102" i="3"/>
  <c r="C102" i="3"/>
  <c r="C129" i="3"/>
  <c r="E129" i="3"/>
  <c r="C161" i="3"/>
  <c r="E161" i="3"/>
  <c r="E212" i="3"/>
  <c r="C212" i="3"/>
  <c r="E242" i="3"/>
  <c r="C242" i="3"/>
  <c r="C175" i="3"/>
  <c r="E175" i="3"/>
  <c r="C191" i="3"/>
  <c r="E191" i="3"/>
  <c r="C207" i="3"/>
  <c r="E207" i="3"/>
  <c r="E216" i="3"/>
  <c r="C216" i="3"/>
  <c r="E244" i="3"/>
  <c r="C244" i="3"/>
  <c r="C227" i="3"/>
  <c r="E227" i="3"/>
  <c r="C243" i="3"/>
  <c r="E243" i="3"/>
  <c r="E267" i="3"/>
  <c r="C267" i="3"/>
  <c r="C268" i="3"/>
  <c r="E268" i="3"/>
  <c r="E263" i="3"/>
  <c r="C263" i="3"/>
  <c r="E302" i="3"/>
  <c r="C302" i="3"/>
  <c r="C270" i="3"/>
  <c r="E270" i="3"/>
  <c r="C286" i="3"/>
  <c r="E286" i="3"/>
  <c r="E321" i="3"/>
  <c r="C321" i="3"/>
  <c r="C318" i="3"/>
  <c r="E318" i="3"/>
  <c r="E304" i="3"/>
  <c r="C304" i="3"/>
  <c r="C328" i="3"/>
  <c r="E328" i="3"/>
  <c r="C351" i="3"/>
  <c r="E351" i="3"/>
  <c r="C359" i="3"/>
  <c r="E359" i="3"/>
  <c r="C95" i="3"/>
  <c r="E95" i="3"/>
  <c r="E79" i="3"/>
  <c r="C79" i="3"/>
  <c r="C63" i="3"/>
  <c r="E63" i="3"/>
  <c r="C47" i="3"/>
  <c r="E47" i="3"/>
  <c r="C31" i="3"/>
  <c r="E31" i="3"/>
  <c r="C15" i="3"/>
  <c r="E15" i="3"/>
  <c r="E158" i="3"/>
  <c r="C158" i="3"/>
  <c r="E99" i="3"/>
  <c r="C99" i="3"/>
  <c r="E76" i="3"/>
  <c r="C76" i="3"/>
  <c r="E52" i="3"/>
  <c r="C52" i="3"/>
  <c r="E44" i="3"/>
  <c r="C44" i="3"/>
  <c r="E12" i="3"/>
  <c r="D12" i="3"/>
  <c r="I12" i="3" s="1"/>
  <c r="C12" i="3"/>
  <c r="C149" i="3"/>
  <c r="E149" i="3"/>
  <c r="C107" i="3"/>
  <c r="E107" i="3"/>
  <c r="C139" i="3"/>
  <c r="E139" i="3"/>
  <c r="E120" i="3"/>
  <c r="C120" i="3"/>
  <c r="E186" i="3"/>
  <c r="C186" i="3"/>
  <c r="C119" i="3"/>
  <c r="E119" i="3"/>
  <c r="E96" i="3"/>
  <c r="C96" i="3"/>
  <c r="E88" i="3"/>
  <c r="C88" i="3"/>
  <c r="E80" i="3"/>
  <c r="C80" i="3"/>
  <c r="E72" i="3"/>
  <c r="C72" i="3"/>
  <c r="C64" i="3"/>
  <c r="E64" i="3"/>
  <c r="E56" i="3"/>
  <c r="C56" i="3"/>
  <c r="E48" i="3"/>
  <c r="C48" i="3"/>
  <c r="E40" i="3"/>
  <c r="C40" i="3"/>
  <c r="E32" i="3"/>
  <c r="C32" i="3"/>
  <c r="E24" i="3"/>
  <c r="C24" i="3"/>
  <c r="E16" i="3"/>
  <c r="C16" i="3"/>
  <c r="C109" i="3"/>
  <c r="E109" i="3"/>
  <c r="C125" i="3"/>
  <c r="E125" i="3"/>
  <c r="C141" i="3"/>
  <c r="E141" i="3"/>
  <c r="C157" i="3"/>
  <c r="E157" i="3"/>
  <c r="E174" i="3"/>
  <c r="C174" i="3"/>
  <c r="E204" i="3"/>
  <c r="C204" i="3"/>
  <c r="C115" i="3"/>
  <c r="E115" i="3"/>
  <c r="C131" i="3"/>
  <c r="E131" i="3"/>
  <c r="C147" i="3"/>
  <c r="E147" i="3"/>
  <c r="C163" i="3"/>
  <c r="E163" i="3"/>
  <c r="E190" i="3"/>
  <c r="C190" i="3"/>
  <c r="C100" i="3"/>
  <c r="E100" i="3"/>
  <c r="E112" i="3"/>
  <c r="C112" i="3"/>
  <c r="E128" i="3"/>
  <c r="C128" i="3"/>
  <c r="E144" i="3"/>
  <c r="C144" i="3"/>
  <c r="E160" i="3"/>
  <c r="C160" i="3"/>
  <c r="E176" i="3"/>
  <c r="C176" i="3"/>
  <c r="E287" i="3"/>
  <c r="C287" i="3"/>
  <c r="E222" i="3"/>
  <c r="C222" i="3"/>
  <c r="E238" i="3"/>
  <c r="C238" i="3"/>
  <c r="E255" i="3"/>
  <c r="C255" i="3"/>
  <c r="C173" i="3"/>
  <c r="E173" i="3"/>
  <c r="C181" i="3"/>
  <c r="E181" i="3"/>
  <c r="C189" i="3"/>
  <c r="E189" i="3"/>
  <c r="C197" i="3"/>
  <c r="E197" i="3"/>
  <c r="C205" i="3"/>
  <c r="E205" i="3"/>
  <c r="E253" i="3"/>
  <c r="C253" i="3"/>
  <c r="C209" i="3"/>
  <c r="E209" i="3"/>
  <c r="E224" i="3"/>
  <c r="C224" i="3"/>
  <c r="E240" i="3"/>
  <c r="C240" i="3"/>
  <c r="E279" i="3"/>
  <c r="C279" i="3"/>
  <c r="C225" i="3"/>
  <c r="E225" i="3"/>
  <c r="C233" i="3"/>
  <c r="E233" i="3"/>
  <c r="C241" i="3"/>
  <c r="E241" i="3"/>
  <c r="C249" i="3"/>
  <c r="E249" i="3"/>
  <c r="C260" i="3"/>
  <c r="E260" i="3"/>
  <c r="E289" i="3"/>
  <c r="C289" i="3"/>
  <c r="C264" i="3"/>
  <c r="E264" i="3"/>
  <c r="E291" i="3"/>
  <c r="C291" i="3"/>
  <c r="C256" i="3"/>
  <c r="E256" i="3"/>
  <c r="E277" i="3"/>
  <c r="C277" i="3"/>
  <c r="E337" i="3"/>
  <c r="C337" i="3"/>
  <c r="C311" i="3"/>
  <c r="E311" i="3"/>
  <c r="E366" i="3"/>
  <c r="C366" i="3"/>
  <c r="C276" i="3"/>
  <c r="E276" i="3"/>
  <c r="C284" i="3"/>
  <c r="E284" i="3"/>
  <c r="C292" i="3"/>
  <c r="E292" i="3"/>
  <c r="C300" i="3"/>
  <c r="E300" i="3"/>
  <c r="E333" i="3"/>
  <c r="C333" i="3"/>
  <c r="C313" i="3"/>
  <c r="E313" i="3"/>
  <c r="E350" i="3"/>
  <c r="C350" i="3"/>
  <c r="E331" i="3"/>
  <c r="C331" i="3"/>
  <c r="E364" i="3"/>
  <c r="C364" i="3"/>
  <c r="E310" i="3"/>
  <c r="C310" i="3"/>
  <c r="E346" i="3"/>
  <c r="C346" i="3"/>
  <c r="C326" i="3"/>
  <c r="E326" i="3"/>
  <c r="C334" i="3"/>
  <c r="E334" i="3"/>
  <c r="C347" i="3"/>
  <c r="E347" i="3"/>
  <c r="E368" i="3"/>
  <c r="C368" i="3"/>
  <c r="E352" i="3"/>
  <c r="C352" i="3"/>
  <c r="C357" i="3"/>
  <c r="E357" i="3"/>
  <c r="C365" i="3"/>
  <c r="E365" i="3"/>
  <c r="C159" i="3"/>
  <c r="E159" i="3"/>
  <c r="E103" i="3"/>
  <c r="E150" i="3"/>
  <c r="C150" i="3"/>
  <c r="C97" i="3"/>
  <c r="E97" i="3"/>
  <c r="C89" i="3"/>
  <c r="E89" i="3"/>
  <c r="C81" i="3"/>
  <c r="E81" i="3"/>
  <c r="C73" i="3"/>
  <c r="E73" i="3"/>
  <c r="C65" i="3"/>
  <c r="E65" i="3"/>
  <c r="C57" i="3"/>
  <c r="E57" i="3"/>
  <c r="C49" i="3"/>
  <c r="E49" i="3"/>
  <c r="C41" i="3"/>
  <c r="E41" i="3"/>
  <c r="C33" i="3"/>
  <c r="E33" i="3"/>
  <c r="C25" i="3"/>
  <c r="E25" i="3"/>
  <c r="C17" i="3"/>
  <c r="E17" i="3"/>
  <c r="E194" i="3"/>
  <c r="C194" i="3"/>
  <c r="E109" i="2"/>
  <c r="E99" i="2"/>
  <c r="E249" i="2"/>
  <c r="E60" i="2"/>
  <c r="E94" i="2"/>
  <c r="E223" i="2"/>
  <c r="E364" i="2"/>
  <c r="E259" i="2"/>
  <c r="E285" i="2"/>
  <c r="E273" i="2"/>
  <c r="E97" i="2"/>
  <c r="E307" i="2"/>
  <c r="E221" i="2"/>
  <c r="E203" i="2"/>
  <c r="E217" i="2"/>
  <c r="E283" i="2"/>
  <c r="E360" i="2"/>
  <c r="E297" i="2"/>
  <c r="E301" i="2"/>
  <c r="E215" i="2"/>
  <c r="E311" i="2"/>
  <c r="E237" i="2"/>
  <c r="E352" i="2"/>
  <c r="E287" i="2"/>
  <c r="E293" i="2"/>
  <c r="E309" i="2"/>
  <c r="E371" i="2"/>
  <c r="E327" i="2"/>
  <c r="E368" i="2"/>
  <c r="E341" i="2"/>
  <c r="E359" i="2"/>
  <c r="E279" i="2"/>
  <c r="E201" i="2"/>
  <c r="E219" i="2"/>
  <c r="E313" i="2"/>
  <c r="E295" i="2"/>
  <c r="E72" i="2"/>
  <c r="E243" i="2"/>
  <c r="E355" i="2"/>
  <c r="E251" i="2"/>
  <c r="E233" i="2"/>
  <c r="E299" i="2"/>
  <c r="E189" i="2"/>
  <c r="E367" i="2"/>
  <c r="E231" i="2"/>
  <c r="E76" i="2"/>
  <c r="E366" i="2"/>
  <c r="E354" i="2"/>
  <c r="E356" i="2"/>
  <c r="E289" i="2"/>
  <c r="E343" i="2"/>
  <c r="E199" i="2"/>
  <c r="E363" i="2"/>
  <c r="E241" i="2"/>
  <c r="E205" i="2"/>
  <c r="E351" i="2"/>
  <c r="E291" i="2"/>
  <c r="E358" i="2"/>
  <c r="E281" i="2"/>
  <c r="E325" i="2"/>
  <c r="E315" i="2"/>
  <c r="E267" i="2"/>
  <c r="E361" i="2"/>
  <c r="E357" i="2"/>
  <c r="E353" i="2"/>
  <c r="E349" i="2"/>
  <c r="E275" i="2"/>
  <c r="E333" i="2"/>
  <c r="E277" i="2"/>
  <c r="E193" i="2"/>
  <c r="E207" i="2"/>
  <c r="E271" i="2"/>
  <c r="E28" i="2"/>
  <c r="E370" i="2"/>
  <c r="E319" i="2"/>
  <c r="E350" i="2"/>
  <c r="E369" i="2"/>
  <c r="E365" i="2"/>
  <c r="E127" i="2"/>
  <c r="E317" i="2"/>
  <c r="E239" i="2"/>
  <c r="E181" i="2"/>
  <c r="E171" i="2"/>
  <c r="E303" i="2"/>
  <c r="E257" i="2"/>
  <c r="E255" i="2"/>
  <c r="E253" i="2"/>
  <c r="E183" i="2"/>
  <c r="E175" i="2"/>
  <c r="E119" i="2"/>
  <c r="E211" i="2"/>
  <c r="E229" i="2"/>
  <c r="E225" i="2"/>
  <c r="E191" i="2"/>
  <c r="E57" i="2"/>
  <c r="E78" i="2"/>
  <c r="E113" i="2"/>
  <c r="E133" i="2"/>
  <c r="E195" i="2"/>
  <c r="E213" i="2"/>
  <c r="E135" i="2"/>
  <c r="E247" i="2"/>
  <c r="E265" i="2"/>
  <c r="E362" i="2"/>
  <c r="E335" i="2"/>
  <c r="E173" i="2"/>
  <c r="E197" i="2"/>
  <c r="E305" i="2"/>
  <c r="E105" i="2"/>
  <c r="E269" i="2"/>
  <c r="E263" i="2"/>
  <c r="E235" i="2"/>
  <c r="E52" i="2"/>
  <c r="E114" i="2"/>
  <c r="E110" i="2"/>
  <c r="E136" i="2"/>
  <c r="C116" i="2"/>
  <c r="E73" i="2"/>
  <c r="E65" i="2"/>
  <c r="C130" i="2"/>
  <c r="E87" i="2"/>
  <c r="C166" i="2"/>
  <c r="E51" i="2"/>
  <c r="E98" i="2"/>
  <c r="E12" i="2"/>
  <c r="E48" i="2"/>
  <c r="C52" i="2"/>
  <c r="C61" i="2"/>
  <c r="E96" i="2"/>
  <c r="C90" i="2"/>
  <c r="C131" i="2"/>
  <c r="C136" i="2"/>
  <c r="E155" i="2"/>
  <c r="C108" i="2"/>
  <c r="E141" i="2"/>
  <c r="E146" i="2"/>
  <c r="E166" i="2"/>
  <c r="E131" i="2"/>
  <c r="D12" i="2"/>
  <c r="I12" i="2" s="1"/>
  <c r="E61" i="2"/>
  <c r="E75" i="2"/>
  <c r="E116" i="2"/>
  <c r="C51" i="2"/>
  <c r="E90" i="2"/>
  <c r="E130" i="2"/>
  <c r="C155" i="2"/>
  <c r="C87" i="2"/>
  <c r="E108" i="2"/>
  <c r="C141" i="2"/>
  <c r="C96" i="2"/>
  <c r="E129" i="2"/>
  <c r="E74" i="2"/>
  <c r="C74" i="2"/>
  <c r="C49" i="2"/>
  <c r="C50" i="2"/>
  <c r="C88" i="2"/>
  <c r="E83" i="2"/>
  <c r="C126" i="2"/>
  <c r="C153" i="2"/>
  <c r="E165" i="2"/>
  <c r="C62" i="2"/>
  <c r="E70" i="2"/>
  <c r="C26" i="2"/>
  <c r="E137" i="2"/>
  <c r="E84" i="2"/>
  <c r="E82" i="2"/>
  <c r="C67" i="2"/>
  <c r="E38" i="2"/>
  <c r="C38" i="2"/>
  <c r="E121" i="2"/>
  <c r="C110" i="2"/>
  <c r="E49" i="2"/>
  <c r="E46" i="2"/>
  <c r="E58" i="2"/>
  <c r="C83" i="2"/>
  <c r="C105" i="2"/>
  <c r="C86" i="2"/>
  <c r="C95" i="2"/>
  <c r="C143" i="2"/>
  <c r="C140" i="2"/>
  <c r="E14" i="2"/>
  <c r="E62" i="2"/>
  <c r="E80" i="2"/>
  <c r="C36" i="2"/>
  <c r="E36" i="2"/>
  <c r="E66" i="2"/>
  <c r="C66" i="2"/>
  <c r="C102" i="2"/>
  <c r="E68" i="2"/>
  <c r="E95" i="2"/>
  <c r="C129" i="2"/>
  <c r="E128" i="2"/>
  <c r="E140" i="2"/>
  <c r="E153" i="2"/>
  <c r="C165" i="2"/>
  <c r="C114" i="2"/>
  <c r="C65" i="2"/>
  <c r="E30" i="2"/>
  <c r="C30" i="2"/>
  <c r="C98" i="2"/>
  <c r="C73" i="2"/>
  <c r="E111" i="2"/>
  <c r="C75" i="2"/>
  <c r="E64" i="2"/>
  <c r="C64" i="2"/>
  <c r="C34" i="2"/>
  <c r="E34" i="2"/>
  <c r="E16" i="2"/>
  <c r="E22" i="2"/>
  <c r="E18" i="2"/>
  <c r="C20" i="2"/>
  <c r="E20" i="2"/>
  <c r="C37" i="2"/>
  <c r="E37" i="2"/>
  <c r="C21" i="2"/>
  <c r="E21" i="2"/>
  <c r="E35" i="2"/>
  <c r="C35" i="2"/>
  <c r="E27" i="2"/>
  <c r="C27" i="2"/>
  <c r="E19" i="2"/>
  <c r="C19" i="2"/>
  <c r="E33" i="2"/>
  <c r="C33" i="2"/>
  <c r="E25" i="2"/>
  <c r="C25" i="2"/>
  <c r="C39" i="2"/>
  <c r="E39" i="2"/>
  <c r="C31" i="2"/>
  <c r="E31" i="2"/>
  <c r="C23" i="2"/>
  <c r="E23" i="2"/>
  <c r="C15" i="2"/>
  <c r="E15" i="2"/>
  <c r="E45" i="2"/>
  <c r="C45" i="2"/>
  <c r="E43" i="2"/>
  <c r="C43" i="2"/>
  <c r="C29" i="2"/>
  <c r="E29" i="2"/>
  <c r="C13" i="2"/>
  <c r="E13" i="2"/>
  <c r="C41" i="2"/>
  <c r="E41" i="2"/>
  <c r="E17" i="2"/>
  <c r="C17" i="2"/>
  <c r="G20" i="1" l="1"/>
  <c r="K12" i="5"/>
  <c r="F12" i="5"/>
  <c r="F12" i="4"/>
  <c r="I12" i="4"/>
  <c r="F12" i="3"/>
  <c r="G12" i="3" s="1"/>
  <c r="H12" i="3" s="1"/>
  <c r="J12" i="3" s="1"/>
  <c r="K12" i="3"/>
  <c r="F12" i="2"/>
  <c r="G12" i="2" s="1"/>
  <c r="H12" i="2" s="1"/>
  <c r="J12" i="2" s="1"/>
  <c r="K12" i="2"/>
  <c r="G12" i="5" l="1"/>
  <c r="H12" i="5" s="1"/>
  <c r="J12" i="5" s="1"/>
  <c r="G12" i="4"/>
  <c r="H12" i="4" s="1"/>
  <c r="J12" i="4" s="1"/>
  <c r="K12" i="4"/>
  <c r="D13" i="3"/>
  <c r="F13" i="3" s="1"/>
  <c r="D13" i="2"/>
  <c r="D13" i="5" l="1"/>
  <c r="D13" i="4"/>
  <c r="I13" i="3"/>
  <c r="G13" i="3"/>
  <c r="K13" i="3"/>
  <c r="I13" i="2"/>
  <c r="F13" i="2"/>
  <c r="G29" i="1"/>
  <c r="G30" i="1" s="1"/>
  <c r="F13" i="5" l="1"/>
  <c r="I13" i="5"/>
  <c r="I13" i="4"/>
  <c r="F13" i="4"/>
  <c r="H13" i="3"/>
  <c r="J13" i="3" s="1"/>
  <c r="G13" i="2"/>
  <c r="H13" i="2" s="1"/>
  <c r="J13" i="2" s="1"/>
  <c r="K13" i="2"/>
  <c r="K13" i="5" l="1"/>
  <c r="G13" i="5"/>
  <c r="H13" i="5" s="1"/>
  <c r="J13" i="5" s="1"/>
  <c r="G13" i="4"/>
  <c r="H13" i="4" s="1"/>
  <c r="J13" i="4" s="1"/>
  <c r="K13" i="4"/>
  <c r="D14" i="3"/>
  <c r="D14" i="2"/>
  <c r="D14" i="5" l="1"/>
  <c r="D14" i="4"/>
  <c r="I14" i="3"/>
  <c r="F14" i="3"/>
  <c r="I14" i="2"/>
  <c r="F14" i="2"/>
  <c r="I14" i="5" l="1"/>
  <c r="F14" i="5"/>
  <c r="F14" i="4"/>
  <c r="I14" i="4"/>
  <c r="G14" i="3"/>
  <c r="H14" i="3" s="1"/>
  <c r="J14" i="3" s="1"/>
  <c r="K14" i="3"/>
  <c r="G14" i="2"/>
  <c r="H14" i="2" s="1"/>
  <c r="J14" i="2" s="1"/>
  <c r="K14" i="2"/>
  <c r="G14" i="5" l="1"/>
  <c r="H14" i="5" s="1"/>
  <c r="J14" i="5" s="1"/>
  <c r="K14" i="5"/>
  <c r="K14" i="4"/>
  <c r="G14" i="4"/>
  <c r="H14" i="4" s="1"/>
  <c r="J14" i="4" s="1"/>
  <c r="D15" i="3"/>
  <c r="D15" i="2"/>
  <c r="D15" i="5" l="1"/>
  <c r="D15" i="4"/>
  <c r="F15" i="3"/>
  <c r="I15" i="3"/>
  <c r="K15" i="3" s="1"/>
  <c r="I15" i="2"/>
  <c r="F15" i="2"/>
  <c r="I15" i="5" l="1"/>
  <c r="F15" i="5"/>
  <c r="F15" i="4"/>
  <c r="I15" i="4"/>
  <c r="G15" i="3"/>
  <c r="H15" i="3" s="1"/>
  <c r="J15" i="3" s="1"/>
  <c r="G15" i="2"/>
  <c r="H15" i="2" s="1"/>
  <c r="J15" i="2" s="1"/>
  <c r="K15" i="2"/>
  <c r="G15" i="5" l="1"/>
  <c r="H15" i="5" s="1"/>
  <c r="J15" i="5" s="1"/>
  <c r="K15" i="5"/>
  <c r="K15" i="4"/>
  <c r="G15" i="4"/>
  <c r="H15" i="4" s="1"/>
  <c r="J15" i="4" s="1"/>
  <c r="D16" i="3"/>
  <c r="D16" i="2"/>
  <c r="D16" i="5" l="1"/>
  <c r="D16" i="4"/>
  <c r="I16" i="3"/>
  <c r="K16" i="3" s="1"/>
  <c r="F16" i="3"/>
  <c r="G16" i="3" s="1"/>
  <c r="I16" i="2"/>
  <c r="F16" i="2"/>
  <c r="H16" i="3" l="1"/>
  <c r="J16" i="3" s="1"/>
  <c r="I16" i="5"/>
  <c r="F16" i="5"/>
  <c r="I16" i="4"/>
  <c r="F16" i="4"/>
  <c r="D17" i="3"/>
  <c r="G16" i="2"/>
  <c r="H16" i="2" s="1"/>
  <c r="J16" i="2" s="1"/>
  <c r="K16" i="2"/>
  <c r="G16" i="5" l="1"/>
  <c r="H16" i="5" s="1"/>
  <c r="J16" i="5" s="1"/>
  <c r="K16" i="5"/>
  <c r="G16" i="4"/>
  <c r="H16" i="4" s="1"/>
  <c r="J16" i="4" s="1"/>
  <c r="K16" i="4"/>
  <c r="F17" i="3"/>
  <c r="G17" i="3" s="1"/>
  <c r="H17" i="3" s="1"/>
  <c r="J17" i="3" s="1"/>
  <c r="D18" i="3" s="1"/>
  <c r="I17" i="3"/>
  <c r="K17" i="3" s="1"/>
  <c r="D17" i="2"/>
  <c r="D17" i="5" l="1"/>
  <c r="D17" i="4"/>
  <c r="I18" i="3"/>
  <c r="K18" i="3" s="1"/>
  <c r="F18" i="3"/>
  <c r="G18" i="3" s="1"/>
  <c r="I17" i="2"/>
  <c r="F17" i="2"/>
  <c r="I17" i="5" l="1"/>
  <c r="K17" i="5" s="1"/>
  <c r="F17" i="5"/>
  <c r="H18" i="3"/>
  <c r="J18" i="3" s="1"/>
  <c r="D19" i="3" s="1"/>
  <c r="F19" i="3" s="1"/>
  <c r="I17" i="4"/>
  <c r="K17" i="4" s="1"/>
  <c r="F17" i="4"/>
  <c r="G17" i="4" s="1"/>
  <c r="H17" i="4" s="1"/>
  <c r="J17" i="4" s="1"/>
  <c r="D18" i="4" s="1"/>
  <c r="K17" i="2"/>
  <c r="G17" i="2"/>
  <c r="H17" i="2" s="1"/>
  <c r="J17" i="2" s="1"/>
  <c r="D18" i="2" s="1"/>
  <c r="I19" i="3" l="1"/>
  <c r="K19" i="3" s="1"/>
  <c r="G17" i="5"/>
  <c r="H17" i="5" s="1"/>
  <c r="J17" i="5" s="1"/>
  <c r="D18" i="5" s="1"/>
  <c r="F18" i="4"/>
  <c r="I18" i="4"/>
  <c r="K18" i="4" s="1"/>
  <c r="G19" i="3"/>
  <c r="H19" i="3" s="1"/>
  <c r="J19" i="3" s="1"/>
  <c r="D20" i="3" s="1"/>
  <c r="F18" i="2"/>
  <c r="I18" i="2"/>
  <c r="K18" i="2" s="1"/>
  <c r="F18" i="5" l="1"/>
  <c r="I18" i="5"/>
  <c r="K18" i="5" s="1"/>
  <c r="G18" i="4"/>
  <c r="H18" i="4" s="1"/>
  <c r="J18" i="4" s="1"/>
  <c r="D19" i="4" s="1"/>
  <c r="I20" i="3"/>
  <c r="K20" i="3" s="1"/>
  <c r="F20" i="3"/>
  <c r="G20" i="3" s="1"/>
  <c r="G18" i="2"/>
  <c r="H18" i="2" s="1"/>
  <c r="J18" i="2" s="1"/>
  <c r="D19" i="2" s="1"/>
  <c r="H20" i="3" l="1"/>
  <c r="J20" i="3" s="1"/>
  <c r="D21" i="3" s="1"/>
  <c r="I21" i="3" s="1"/>
  <c r="K21" i="3" s="1"/>
  <c r="G18" i="5"/>
  <c r="H18" i="5" s="1"/>
  <c r="J18" i="5" s="1"/>
  <c r="D19" i="5" s="1"/>
  <c r="I19" i="4"/>
  <c r="K19" i="4" s="1"/>
  <c r="F19" i="4"/>
  <c r="F19" i="2"/>
  <c r="I19" i="2"/>
  <c r="K19" i="2" s="1"/>
  <c r="F21" i="3" l="1"/>
  <c r="G21" i="3" s="1"/>
  <c r="H21" i="3" s="1"/>
  <c r="J21" i="3" s="1"/>
  <c r="D22" i="3" s="1"/>
  <c r="I22" i="3" s="1"/>
  <c r="K22" i="3" s="1"/>
  <c r="F19" i="5"/>
  <c r="G19" i="5" s="1"/>
  <c r="H19" i="5" s="1"/>
  <c r="J19" i="5" s="1"/>
  <c r="D20" i="5" s="1"/>
  <c r="I19" i="5"/>
  <c r="K19" i="5" s="1"/>
  <c r="G19" i="4"/>
  <c r="H19" i="4" s="1"/>
  <c r="J19" i="4" s="1"/>
  <c r="D20" i="4" s="1"/>
  <c r="G19" i="2"/>
  <c r="H19" i="2" s="1"/>
  <c r="J19" i="2" s="1"/>
  <c r="D20" i="2" s="1"/>
  <c r="F22" i="3" l="1"/>
  <c r="G22" i="3" s="1"/>
  <c r="H22" i="3" s="1"/>
  <c r="J22" i="3" s="1"/>
  <c r="D23" i="3" s="1"/>
  <c r="I20" i="5"/>
  <c r="K20" i="5" s="1"/>
  <c r="F20" i="5"/>
  <c r="G20" i="5" s="1"/>
  <c r="H20" i="5" s="1"/>
  <c r="J20" i="5" s="1"/>
  <c r="D21" i="5" s="1"/>
  <c r="I20" i="4"/>
  <c r="K20" i="4" s="1"/>
  <c r="F20" i="4"/>
  <c r="G20" i="4" s="1"/>
  <c r="H20" i="4" s="1"/>
  <c r="J20" i="4" s="1"/>
  <c r="D21" i="4" s="1"/>
  <c r="I20" i="2"/>
  <c r="K20" i="2" s="1"/>
  <c r="F20" i="2"/>
  <c r="I21" i="5" l="1"/>
  <c r="K21" i="5" s="1"/>
  <c r="F21" i="5"/>
  <c r="G21" i="5" s="1"/>
  <c r="H21" i="5" s="1"/>
  <c r="J21" i="5" s="1"/>
  <c r="D22" i="5" s="1"/>
  <c r="I21" i="4"/>
  <c r="K21" i="4" s="1"/>
  <c r="F21" i="4"/>
  <c r="G21" i="4" s="1"/>
  <c r="F23" i="3"/>
  <c r="I23" i="3"/>
  <c r="G20" i="2"/>
  <c r="H20" i="2" s="1"/>
  <c r="J20" i="2" s="1"/>
  <c r="D21" i="2" s="1"/>
  <c r="K23" i="3" l="1"/>
  <c r="H21" i="4"/>
  <c r="J21" i="4" s="1"/>
  <c r="D22" i="4" s="1"/>
  <c r="F22" i="4" s="1"/>
  <c r="G22" i="4" s="1"/>
  <c r="F22" i="5"/>
  <c r="I22" i="5"/>
  <c r="K22" i="5" s="1"/>
  <c r="G23" i="3"/>
  <c r="H23" i="3" s="1"/>
  <c r="J23" i="3" s="1"/>
  <c r="D24" i="3" s="1"/>
  <c r="I21" i="2"/>
  <c r="K21" i="2" s="1"/>
  <c r="F21" i="2"/>
  <c r="I22" i="4" l="1"/>
  <c r="K22" i="4" s="1"/>
  <c r="G22" i="5"/>
  <c r="H22" i="5" s="1"/>
  <c r="J22" i="5" s="1"/>
  <c r="D23" i="5" s="1"/>
  <c r="I24" i="3"/>
  <c r="K24" i="3" s="1"/>
  <c r="F24" i="3"/>
  <c r="G21" i="2"/>
  <c r="H21" i="2" s="1"/>
  <c r="J21" i="2" s="1"/>
  <c r="D22" i="2" s="1"/>
  <c r="H22" i="4" l="1"/>
  <c r="J22" i="4" s="1"/>
  <c r="D23" i="4" s="1"/>
  <c r="G47" i="1"/>
  <c r="I23" i="5"/>
  <c r="K23" i="5" s="1"/>
  <c r="F23" i="5"/>
  <c r="G24" i="3"/>
  <c r="H24" i="3" s="1"/>
  <c r="J24" i="3" s="1"/>
  <c r="D25" i="3" s="1"/>
  <c r="I22" i="2"/>
  <c r="K22" i="2" s="1"/>
  <c r="F22" i="2"/>
  <c r="I23" i="4" l="1"/>
  <c r="K23" i="4" s="1"/>
  <c r="F23" i="4"/>
  <c r="G23" i="4" s="1"/>
  <c r="G23" i="5"/>
  <c r="H23" i="5" s="1"/>
  <c r="J23" i="5" s="1"/>
  <c r="D24" i="5" s="1"/>
  <c r="F25" i="3"/>
  <c r="I25" i="3"/>
  <c r="K25" i="3" s="1"/>
  <c r="G22" i="2"/>
  <c r="H22" i="2" s="1"/>
  <c r="J22" i="2" s="1"/>
  <c r="D23" i="2" s="1"/>
  <c r="H23" i="4" l="1"/>
  <c r="J23" i="4" s="1"/>
  <c r="D24" i="4" s="1"/>
  <c r="I24" i="5"/>
  <c r="K24" i="5" s="1"/>
  <c r="F24" i="5"/>
  <c r="G24" i="5" s="1"/>
  <c r="G25" i="3"/>
  <c r="H25" i="3" s="1"/>
  <c r="J25" i="3" s="1"/>
  <c r="D26" i="3" s="1"/>
  <c r="F23" i="2"/>
  <c r="I23" i="2"/>
  <c r="H24" i="5" l="1"/>
  <c r="J24" i="5" s="1"/>
  <c r="D25" i="5" s="1"/>
  <c r="I24" i="4"/>
  <c r="K24" i="4" s="1"/>
  <c r="F24" i="4"/>
  <c r="G24" i="4" s="1"/>
  <c r="I25" i="5"/>
  <c r="K25" i="5" s="1"/>
  <c r="F25" i="5"/>
  <c r="F26" i="3"/>
  <c r="I26" i="3"/>
  <c r="K26" i="3" s="1"/>
  <c r="K23" i="2"/>
  <c r="G23" i="2"/>
  <c r="H23" i="2" s="1"/>
  <c r="J23" i="2" s="1"/>
  <c r="H24" i="4" l="1"/>
  <c r="J24" i="4" s="1"/>
  <c r="D25" i="4" s="1"/>
  <c r="G25" i="5"/>
  <c r="H25" i="5" s="1"/>
  <c r="J25" i="5" s="1"/>
  <c r="D26" i="5" s="1"/>
  <c r="G26" i="3"/>
  <c r="H26" i="3" s="1"/>
  <c r="J26" i="3" s="1"/>
  <c r="D27" i="3" s="1"/>
  <c r="D24" i="2"/>
  <c r="I25" i="4" l="1"/>
  <c r="K25" i="4" s="1"/>
  <c r="F25" i="4"/>
  <c r="G25" i="4" s="1"/>
  <c r="I26" i="5"/>
  <c r="K26" i="5" s="1"/>
  <c r="F26" i="5"/>
  <c r="I27" i="3"/>
  <c r="K27" i="3" s="1"/>
  <c r="F27" i="3"/>
  <c r="I24" i="2"/>
  <c r="F24" i="2"/>
  <c r="H25" i="4" l="1"/>
  <c r="J25" i="4" s="1"/>
  <c r="D26" i="4" s="1"/>
  <c r="G26" i="5"/>
  <c r="H26" i="5" s="1"/>
  <c r="J26" i="5" s="1"/>
  <c r="D27" i="5" s="1"/>
  <c r="G27" i="3"/>
  <c r="H27" i="3" s="1"/>
  <c r="J27" i="3" s="1"/>
  <c r="D28" i="3" s="1"/>
  <c r="G24" i="2"/>
  <c r="H24" i="2" s="1"/>
  <c r="J24" i="2" s="1"/>
  <c r="K24" i="2"/>
  <c r="I26" i="4" l="1"/>
  <c r="K26" i="4" s="1"/>
  <c r="F26" i="4"/>
  <c r="G26" i="4" s="1"/>
  <c r="H26" i="4" s="1"/>
  <c r="J26" i="4" s="1"/>
  <c r="D27" i="4" s="1"/>
  <c r="F27" i="5"/>
  <c r="I27" i="5"/>
  <c r="K27" i="5" s="1"/>
  <c r="F28" i="3"/>
  <c r="I28" i="3"/>
  <c r="K28" i="3" s="1"/>
  <c r="D25" i="2"/>
  <c r="F27" i="4" l="1"/>
  <c r="G27" i="4" s="1"/>
  <c r="H27" i="4" s="1"/>
  <c r="J27" i="4" s="1"/>
  <c r="D28" i="4" s="1"/>
  <c r="I27" i="4"/>
  <c r="K27" i="4" s="1"/>
  <c r="G27" i="5"/>
  <c r="H27" i="5" s="1"/>
  <c r="J27" i="5" s="1"/>
  <c r="D28" i="5" s="1"/>
  <c r="G28" i="3"/>
  <c r="H28" i="3" s="1"/>
  <c r="J28" i="3" s="1"/>
  <c r="D29" i="3" s="1"/>
  <c r="I25" i="2"/>
  <c r="F25" i="2"/>
  <c r="F28" i="4" l="1"/>
  <c r="G28" i="4" s="1"/>
  <c r="H28" i="4" s="1"/>
  <c r="J28" i="4" s="1"/>
  <c r="D29" i="4" s="1"/>
  <c r="I29" i="4" s="1"/>
  <c r="K29" i="4" s="1"/>
  <c r="I28" i="4"/>
  <c r="K28" i="4" s="1"/>
  <c r="I28" i="5"/>
  <c r="K28" i="5" s="1"/>
  <c r="F28" i="5"/>
  <c r="G28" i="5" s="1"/>
  <c r="H28" i="5" s="1"/>
  <c r="J28" i="5" s="1"/>
  <c r="D29" i="5" s="1"/>
  <c r="F29" i="5" s="1"/>
  <c r="F29" i="4"/>
  <c r="F29" i="3"/>
  <c r="I29" i="3"/>
  <c r="K29" i="3" s="1"/>
  <c r="G25" i="2"/>
  <c r="H25" i="2" s="1"/>
  <c r="J25" i="2" s="1"/>
  <c r="K25" i="2"/>
  <c r="I29" i="5" l="1"/>
  <c r="K29" i="5" s="1"/>
  <c r="G29" i="5"/>
  <c r="H29" i="5" s="1"/>
  <c r="J29" i="5"/>
  <c r="D30" i="5" s="1"/>
  <c r="G29" i="4"/>
  <c r="H29" i="4" s="1"/>
  <c r="J29" i="4" s="1"/>
  <c r="D30" i="4" s="1"/>
  <c r="G29" i="3"/>
  <c r="H29" i="3" s="1"/>
  <c r="J29" i="3" s="1"/>
  <c r="D30" i="3" s="1"/>
  <c r="D26" i="2"/>
  <c r="I30" i="5" l="1"/>
  <c r="K30" i="5" s="1"/>
  <c r="F30" i="5"/>
  <c r="I30" i="4"/>
  <c r="K30" i="4" s="1"/>
  <c r="F30" i="4"/>
  <c r="F30" i="3"/>
  <c r="I30" i="3"/>
  <c r="K30" i="3" s="1"/>
  <c r="I26" i="2"/>
  <c r="F26" i="2"/>
  <c r="G30" i="5" l="1"/>
  <c r="H30" i="5" s="1"/>
  <c r="J30" i="5" s="1"/>
  <c r="D31" i="5" s="1"/>
  <c r="G30" i="4"/>
  <c r="H30" i="4" s="1"/>
  <c r="J30" i="4" s="1"/>
  <c r="D31" i="4" s="1"/>
  <c r="G30" i="3"/>
  <c r="H30" i="3" s="1"/>
  <c r="J30" i="3" s="1"/>
  <c r="D31" i="3" s="1"/>
  <c r="G26" i="2"/>
  <c r="H26" i="2" s="1"/>
  <c r="J26" i="2" s="1"/>
  <c r="K26" i="2"/>
  <c r="F31" i="5" l="1"/>
  <c r="I31" i="5"/>
  <c r="K31" i="5" s="1"/>
  <c r="F31" i="4"/>
  <c r="I31" i="4"/>
  <c r="K31" i="4" s="1"/>
  <c r="F31" i="3"/>
  <c r="I31" i="3"/>
  <c r="K31" i="3" s="1"/>
  <c r="D27" i="2"/>
  <c r="G31" i="5" l="1"/>
  <c r="H31" i="5" s="1"/>
  <c r="J31" i="5" s="1"/>
  <c r="D32" i="5" s="1"/>
  <c r="G31" i="4"/>
  <c r="H31" i="4" s="1"/>
  <c r="J31" i="4" s="1"/>
  <c r="D32" i="4" s="1"/>
  <c r="G31" i="3"/>
  <c r="H31" i="3" s="1"/>
  <c r="J31" i="3" s="1"/>
  <c r="D32" i="3" s="1"/>
  <c r="F27" i="2"/>
  <c r="I27" i="2"/>
  <c r="F32" i="5" l="1"/>
  <c r="I32" i="5"/>
  <c r="K32" i="5" s="1"/>
  <c r="I32" i="4"/>
  <c r="K32" i="4" s="1"/>
  <c r="F32" i="4"/>
  <c r="F32" i="3"/>
  <c r="I32" i="3"/>
  <c r="K32" i="3" s="1"/>
  <c r="K27" i="2"/>
  <c r="G27" i="2"/>
  <c r="H27" i="2" s="1"/>
  <c r="J27" i="2" s="1"/>
  <c r="G32" i="5" l="1"/>
  <c r="H32" i="5" s="1"/>
  <c r="J32" i="5" s="1"/>
  <c r="D33" i="5" s="1"/>
  <c r="G32" i="4"/>
  <c r="H32" i="4" s="1"/>
  <c r="J32" i="4" s="1"/>
  <c r="D33" i="4" s="1"/>
  <c r="G32" i="3"/>
  <c r="H32" i="3" s="1"/>
  <c r="J32" i="3" s="1"/>
  <c r="D33" i="3" s="1"/>
  <c r="D28" i="2"/>
  <c r="I33" i="5" l="1"/>
  <c r="K33" i="5" s="1"/>
  <c r="F33" i="5"/>
  <c r="F33" i="4"/>
  <c r="I33" i="4"/>
  <c r="K33" i="4" s="1"/>
  <c r="I33" i="3"/>
  <c r="K33" i="3" s="1"/>
  <c r="F33" i="3"/>
  <c r="I28" i="2"/>
  <c r="F28" i="2"/>
  <c r="G33" i="5" l="1"/>
  <c r="H33" i="5" s="1"/>
  <c r="J33" i="5" s="1"/>
  <c r="D34" i="5" s="1"/>
  <c r="G33" i="4"/>
  <c r="H33" i="4" s="1"/>
  <c r="J33" i="4" s="1"/>
  <c r="D34" i="4" s="1"/>
  <c r="G33" i="3"/>
  <c r="H33" i="3" s="1"/>
  <c r="J33" i="3" s="1"/>
  <c r="D34" i="3" s="1"/>
  <c r="G28" i="2"/>
  <c r="H28" i="2" s="1"/>
  <c r="J28" i="2" s="1"/>
  <c r="K28" i="2"/>
  <c r="I34" i="5" l="1"/>
  <c r="K34" i="5" s="1"/>
  <c r="F34" i="5"/>
  <c r="I34" i="4"/>
  <c r="K34" i="4" s="1"/>
  <c r="F34" i="4"/>
  <c r="F34" i="3"/>
  <c r="I34" i="3"/>
  <c r="K34" i="3" s="1"/>
  <c r="D29" i="2"/>
  <c r="G34" i="5" l="1"/>
  <c r="H34" i="5" s="1"/>
  <c r="J34" i="5" s="1"/>
  <c r="D35" i="5" s="1"/>
  <c r="G34" i="4"/>
  <c r="H34" i="4" s="1"/>
  <c r="J34" i="4" s="1"/>
  <c r="D35" i="4" s="1"/>
  <c r="G34" i="3"/>
  <c r="H34" i="3" s="1"/>
  <c r="J34" i="3" s="1"/>
  <c r="D35" i="3" s="1"/>
  <c r="I29" i="2"/>
  <c r="K29" i="2" s="1"/>
  <c r="F29" i="2"/>
  <c r="F35" i="5" l="1"/>
  <c r="I35" i="5"/>
  <c r="K35" i="5" s="1"/>
  <c r="I35" i="4"/>
  <c r="K35" i="4" s="1"/>
  <c r="F35" i="4"/>
  <c r="I35" i="3"/>
  <c r="K35" i="3" s="1"/>
  <c r="F35" i="3"/>
  <c r="G29" i="2"/>
  <c r="H29" i="2" s="1"/>
  <c r="J29" i="2" s="1"/>
  <c r="D30" i="2" s="1"/>
  <c r="G35" i="5" l="1"/>
  <c r="H35" i="5" s="1"/>
  <c r="J35" i="5" s="1"/>
  <c r="D36" i="5" s="1"/>
  <c r="G35" i="4"/>
  <c r="H35" i="4" s="1"/>
  <c r="J35" i="4" s="1"/>
  <c r="D36" i="4" s="1"/>
  <c r="G35" i="3"/>
  <c r="H35" i="3" s="1"/>
  <c r="J35" i="3" s="1"/>
  <c r="D36" i="3" s="1"/>
  <c r="I30" i="2"/>
  <c r="K30" i="2" s="1"/>
  <c r="F30" i="2"/>
  <c r="I36" i="5" l="1"/>
  <c r="K36" i="5" s="1"/>
  <c r="F36" i="5"/>
  <c r="F36" i="4"/>
  <c r="I36" i="4"/>
  <c r="K36" i="4" s="1"/>
  <c r="I36" i="3"/>
  <c r="K36" i="3" s="1"/>
  <c r="F36" i="3"/>
  <c r="G30" i="2"/>
  <c r="H30" i="2" s="1"/>
  <c r="J30" i="2" s="1"/>
  <c r="D31" i="2" s="1"/>
  <c r="G36" i="5" l="1"/>
  <c r="H36" i="5" s="1"/>
  <c r="J36" i="5" s="1"/>
  <c r="D37" i="5" s="1"/>
  <c r="G36" i="4"/>
  <c r="H36" i="4" s="1"/>
  <c r="J36" i="4" s="1"/>
  <c r="D37" i="4" s="1"/>
  <c r="G36" i="3"/>
  <c r="H36" i="3" s="1"/>
  <c r="J36" i="3" s="1"/>
  <c r="D37" i="3" s="1"/>
  <c r="I31" i="2"/>
  <c r="K31" i="2" s="1"/>
  <c r="F31" i="2"/>
  <c r="F37" i="5" l="1"/>
  <c r="I37" i="5"/>
  <c r="K37" i="5" s="1"/>
  <c r="F37" i="4"/>
  <c r="I37" i="4"/>
  <c r="K37" i="4" s="1"/>
  <c r="I37" i="3"/>
  <c r="K37" i="3" s="1"/>
  <c r="F37" i="3"/>
  <c r="G31" i="2"/>
  <c r="H31" i="2" s="1"/>
  <c r="J31" i="2" s="1"/>
  <c r="D32" i="2" s="1"/>
  <c r="G37" i="5" l="1"/>
  <c r="H37" i="5" s="1"/>
  <c r="J37" i="5" s="1"/>
  <c r="D38" i="5" s="1"/>
  <c r="G37" i="4"/>
  <c r="H37" i="4" s="1"/>
  <c r="J37" i="4" s="1"/>
  <c r="D38" i="4" s="1"/>
  <c r="G37" i="3"/>
  <c r="H37" i="3" s="1"/>
  <c r="J37" i="3" s="1"/>
  <c r="D38" i="3" s="1"/>
  <c r="F32" i="2"/>
  <c r="I32" i="2"/>
  <c r="K32" i="2" s="1"/>
  <c r="I38" i="5" l="1"/>
  <c r="K38" i="5" s="1"/>
  <c r="F38" i="5"/>
  <c r="I38" i="4"/>
  <c r="K38" i="4" s="1"/>
  <c r="F38" i="4"/>
  <c r="I38" i="3"/>
  <c r="K38" i="3" s="1"/>
  <c r="F38" i="3"/>
  <c r="G32" i="2"/>
  <c r="H32" i="2" s="1"/>
  <c r="J32" i="2" s="1"/>
  <c r="D33" i="2" s="1"/>
  <c r="G38" i="5" l="1"/>
  <c r="H38" i="5" s="1"/>
  <c r="J38" i="5" s="1"/>
  <c r="D39" i="5" s="1"/>
  <c r="G38" i="4"/>
  <c r="H38" i="4" s="1"/>
  <c r="J38" i="4" s="1"/>
  <c r="D39" i="4" s="1"/>
  <c r="G38" i="3"/>
  <c r="H38" i="3" s="1"/>
  <c r="J38" i="3" s="1"/>
  <c r="D39" i="3" s="1"/>
  <c r="I33" i="2"/>
  <c r="K33" i="2" s="1"/>
  <c r="F33" i="2"/>
  <c r="F39" i="5" l="1"/>
  <c r="I39" i="5"/>
  <c r="K39" i="5" s="1"/>
  <c r="F39" i="4"/>
  <c r="I39" i="4"/>
  <c r="K39" i="4" s="1"/>
  <c r="I39" i="3"/>
  <c r="K39" i="3" s="1"/>
  <c r="F39" i="3"/>
  <c r="G33" i="2"/>
  <c r="H33" i="2" s="1"/>
  <c r="J33" i="2" s="1"/>
  <c r="D34" i="2" s="1"/>
  <c r="G39" i="5" l="1"/>
  <c r="H39" i="5" s="1"/>
  <c r="J39" i="5" s="1"/>
  <c r="D40" i="5" s="1"/>
  <c r="G39" i="4"/>
  <c r="H39" i="4" s="1"/>
  <c r="J39" i="4" s="1"/>
  <c r="D40" i="4" s="1"/>
  <c r="G39" i="3"/>
  <c r="H39" i="3" s="1"/>
  <c r="J39" i="3" s="1"/>
  <c r="D40" i="3" s="1"/>
  <c r="I34" i="2"/>
  <c r="K34" i="2" s="1"/>
  <c r="F34" i="2"/>
  <c r="F40" i="5" l="1"/>
  <c r="I40" i="5"/>
  <c r="K40" i="5" s="1"/>
  <c r="I40" i="4"/>
  <c r="K40" i="4" s="1"/>
  <c r="F40" i="4"/>
  <c r="F40" i="3"/>
  <c r="I40" i="3"/>
  <c r="K40" i="3" s="1"/>
  <c r="G34" i="2"/>
  <c r="H34" i="2" s="1"/>
  <c r="J34" i="2" s="1"/>
  <c r="D35" i="2" s="1"/>
  <c r="G40" i="5" l="1"/>
  <c r="H40" i="5" s="1"/>
  <c r="J40" i="5" s="1"/>
  <c r="D41" i="5" s="1"/>
  <c r="G40" i="4"/>
  <c r="H40" i="4" s="1"/>
  <c r="J40" i="4" s="1"/>
  <c r="D41" i="4" s="1"/>
  <c r="G40" i="3"/>
  <c r="H40" i="3" s="1"/>
  <c r="J40" i="3" s="1"/>
  <c r="D41" i="3" s="1"/>
  <c r="I35" i="2"/>
  <c r="K35" i="2" s="1"/>
  <c r="F35" i="2"/>
  <c r="I41" i="5" l="1"/>
  <c r="K41" i="5" s="1"/>
  <c r="F41" i="5"/>
  <c r="I41" i="4"/>
  <c r="K41" i="4" s="1"/>
  <c r="F41" i="4"/>
  <c r="I41" i="3"/>
  <c r="K41" i="3" s="1"/>
  <c r="F41" i="3"/>
  <c r="G35" i="2"/>
  <c r="H35" i="2" s="1"/>
  <c r="J35" i="2" s="1"/>
  <c r="D36" i="2" s="1"/>
  <c r="G41" i="5" l="1"/>
  <c r="H41" i="5" s="1"/>
  <c r="J41" i="5" s="1"/>
  <c r="D42" i="5" s="1"/>
  <c r="G41" i="4"/>
  <c r="H41" i="4" s="1"/>
  <c r="J41" i="4" s="1"/>
  <c r="D42" i="4" s="1"/>
  <c r="G41" i="3"/>
  <c r="H41" i="3" s="1"/>
  <c r="J41" i="3" s="1"/>
  <c r="D42" i="3" s="1"/>
  <c r="I36" i="2"/>
  <c r="K36" i="2" s="1"/>
  <c r="F36" i="2"/>
  <c r="I42" i="5" l="1"/>
  <c r="K42" i="5" s="1"/>
  <c r="F42" i="5"/>
  <c r="F42" i="4"/>
  <c r="I42" i="4"/>
  <c r="K42" i="4" s="1"/>
  <c r="I42" i="3"/>
  <c r="K42" i="3" s="1"/>
  <c r="F42" i="3"/>
  <c r="G36" i="2"/>
  <c r="H36" i="2" s="1"/>
  <c r="J36" i="2" s="1"/>
  <c r="D37" i="2" s="1"/>
  <c r="G42" i="5" l="1"/>
  <c r="H42" i="5" s="1"/>
  <c r="J42" i="5" s="1"/>
  <c r="D43" i="5" s="1"/>
  <c r="G42" i="4"/>
  <c r="H42" i="4" s="1"/>
  <c r="J42" i="4" s="1"/>
  <c r="D43" i="4" s="1"/>
  <c r="G42" i="3"/>
  <c r="H42" i="3" s="1"/>
  <c r="J42" i="3" s="1"/>
  <c r="D43" i="3" s="1"/>
  <c r="I37" i="2"/>
  <c r="K37" i="2" s="1"/>
  <c r="F37" i="2"/>
  <c r="F43" i="5" l="1"/>
  <c r="I43" i="5"/>
  <c r="K43" i="5" s="1"/>
  <c r="I43" i="4"/>
  <c r="K43" i="4" s="1"/>
  <c r="F43" i="4"/>
  <c r="F43" i="3"/>
  <c r="I43" i="3"/>
  <c r="K43" i="3" s="1"/>
  <c r="G37" i="2"/>
  <c r="H37" i="2" s="1"/>
  <c r="J37" i="2" s="1"/>
  <c r="D38" i="2" s="1"/>
  <c r="G43" i="5" l="1"/>
  <c r="H43" i="5" s="1"/>
  <c r="J43" i="5" s="1"/>
  <c r="D44" i="5" s="1"/>
  <c r="G43" i="4"/>
  <c r="H43" i="4" s="1"/>
  <c r="J43" i="4" s="1"/>
  <c r="D44" i="4" s="1"/>
  <c r="G43" i="3"/>
  <c r="H43" i="3" s="1"/>
  <c r="J43" i="3" s="1"/>
  <c r="D44" i="3" s="1"/>
  <c r="I38" i="2"/>
  <c r="K38" i="2" s="1"/>
  <c r="F38" i="2"/>
  <c r="I44" i="5" l="1"/>
  <c r="K44" i="5" s="1"/>
  <c r="F44" i="5"/>
  <c r="I44" i="4"/>
  <c r="K44" i="4" s="1"/>
  <c r="F44" i="4"/>
  <c r="F44" i="3"/>
  <c r="I44" i="3"/>
  <c r="K44" i="3" s="1"/>
  <c r="G38" i="2"/>
  <c r="H38" i="2" s="1"/>
  <c r="J38" i="2" s="1"/>
  <c r="D39" i="2" s="1"/>
  <c r="G44" i="5" l="1"/>
  <c r="H44" i="5" s="1"/>
  <c r="J44" i="5" s="1"/>
  <c r="D45" i="5" s="1"/>
  <c r="G44" i="4"/>
  <c r="H44" i="4" s="1"/>
  <c r="J44" i="4" s="1"/>
  <c r="D45" i="4" s="1"/>
  <c r="G44" i="3"/>
  <c r="H44" i="3" s="1"/>
  <c r="J44" i="3" s="1"/>
  <c r="D45" i="3" s="1"/>
  <c r="I39" i="2"/>
  <c r="K39" i="2" s="1"/>
  <c r="F39" i="2"/>
  <c r="I45" i="5" l="1"/>
  <c r="K45" i="5" s="1"/>
  <c r="F45" i="5"/>
  <c r="F45" i="4"/>
  <c r="I45" i="4"/>
  <c r="K45" i="4" s="1"/>
  <c r="I45" i="3"/>
  <c r="K45" i="3" s="1"/>
  <c r="F45" i="3"/>
  <c r="G39" i="2"/>
  <c r="H39" i="2" s="1"/>
  <c r="J39" i="2" s="1"/>
  <c r="D40" i="2" s="1"/>
  <c r="G45" i="5" l="1"/>
  <c r="H45" i="5" s="1"/>
  <c r="J45" i="5" s="1"/>
  <c r="D46" i="5" s="1"/>
  <c r="G45" i="4"/>
  <c r="H45" i="4" s="1"/>
  <c r="J45" i="4" s="1"/>
  <c r="D46" i="4" s="1"/>
  <c r="G45" i="3"/>
  <c r="H45" i="3" s="1"/>
  <c r="J45" i="3" s="1"/>
  <c r="D46" i="3" s="1"/>
  <c r="I40" i="2"/>
  <c r="K40" i="2" s="1"/>
  <c r="F40" i="2"/>
  <c r="I46" i="5" l="1"/>
  <c r="K46" i="5" s="1"/>
  <c r="F46" i="5"/>
  <c r="F46" i="4"/>
  <c r="I46" i="4"/>
  <c r="K46" i="4" s="1"/>
  <c r="F46" i="3"/>
  <c r="I46" i="3"/>
  <c r="K46" i="3" s="1"/>
  <c r="G40" i="2"/>
  <c r="H40" i="2" s="1"/>
  <c r="J40" i="2" s="1"/>
  <c r="D41" i="2" s="1"/>
  <c r="G46" i="5" l="1"/>
  <c r="H46" i="5" s="1"/>
  <c r="J46" i="5" s="1"/>
  <c r="D47" i="5" s="1"/>
  <c r="G46" i="4"/>
  <c r="H46" i="4" s="1"/>
  <c r="J46" i="4" s="1"/>
  <c r="D47" i="4" s="1"/>
  <c r="G46" i="3"/>
  <c r="H46" i="3" s="1"/>
  <c r="J46" i="3" s="1"/>
  <c r="D47" i="3" s="1"/>
  <c r="I41" i="2"/>
  <c r="K41" i="2" s="1"/>
  <c r="F41" i="2"/>
  <c r="I47" i="5" l="1"/>
  <c r="K47" i="5" s="1"/>
  <c r="F47" i="5"/>
  <c r="I47" i="4"/>
  <c r="K47" i="4" s="1"/>
  <c r="F47" i="4"/>
  <c r="I47" i="3"/>
  <c r="K47" i="3" s="1"/>
  <c r="F47" i="3"/>
  <c r="G41" i="2"/>
  <c r="H41" i="2" s="1"/>
  <c r="J41" i="2" s="1"/>
  <c r="D42" i="2" s="1"/>
  <c r="G47" i="5" l="1"/>
  <c r="H47" i="5" s="1"/>
  <c r="J47" i="5" s="1"/>
  <c r="D48" i="5" s="1"/>
  <c r="G47" i="4"/>
  <c r="H47" i="4" s="1"/>
  <c r="J47" i="4" s="1"/>
  <c r="D48" i="4" s="1"/>
  <c r="G47" i="3"/>
  <c r="H47" i="3" s="1"/>
  <c r="J47" i="3" s="1"/>
  <c r="D48" i="3" s="1"/>
  <c r="I42" i="2"/>
  <c r="K42" i="2" s="1"/>
  <c r="F42" i="2"/>
  <c r="F48" i="5" l="1"/>
  <c r="I48" i="5"/>
  <c r="K48" i="5" s="1"/>
  <c r="I48" i="4"/>
  <c r="K48" i="4" s="1"/>
  <c r="F48" i="4"/>
  <c r="I48" i="3"/>
  <c r="K48" i="3" s="1"/>
  <c r="F48" i="3"/>
  <c r="G42" i="2"/>
  <c r="H42" i="2" s="1"/>
  <c r="J42" i="2" s="1"/>
  <c r="D43" i="2" s="1"/>
  <c r="G48" i="5" l="1"/>
  <c r="H48" i="5" s="1"/>
  <c r="J48" i="5" s="1"/>
  <c r="D49" i="5" s="1"/>
  <c r="G48" i="4"/>
  <c r="H48" i="4" s="1"/>
  <c r="J48" i="4" s="1"/>
  <c r="D49" i="4" s="1"/>
  <c r="G48" i="3"/>
  <c r="H48" i="3" s="1"/>
  <c r="J48" i="3" s="1"/>
  <c r="D49" i="3" s="1"/>
  <c r="I43" i="2"/>
  <c r="K43" i="2" s="1"/>
  <c r="F43" i="2"/>
  <c r="I49" i="5" l="1"/>
  <c r="K49" i="5" s="1"/>
  <c r="F49" i="5"/>
  <c r="F49" i="4"/>
  <c r="I49" i="4"/>
  <c r="K49" i="4" s="1"/>
  <c r="I49" i="3"/>
  <c r="K49" i="3" s="1"/>
  <c r="F49" i="3"/>
  <c r="G43" i="2"/>
  <c r="H43" i="2" s="1"/>
  <c r="J43" i="2" s="1"/>
  <c r="D44" i="2" s="1"/>
  <c r="G49" i="5" l="1"/>
  <c r="H49" i="5" s="1"/>
  <c r="J49" i="5" s="1"/>
  <c r="D50" i="5" s="1"/>
  <c r="G49" i="4"/>
  <c r="H49" i="4" s="1"/>
  <c r="J49" i="4" s="1"/>
  <c r="D50" i="4" s="1"/>
  <c r="G49" i="3"/>
  <c r="H49" i="3" s="1"/>
  <c r="J49" i="3" s="1"/>
  <c r="D50" i="3" s="1"/>
  <c r="I44" i="2"/>
  <c r="K44" i="2" s="1"/>
  <c r="F44" i="2"/>
  <c r="I50" i="5" l="1"/>
  <c r="K50" i="5" s="1"/>
  <c r="F50" i="5"/>
  <c r="I50" i="4"/>
  <c r="K50" i="4" s="1"/>
  <c r="F50" i="4"/>
  <c r="I50" i="3"/>
  <c r="K50" i="3" s="1"/>
  <c r="F50" i="3"/>
  <c r="G44" i="2"/>
  <c r="H44" i="2" s="1"/>
  <c r="J44" i="2" s="1"/>
  <c r="D45" i="2" s="1"/>
  <c r="G50" i="5" l="1"/>
  <c r="H50" i="5" s="1"/>
  <c r="J50" i="5" s="1"/>
  <c r="D51" i="5" s="1"/>
  <c r="G50" i="4"/>
  <c r="H50" i="4" s="1"/>
  <c r="J50" i="4" s="1"/>
  <c r="D51" i="4" s="1"/>
  <c r="G50" i="3"/>
  <c r="H50" i="3" s="1"/>
  <c r="J50" i="3" s="1"/>
  <c r="D51" i="3" s="1"/>
  <c r="I45" i="2"/>
  <c r="K45" i="2" s="1"/>
  <c r="F45" i="2"/>
  <c r="I51" i="5" l="1"/>
  <c r="K51" i="5" s="1"/>
  <c r="F51" i="5"/>
  <c r="I51" i="4"/>
  <c r="K51" i="4" s="1"/>
  <c r="F51" i="4"/>
  <c r="F51" i="3"/>
  <c r="I51" i="3"/>
  <c r="K51" i="3" s="1"/>
  <c r="G45" i="2"/>
  <c r="H45" i="2" s="1"/>
  <c r="J45" i="2" s="1"/>
  <c r="D46" i="2" s="1"/>
  <c r="G51" i="5" l="1"/>
  <c r="H51" i="5" s="1"/>
  <c r="J51" i="5" s="1"/>
  <c r="D52" i="5" s="1"/>
  <c r="G51" i="4"/>
  <c r="H51" i="4" s="1"/>
  <c r="J51" i="4" s="1"/>
  <c r="D52" i="4" s="1"/>
  <c r="G51" i="3"/>
  <c r="H51" i="3" s="1"/>
  <c r="J51" i="3" s="1"/>
  <c r="D52" i="3" s="1"/>
  <c r="I46" i="2"/>
  <c r="K46" i="2" s="1"/>
  <c r="F46" i="2"/>
  <c r="I52" i="5" l="1"/>
  <c r="K52" i="5" s="1"/>
  <c r="F52" i="5"/>
  <c r="I52" i="4"/>
  <c r="K52" i="4" s="1"/>
  <c r="F52" i="4"/>
  <c r="F52" i="3"/>
  <c r="I52" i="3"/>
  <c r="K52" i="3" s="1"/>
  <c r="G46" i="2"/>
  <c r="H46" i="2" s="1"/>
  <c r="J46" i="2" s="1"/>
  <c r="D47" i="2" s="1"/>
  <c r="G52" i="5" l="1"/>
  <c r="H52" i="5" s="1"/>
  <c r="J52" i="5" s="1"/>
  <c r="D53" i="5" s="1"/>
  <c r="G52" i="4"/>
  <c r="H52" i="4" s="1"/>
  <c r="J52" i="4" s="1"/>
  <c r="D53" i="4" s="1"/>
  <c r="G52" i="3"/>
  <c r="H52" i="3" s="1"/>
  <c r="J52" i="3" s="1"/>
  <c r="D53" i="3" s="1"/>
  <c r="I47" i="2"/>
  <c r="K47" i="2" s="1"/>
  <c r="F47" i="2"/>
  <c r="F53" i="5" l="1"/>
  <c r="I53" i="5"/>
  <c r="K53" i="5" s="1"/>
  <c r="I53" i="4"/>
  <c r="K53" i="4" s="1"/>
  <c r="F53" i="4"/>
  <c r="I53" i="3"/>
  <c r="K53" i="3" s="1"/>
  <c r="F53" i="3"/>
  <c r="G47" i="2"/>
  <c r="H47" i="2" s="1"/>
  <c r="J47" i="2" s="1"/>
  <c r="D48" i="2" s="1"/>
  <c r="G53" i="5" l="1"/>
  <c r="H53" i="5" s="1"/>
  <c r="J53" i="5" s="1"/>
  <c r="D54" i="5" s="1"/>
  <c r="G53" i="4"/>
  <c r="H53" i="4" s="1"/>
  <c r="J53" i="4" s="1"/>
  <c r="D54" i="4" s="1"/>
  <c r="G53" i="3"/>
  <c r="H53" i="3" s="1"/>
  <c r="J53" i="3" s="1"/>
  <c r="D54" i="3" s="1"/>
  <c r="I48" i="2"/>
  <c r="K48" i="2" s="1"/>
  <c r="F48" i="2"/>
  <c r="I54" i="5" l="1"/>
  <c r="K54" i="5" s="1"/>
  <c r="F54" i="5"/>
  <c r="I54" i="4"/>
  <c r="K54" i="4" s="1"/>
  <c r="F54" i="4"/>
  <c r="I54" i="3"/>
  <c r="K54" i="3" s="1"/>
  <c r="F54" i="3"/>
  <c r="G48" i="2"/>
  <c r="H48" i="2" s="1"/>
  <c r="J48" i="2" s="1"/>
  <c r="D49" i="2" s="1"/>
  <c r="G54" i="5" l="1"/>
  <c r="H54" i="5" s="1"/>
  <c r="J54" i="5" s="1"/>
  <c r="D55" i="5" s="1"/>
  <c r="G54" i="4"/>
  <c r="H54" i="4" s="1"/>
  <c r="J54" i="4" s="1"/>
  <c r="D55" i="4" s="1"/>
  <c r="G54" i="3"/>
  <c r="H54" i="3" s="1"/>
  <c r="J54" i="3" s="1"/>
  <c r="D55" i="3" s="1"/>
  <c r="I49" i="2"/>
  <c r="K49" i="2" s="1"/>
  <c r="F49" i="2"/>
  <c r="F55" i="5" l="1"/>
  <c r="I55" i="5"/>
  <c r="K55" i="5" s="1"/>
  <c r="F55" i="4"/>
  <c r="I55" i="4"/>
  <c r="K55" i="4" s="1"/>
  <c r="I55" i="3"/>
  <c r="K55" i="3" s="1"/>
  <c r="F55" i="3"/>
  <c r="G49" i="2"/>
  <c r="H49" i="2" s="1"/>
  <c r="J49" i="2" s="1"/>
  <c r="D50" i="2" s="1"/>
  <c r="G55" i="5" l="1"/>
  <c r="H55" i="5" s="1"/>
  <c r="J55" i="5" s="1"/>
  <c r="D56" i="5" s="1"/>
  <c r="G55" i="4"/>
  <c r="H55" i="4" s="1"/>
  <c r="J55" i="4" s="1"/>
  <c r="D56" i="4" s="1"/>
  <c r="G55" i="3"/>
  <c r="H55" i="3" s="1"/>
  <c r="J55" i="3" s="1"/>
  <c r="D56" i="3" s="1"/>
  <c r="F50" i="2"/>
  <c r="I50" i="2"/>
  <c r="K50" i="2" s="1"/>
  <c r="I56" i="5" l="1"/>
  <c r="K56" i="5" s="1"/>
  <c r="F56" i="5"/>
  <c r="I56" i="4"/>
  <c r="K56" i="4" s="1"/>
  <c r="F56" i="4"/>
  <c r="I56" i="3"/>
  <c r="K56" i="3" s="1"/>
  <c r="F56" i="3"/>
  <c r="G50" i="2"/>
  <c r="H50" i="2" s="1"/>
  <c r="J50" i="2" s="1"/>
  <c r="D51" i="2" s="1"/>
  <c r="G56" i="5" l="1"/>
  <c r="H56" i="5" s="1"/>
  <c r="J56" i="5" s="1"/>
  <c r="D57" i="5" s="1"/>
  <c r="G56" i="4"/>
  <c r="H56" i="4" s="1"/>
  <c r="J56" i="4" s="1"/>
  <c r="D57" i="4" s="1"/>
  <c r="G56" i="3"/>
  <c r="H56" i="3" s="1"/>
  <c r="J56" i="3" s="1"/>
  <c r="D57" i="3" s="1"/>
  <c r="F51" i="2"/>
  <c r="I51" i="2"/>
  <c r="K51" i="2" s="1"/>
  <c r="I57" i="5" l="1"/>
  <c r="K57" i="5" s="1"/>
  <c r="F57" i="5"/>
  <c r="I57" i="4"/>
  <c r="K57" i="4" s="1"/>
  <c r="F57" i="4"/>
  <c r="I57" i="3"/>
  <c r="K57" i="3" s="1"/>
  <c r="F57" i="3"/>
  <c r="G51" i="2"/>
  <c r="H51" i="2" s="1"/>
  <c r="J51" i="2" s="1"/>
  <c r="D52" i="2" s="1"/>
  <c r="G57" i="5" l="1"/>
  <c r="H57" i="5" s="1"/>
  <c r="J57" i="5" s="1"/>
  <c r="D58" i="5" s="1"/>
  <c r="G57" i="4"/>
  <c r="H57" i="4" s="1"/>
  <c r="J57" i="4" s="1"/>
  <c r="D58" i="4" s="1"/>
  <c r="G57" i="3"/>
  <c r="H57" i="3" s="1"/>
  <c r="J57" i="3" s="1"/>
  <c r="D58" i="3" s="1"/>
  <c r="I52" i="2"/>
  <c r="K52" i="2" s="1"/>
  <c r="F52" i="2"/>
  <c r="I58" i="5" l="1"/>
  <c r="K58" i="5" s="1"/>
  <c r="F58" i="5"/>
  <c r="I58" i="4"/>
  <c r="K58" i="4" s="1"/>
  <c r="F58" i="4"/>
  <c r="F58" i="3"/>
  <c r="I58" i="3"/>
  <c r="K58" i="3" s="1"/>
  <c r="G52" i="2"/>
  <c r="H52" i="2" s="1"/>
  <c r="J52" i="2" s="1"/>
  <c r="D53" i="2" s="1"/>
  <c r="G58" i="5" l="1"/>
  <c r="H58" i="5" s="1"/>
  <c r="J58" i="5" s="1"/>
  <c r="D59" i="5" s="1"/>
  <c r="G58" i="4"/>
  <c r="H58" i="4" s="1"/>
  <c r="J58" i="4" s="1"/>
  <c r="D59" i="4" s="1"/>
  <c r="G58" i="3"/>
  <c r="H58" i="3" s="1"/>
  <c r="J58" i="3" s="1"/>
  <c r="D59" i="3" s="1"/>
  <c r="I53" i="2"/>
  <c r="K53" i="2" s="1"/>
  <c r="F53" i="2"/>
  <c r="I59" i="5" l="1"/>
  <c r="K59" i="5" s="1"/>
  <c r="F59" i="5"/>
  <c r="I59" i="4"/>
  <c r="K59" i="4" s="1"/>
  <c r="F59" i="4"/>
  <c r="I59" i="3"/>
  <c r="K59" i="3" s="1"/>
  <c r="F59" i="3"/>
  <c r="G53" i="2"/>
  <c r="H53" i="2" s="1"/>
  <c r="J53" i="2" s="1"/>
  <c r="D54" i="2" s="1"/>
  <c r="G59" i="5" l="1"/>
  <c r="H59" i="5" s="1"/>
  <c r="J59" i="5" s="1"/>
  <c r="D60" i="5" s="1"/>
  <c r="G59" i="4"/>
  <c r="H59" i="4" s="1"/>
  <c r="J59" i="4" s="1"/>
  <c r="D60" i="4" s="1"/>
  <c r="G59" i="3"/>
  <c r="H59" i="3" s="1"/>
  <c r="J59" i="3" s="1"/>
  <c r="D60" i="3" s="1"/>
  <c r="I54" i="2"/>
  <c r="K54" i="2" s="1"/>
  <c r="F54" i="2"/>
  <c r="I60" i="5" l="1"/>
  <c r="K60" i="5" s="1"/>
  <c r="F60" i="5"/>
  <c r="I60" i="4"/>
  <c r="K60" i="4" s="1"/>
  <c r="F60" i="4"/>
  <c r="I60" i="3"/>
  <c r="K60" i="3" s="1"/>
  <c r="F60" i="3"/>
  <c r="G54" i="2"/>
  <c r="H54" i="2" s="1"/>
  <c r="J54" i="2" s="1"/>
  <c r="D55" i="2" s="1"/>
  <c r="G60" i="5" l="1"/>
  <c r="H60" i="5" s="1"/>
  <c r="J60" i="5" s="1"/>
  <c r="D61" i="5" s="1"/>
  <c r="G60" i="4"/>
  <c r="H60" i="4" s="1"/>
  <c r="J60" i="4" s="1"/>
  <c r="D61" i="4" s="1"/>
  <c r="G60" i="3"/>
  <c r="H60" i="3" s="1"/>
  <c r="J60" i="3" s="1"/>
  <c r="D61" i="3" s="1"/>
  <c r="I55" i="2"/>
  <c r="K55" i="2" s="1"/>
  <c r="F55" i="2"/>
  <c r="F61" i="5" l="1"/>
  <c r="I61" i="5"/>
  <c r="K61" i="5" s="1"/>
  <c r="I61" i="4"/>
  <c r="K61" i="4" s="1"/>
  <c r="F61" i="4"/>
  <c r="I61" i="3"/>
  <c r="K61" i="3" s="1"/>
  <c r="F61" i="3"/>
  <c r="G55" i="2"/>
  <c r="H55" i="2" s="1"/>
  <c r="J55" i="2" s="1"/>
  <c r="D56" i="2" s="1"/>
  <c r="G61" i="5" l="1"/>
  <c r="H61" i="5" s="1"/>
  <c r="J61" i="5" s="1"/>
  <c r="D62" i="5" s="1"/>
  <c r="G61" i="4"/>
  <c r="H61" i="4" s="1"/>
  <c r="J61" i="4" s="1"/>
  <c r="D62" i="4" s="1"/>
  <c r="G61" i="3"/>
  <c r="H61" i="3" s="1"/>
  <c r="J61" i="3" s="1"/>
  <c r="D62" i="3" s="1"/>
  <c r="I56" i="2"/>
  <c r="K56" i="2" s="1"/>
  <c r="F56" i="2"/>
  <c r="I62" i="5" l="1"/>
  <c r="K62" i="5" s="1"/>
  <c r="F62" i="5"/>
  <c r="I62" i="4"/>
  <c r="K62" i="4" s="1"/>
  <c r="F62" i="4"/>
  <c r="I62" i="3"/>
  <c r="K62" i="3" s="1"/>
  <c r="F62" i="3"/>
  <c r="G56" i="2"/>
  <c r="H56" i="2" s="1"/>
  <c r="J56" i="2" s="1"/>
  <c r="D57" i="2" s="1"/>
  <c r="G62" i="5" l="1"/>
  <c r="H62" i="5" s="1"/>
  <c r="J62" i="5" s="1"/>
  <c r="D63" i="5" s="1"/>
  <c r="G62" i="4"/>
  <c r="H62" i="4" s="1"/>
  <c r="J62" i="4" s="1"/>
  <c r="D63" i="4" s="1"/>
  <c r="G62" i="3"/>
  <c r="H62" i="3" s="1"/>
  <c r="J62" i="3" s="1"/>
  <c r="D63" i="3" s="1"/>
  <c r="I57" i="2"/>
  <c r="K57" i="2" s="1"/>
  <c r="F57" i="2"/>
  <c r="I63" i="5" l="1"/>
  <c r="K63" i="5" s="1"/>
  <c r="F63" i="5"/>
  <c r="I63" i="4"/>
  <c r="K63" i="4" s="1"/>
  <c r="F63" i="4"/>
  <c r="I63" i="3"/>
  <c r="K63" i="3" s="1"/>
  <c r="F63" i="3"/>
  <c r="G57" i="2"/>
  <c r="H57" i="2" s="1"/>
  <c r="J57" i="2" s="1"/>
  <c r="D58" i="2" s="1"/>
  <c r="G63" i="5" l="1"/>
  <c r="H63" i="5" s="1"/>
  <c r="J63" i="5" s="1"/>
  <c r="D64" i="5" s="1"/>
  <c r="G63" i="4"/>
  <c r="H63" i="4" s="1"/>
  <c r="J63" i="4" s="1"/>
  <c r="D64" i="4" s="1"/>
  <c r="G63" i="3"/>
  <c r="H63" i="3" s="1"/>
  <c r="J63" i="3" s="1"/>
  <c r="D64" i="3" s="1"/>
  <c r="I58" i="2"/>
  <c r="K58" i="2" s="1"/>
  <c r="F58" i="2"/>
  <c r="I64" i="5" l="1"/>
  <c r="K64" i="5" s="1"/>
  <c r="F64" i="5"/>
  <c r="I64" i="4"/>
  <c r="K64" i="4" s="1"/>
  <c r="F64" i="4"/>
  <c r="F64" i="3"/>
  <c r="I64" i="3"/>
  <c r="K64" i="3" s="1"/>
  <c r="G58" i="2"/>
  <c r="H58" i="2" s="1"/>
  <c r="J58" i="2" s="1"/>
  <c r="D59" i="2" s="1"/>
  <c r="G64" i="5" l="1"/>
  <c r="H64" i="5" s="1"/>
  <c r="J64" i="5" s="1"/>
  <c r="D65" i="5" s="1"/>
  <c r="G64" i="4"/>
  <c r="H64" i="4" s="1"/>
  <c r="J64" i="4" s="1"/>
  <c r="D65" i="4" s="1"/>
  <c r="G64" i="3"/>
  <c r="H64" i="3" s="1"/>
  <c r="J64" i="3" s="1"/>
  <c r="D65" i="3" s="1"/>
  <c r="I59" i="2"/>
  <c r="K59" i="2" s="1"/>
  <c r="F59" i="2"/>
  <c r="I65" i="5" l="1"/>
  <c r="K65" i="5" s="1"/>
  <c r="F65" i="5"/>
  <c r="F65" i="4"/>
  <c r="I65" i="4"/>
  <c r="K65" i="4" s="1"/>
  <c r="I65" i="3"/>
  <c r="K65" i="3" s="1"/>
  <c r="F65" i="3"/>
  <c r="G59" i="2"/>
  <c r="H59" i="2" s="1"/>
  <c r="J59" i="2" s="1"/>
  <c r="D60" i="2" s="1"/>
  <c r="G65" i="5" l="1"/>
  <c r="H65" i="5" s="1"/>
  <c r="J65" i="5" s="1"/>
  <c r="D66" i="5" s="1"/>
  <c r="G65" i="4"/>
  <c r="H65" i="4" s="1"/>
  <c r="J65" i="4" s="1"/>
  <c r="D66" i="4" s="1"/>
  <c r="G65" i="3"/>
  <c r="H65" i="3" s="1"/>
  <c r="J65" i="3" s="1"/>
  <c r="D66" i="3" s="1"/>
  <c r="F60" i="2"/>
  <c r="I60" i="2"/>
  <c r="K60" i="2" s="1"/>
  <c r="I66" i="5" l="1"/>
  <c r="K66" i="5" s="1"/>
  <c r="F66" i="5"/>
  <c r="I66" i="4"/>
  <c r="K66" i="4" s="1"/>
  <c r="F66" i="4"/>
  <c r="F66" i="3"/>
  <c r="I66" i="3"/>
  <c r="K66" i="3" s="1"/>
  <c r="G60" i="2"/>
  <c r="H60" i="2" s="1"/>
  <c r="J60" i="2" s="1"/>
  <c r="D61" i="2" s="1"/>
  <c r="G66" i="5" l="1"/>
  <c r="H66" i="5" s="1"/>
  <c r="J66" i="5" s="1"/>
  <c r="D67" i="5" s="1"/>
  <c r="G66" i="4"/>
  <c r="H66" i="4" s="1"/>
  <c r="J66" i="4" s="1"/>
  <c r="D67" i="4" s="1"/>
  <c r="G66" i="3"/>
  <c r="H66" i="3" s="1"/>
  <c r="J66" i="3" s="1"/>
  <c r="D67" i="3" s="1"/>
  <c r="F61" i="2"/>
  <c r="I61" i="2"/>
  <c r="K61" i="2" s="1"/>
  <c r="F67" i="5" l="1"/>
  <c r="I67" i="5"/>
  <c r="K67" i="5" s="1"/>
  <c r="F67" i="4"/>
  <c r="I67" i="4"/>
  <c r="K67" i="4" s="1"/>
  <c r="I67" i="3"/>
  <c r="K67" i="3" s="1"/>
  <c r="F67" i="3"/>
  <c r="G61" i="2"/>
  <c r="H61" i="2" s="1"/>
  <c r="J61" i="2" s="1"/>
  <c r="D62" i="2" s="1"/>
  <c r="G67" i="5" l="1"/>
  <c r="H67" i="5" s="1"/>
  <c r="J67" i="5" s="1"/>
  <c r="D68" i="5" s="1"/>
  <c r="G67" i="4"/>
  <c r="H67" i="4" s="1"/>
  <c r="J67" i="4" s="1"/>
  <c r="D68" i="4" s="1"/>
  <c r="G67" i="3"/>
  <c r="H67" i="3" s="1"/>
  <c r="J67" i="3" s="1"/>
  <c r="D68" i="3" s="1"/>
  <c r="I62" i="2"/>
  <c r="K62" i="2" s="1"/>
  <c r="F62" i="2"/>
  <c r="I68" i="5" l="1"/>
  <c r="K68" i="5" s="1"/>
  <c r="F68" i="5"/>
  <c r="I68" i="4"/>
  <c r="K68" i="4" s="1"/>
  <c r="F68" i="4"/>
  <c r="I68" i="3"/>
  <c r="K68" i="3" s="1"/>
  <c r="F68" i="3"/>
  <c r="G62" i="2"/>
  <c r="H62" i="2" s="1"/>
  <c r="J62" i="2" s="1"/>
  <c r="D63" i="2" s="1"/>
  <c r="G68" i="5" l="1"/>
  <c r="H68" i="5" s="1"/>
  <c r="J68" i="5" s="1"/>
  <c r="D69" i="5" s="1"/>
  <c r="G68" i="4"/>
  <c r="H68" i="4" s="1"/>
  <c r="J68" i="4" s="1"/>
  <c r="D69" i="4" s="1"/>
  <c r="G68" i="3"/>
  <c r="H68" i="3" s="1"/>
  <c r="J68" i="3" s="1"/>
  <c r="D69" i="3" s="1"/>
  <c r="I63" i="2"/>
  <c r="K63" i="2" s="1"/>
  <c r="F63" i="2"/>
  <c r="I69" i="5" l="1"/>
  <c r="K69" i="5" s="1"/>
  <c r="F69" i="5"/>
  <c r="I69" i="4"/>
  <c r="K69" i="4" s="1"/>
  <c r="F69" i="4"/>
  <c r="F69" i="3"/>
  <c r="I69" i="3"/>
  <c r="K69" i="3" s="1"/>
  <c r="G63" i="2"/>
  <c r="H63" i="2" s="1"/>
  <c r="J63" i="2" s="1"/>
  <c r="D64" i="2" s="1"/>
  <c r="G69" i="5" l="1"/>
  <c r="H69" i="5" s="1"/>
  <c r="J69" i="5" s="1"/>
  <c r="D70" i="5" s="1"/>
  <c r="G69" i="4"/>
  <c r="H69" i="4" s="1"/>
  <c r="J69" i="4" s="1"/>
  <c r="D70" i="4" s="1"/>
  <c r="G69" i="3"/>
  <c r="H69" i="3" s="1"/>
  <c r="J69" i="3" s="1"/>
  <c r="D70" i="3" s="1"/>
  <c r="I64" i="2"/>
  <c r="K64" i="2" s="1"/>
  <c r="F64" i="2"/>
  <c r="I70" i="5" l="1"/>
  <c r="K70" i="5" s="1"/>
  <c r="F70" i="5"/>
  <c r="I70" i="4"/>
  <c r="K70" i="4" s="1"/>
  <c r="F70" i="4"/>
  <c r="I70" i="3"/>
  <c r="K70" i="3" s="1"/>
  <c r="F70" i="3"/>
  <c r="G64" i="2"/>
  <c r="H64" i="2" s="1"/>
  <c r="J64" i="2" s="1"/>
  <c r="D65" i="2" s="1"/>
  <c r="G70" i="5" l="1"/>
  <c r="H70" i="5" s="1"/>
  <c r="J70" i="5" s="1"/>
  <c r="D71" i="5" s="1"/>
  <c r="G70" i="4"/>
  <c r="H70" i="4" s="1"/>
  <c r="J70" i="4" s="1"/>
  <c r="D71" i="4" s="1"/>
  <c r="G70" i="3"/>
  <c r="H70" i="3" s="1"/>
  <c r="J70" i="3" s="1"/>
  <c r="D71" i="3" s="1"/>
  <c r="I65" i="2"/>
  <c r="K65" i="2" s="1"/>
  <c r="F65" i="2"/>
  <c r="F71" i="5" l="1"/>
  <c r="I71" i="5"/>
  <c r="K71" i="5" s="1"/>
  <c r="I71" i="4"/>
  <c r="K71" i="4" s="1"/>
  <c r="F71" i="4"/>
  <c r="F71" i="3"/>
  <c r="I71" i="3"/>
  <c r="K71" i="3" s="1"/>
  <c r="G65" i="2"/>
  <c r="H65" i="2" s="1"/>
  <c r="J65" i="2" s="1"/>
  <c r="D66" i="2" s="1"/>
  <c r="G71" i="5" l="1"/>
  <c r="H71" i="5" s="1"/>
  <c r="J71" i="5" s="1"/>
  <c r="D72" i="5" s="1"/>
  <c r="G71" i="4"/>
  <c r="H71" i="4" s="1"/>
  <c r="J71" i="4" s="1"/>
  <c r="D72" i="4" s="1"/>
  <c r="G71" i="3"/>
  <c r="H71" i="3" s="1"/>
  <c r="J71" i="3" s="1"/>
  <c r="D72" i="3" s="1"/>
  <c r="I66" i="2"/>
  <c r="K66" i="2" s="1"/>
  <c r="F66" i="2"/>
  <c r="I72" i="5" l="1"/>
  <c r="K72" i="5" s="1"/>
  <c r="F72" i="5"/>
  <c r="I72" i="4"/>
  <c r="K72" i="4" s="1"/>
  <c r="F72" i="4"/>
  <c r="F72" i="3"/>
  <c r="I72" i="3"/>
  <c r="K72" i="3" s="1"/>
  <c r="G66" i="2"/>
  <c r="H66" i="2" s="1"/>
  <c r="J66" i="2" s="1"/>
  <c r="D67" i="2" s="1"/>
  <c r="G72" i="5" l="1"/>
  <c r="H72" i="5" s="1"/>
  <c r="J72" i="5" s="1"/>
  <c r="D73" i="5" s="1"/>
  <c r="G72" i="4"/>
  <c r="H72" i="4" s="1"/>
  <c r="J72" i="4" s="1"/>
  <c r="D73" i="4" s="1"/>
  <c r="G72" i="3"/>
  <c r="H72" i="3" s="1"/>
  <c r="J72" i="3" s="1"/>
  <c r="D73" i="3" s="1"/>
  <c r="I67" i="2"/>
  <c r="K67" i="2" s="1"/>
  <c r="F67" i="2"/>
  <c r="I73" i="5" l="1"/>
  <c r="K73" i="5" s="1"/>
  <c r="F73" i="5"/>
  <c r="I73" i="4"/>
  <c r="K73" i="4" s="1"/>
  <c r="F73" i="4"/>
  <c r="I73" i="3"/>
  <c r="K73" i="3" s="1"/>
  <c r="F73" i="3"/>
  <c r="G67" i="2"/>
  <c r="H67" i="2" s="1"/>
  <c r="J67" i="2" s="1"/>
  <c r="D68" i="2" s="1"/>
  <c r="G73" i="5" l="1"/>
  <c r="H73" i="5" s="1"/>
  <c r="J73" i="5" s="1"/>
  <c r="D74" i="5" s="1"/>
  <c r="G73" i="4"/>
  <c r="H73" i="4" s="1"/>
  <c r="J73" i="4" s="1"/>
  <c r="D74" i="4" s="1"/>
  <c r="G73" i="3"/>
  <c r="H73" i="3" s="1"/>
  <c r="J73" i="3" s="1"/>
  <c r="D74" i="3" s="1"/>
  <c r="I68" i="2"/>
  <c r="K68" i="2" s="1"/>
  <c r="F68" i="2"/>
  <c r="I74" i="5" l="1"/>
  <c r="K74" i="5" s="1"/>
  <c r="F74" i="5"/>
  <c r="F74" i="4"/>
  <c r="I74" i="4"/>
  <c r="K74" i="4" s="1"/>
  <c r="I74" i="3"/>
  <c r="K74" i="3" s="1"/>
  <c r="F74" i="3"/>
  <c r="G68" i="2"/>
  <c r="H68" i="2" s="1"/>
  <c r="J68" i="2" s="1"/>
  <c r="D69" i="2" s="1"/>
  <c r="G74" i="5" l="1"/>
  <c r="H74" i="5" s="1"/>
  <c r="J74" i="5" s="1"/>
  <c r="D75" i="5" s="1"/>
  <c r="G74" i="4"/>
  <c r="H74" i="4" s="1"/>
  <c r="J74" i="4" s="1"/>
  <c r="D75" i="4" s="1"/>
  <c r="G74" i="3"/>
  <c r="H74" i="3" s="1"/>
  <c r="J74" i="3" s="1"/>
  <c r="D75" i="3" s="1"/>
  <c r="I69" i="2"/>
  <c r="K69" i="2" s="1"/>
  <c r="F69" i="2"/>
  <c r="I75" i="5" l="1"/>
  <c r="K75" i="5" s="1"/>
  <c r="F75" i="5"/>
  <c r="I75" i="4"/>
  <c r="K75" i="4" s="1"/>
  <c r="F75" i="4"/>
  <c r="I75" i="3"/>
  <c r="K75" i="3" s="1"/>
  <c r="F75" i="3"/>
  <c r="G69" i="2"/>
  <c r="H69" i="2" s="1"/>
  <c r="J69" i="2" s="1"/>
  <c r="D70" i="2" s="1"/>
  <c r="G75" i="5" l="1"/>
  <c r="H75" i="5" s="1"/>
  <c r="J75" i="5" s="1"/>
  <c r="D76" i="5" s="1"/>
  <c r="G75" i="4"/>
  <c r="H75" i="4" s="1"/>
  <c r="J75" i="4" s="1"/>
  <c r="D76" i="4" s="1"/>
  <c r="G75" i="3"/>
  <c r="H75" i="3" s="1"/>
  <c r="J75" i="3" s="1"/>
  <c r="D76" i="3" s="1"/>
  <c r="I70" i="2"/>
  <c r="K70" i="2" s="1"/>
  <c r="F70" i="2"/>
  <c r="I76" i="5" l="1"/>
  <c r="K76" i="5" s="1"/>
  <c r="F76" i="5"/>
  <c r="I76" i="4"/>
  <c r="K76" i="4" s="1"/>
  <c r="F76" i="4"/>
  <c r="I76" i="3"/>
  <c r="K76" i="3" s="1"/>
  <c r="F76" i="3"/>
  <c r="G70" i="2"/>
  <c r="H70" i="2" s="1"/>
  <c r="J70" i="2" s="1"/>
  <c r="D71" i="2" s="1"/>
  <c r="G76" i="5" l="1"/>
  <c r="H76" i="5" s="1"/>
  <c r="J76" i="5" s="1"/>
  <c r="D77" i="5" s="1"/>
  <c r="G76" i="4"/>
  <c r="H76" i="4" s="1"/>
  <c r="J76" i="4" s="1"/>
  <c r="D77" i="4" s="1"/>
  <c r="G76" i="3"/>
  <c r="H76" i="3" s="1"/>
  <c r="J76" i="3" s="1"/>
  <c r="D77" i="3" s="1"/>
  <c r="I71" i="2"/>
  <c r="K71" i="2" s="1"/>
  <c r="F71" i="2"/>
  <c r="I77" i="5" l="1"/>
  <c r="K77" i="5" s="1"/>
  <c r="F77" i="5"/>
  <c r="F77" i="4"/>
  <c r="I77" i="4"/>
  <c r="K77" i="4" s="1"/>
  <c r="I77" i="3"/>
  <c r="K77" i="3" s="1"/>
  <c r="F77" i="3"/>
  <c r="G71" i="2"/>
  <c r="H71" i="2" s="1"/>
  <c r="J71" i="2" s="1"/>
  <c r="D72" i="2" s="1"/>
  <c r="G77" i="5" l="1"/>
  <c r="H77" i="5" s="1"/>
  <c r="J77" i="5" s="1"/>
  <c r="D78" i="5" s="1"/>
  <c r="G77" i="4"/>
  <c r="H77" i="4" s="1"/>
  <c r="J77" i="4" s="1"/>
  <c r="D78" i="4" s="1"/>
  <c r="G77" i="3"/>
  <c r="H77" i="3" s="1"/>
  <c r="J77" i="3" s="1"/>
  <c r="D78" i="3" s="1"/>
  <c r="I72" i="2"/>
  <c r="K72" i="2" s="1"/>
  <c r="F72" i="2"/>
  <c r="I78" i="5" l="1"/>
  <c r="K78" i="5" s="1"/>
  <c r="F78" i="5"/>
  <c r="I78" i="4"/>
  <c r="K78" i="4" s="1"/>
  <c r="F78" i="4"/>
  <c r="I78" i="3"/>
  <c r="K78" i="3" s="1"/>
  <c r="F78" i="3"/>
  <c r="G72" i="2"/>
  <c r="H72" i="2" s="1"/>
  <c r="J72" i="2" s="1"/>
  <c r="D73" i="2" s="1"/>
  <c r="G78" i="5" l="1"/>
  <c r="H78" i="5" s="1"/>
  <c r="J78" i="5" s="1"/>
  <c r="D79" i="5" s="1"/>
  <c r="G78" i="4"/>
  <c r="H78" i="4" s="1"/>
  <c r="J78" i="4" s="1"/>
  <c r="D79" i="4" s="1"/>
  <c r="G78" i="3"/>
  <c r="H78" i="3" s="1"/>
  <c r="J78" i="3" s="1"/>
  <c r="D79" i="3" s="1"/>
  <c r="I73" i="2"/>
  <c r="K73" i="2" s="1"/>
  <c r="F73" i="2"/>
  <c r="I79" i="5" l="1"/>
  <c r="K79" i="5" s="1"/>
  <c r="F79" i="5"/>
  <c r="I79" i="4"/>
  <c r="K79" i="4" s="1"/>
  <c r="F79" i="4"/>
  <c r="I79" i="3"/>
  <c r="K79" i="3" s="1"/>
  <c r="F79" i="3"/>
  <c r="G73" i="2"/>
  <c r="H73" i="2" s="1"/>
  <c r="J73" i="2" s="1"/>
  <c r="D74" i="2" s="1"/>
  <c r="G79" i="5" l="1"/>
  <c r="H79" i="5" s="1"/>
  <c r="J79" i="5" s="1"/>
  <c r="D80" i="5" s="1"/>
  <c r="G79" i="4"/>
  <c r="H79" i="4" s="1"/>
  <c r="J79" i="4" s="1"/>
  <c r="D80" i="4" s="1"/>
  <c r="G79" i="3"/>
  <c r="H79" i="3" s="1"/>
  <c r="J79" i="3" s="1"/>
  <c r="D80" i="3" s="1"/>
  <c r="I74" i="2"/>
  <c r="K74" i="2" s="1"/>
  <c r="F74" i="2"/>
  <c r="I80" i="5" l="1"/>
  <c r="K80" i="5" s="1"/>
  <c r="F80" i="5"/>
  <c r="I80" i="4"/>
  <c r="K80" i="4" s="1"/>
  <c r="F80" i="4"/>
  <c r="I80" i="3"/>
  <c r="K80" i="3" s="1"/>
  <c r="F80" i="3"/>
  <c r="G74" i="2"/>
  <c r="H74" i="2" s="1"/>
  <c r="J74" i="2" s="1"/>
  <c r="D75" i="2" s="1"/>
  <c r="G80" i="5" l="1"/>
  <c r="H80" i="5" s="1"/>
  <c r="J80" i="5" s="1"/>
  <c r="D81" i="5" s="1"/>
  <c r="G80" i="4"/>
  <c r="H80" i="4" s="1"/>
  <c r="J80" i="4" s="1"/>
  <c r="D81" i="4" s="1"/>
  <c r="G80" i="3"/>
  <c r="H80" i="3" s="1"/>
  <c r="J80" i="3" s="1"/>
  <c r="D81" i="3" s="1"/>
  <c r="I75" i="2"/>
  <c r="K75" i="2" s="1"/>
  <c r="F75" i="2"/>
  <c r="I81" i="5" l="1"/>
  <c r="K81" i="5" s="1"/>
  <c r="F81" i="5"/>
  <c r="I81" i="4"/>
  <c r="K81" i="4" s="1"/>
  <c r="F81" i="4"/>
  <c r="F81" i="3"/>
  <c r="I81" i="3"/>
  <c r="K81" i="3" s="1"/>
  <c r="G75" i="2"/>
  <c r="H75" i="2" s="1"/>
  <c r="J75" i="2" s="1"/>
  <c r="D76" i="2" s="1"/>
  <c r="G81" i="5" l="1"/>
  <c r="H81" i="5" s="1"/>
  <c r="J81" i="5" s="1"/>
  <c r="D82" i="5" s="1"/>
  <c r="G81" i="4"/>
  <c r="H81" i="4" s="1"/>
  <c r="J81" i="4" s="1"/>
  <c r="D82" i="4" s="1"/>
  <c r="G81" i="3"/>
  <c r="H81" i="3" s="1"/>
  <c r="J81" i="3" s="1"/>
  <c r="D82" i="3" s="1"/>
  <c r="I76" i="2"/>
  <c r="K76" i="2" s="1"/>
  <c r="F76" i="2"/>
  <c r="I82" i="5" l="1"/>
  <c r="K82" i="5" s="1"/>
  <c r="F82" i="5"/>
  <c r="I82" i="4"/>
  <c r="K82" i="4" s="1"/>
  <c r="F82" i="4"/>
  <c r="I82" i="3"/>
  <c r="K82" i="3" s="1"/>
  <c r="F82" i="3"/>
  <c r="G76" i="2"/>
  <c r="H76" i="2" s="1"/>
  <c r="J76" i="2" s="1"/>
  <c r="D77" i="2" s="1"/>
  <c r="G82" i="5" l="1"/>
  <c r="H82" i="5" s="1"/>
  <c r="J82" i="5" s="1"/>
  <c r="D83" i="5" s="1"/>
  <c r="G82" i="4"/>
  <c r="H82" i="4" s="1"/>
  <c r="J82" i="4" s="1"/>
  <c r="D83" i="4" s="1"/>
  <c r="G82" i="3"/>
  <c r="H82" i="3" s="1"/>
  <c r="J82" i="3" s="1"/>
  <c r="D83" i="3" s="1"/>
  <c r="I77" i="2"/>
  <c r="K77" i="2" s="1"/>
  <c r="F77" i="2"/>
  <c r="I83" i="5" l="1"/>
  <c r="K83" i="5" s="1"/>
  <c r="F83" i="5"/>
  <c r="I83" i="4"/>
  <c r="K83" i="4" s="1"/>
  <c r="F83" i="4"/>
  <c r="I83" i="3"/>
  <c r="K83" i="3" s="1"/>
  <c r="F83" i="3"/>
  <c r="G77" i="2"/>
  <c r="H77" i="2" s="1"/>
  <c r="J77" i="2" s="1"/>
  <c r="D78" i="2" s="1"/>
  <c r="G83" i="5" l="1"/>
  <c r="H83" i="5" s="1"/>
  <c r="J83" i="5" s="1"/>
  <c r="D84" i="5" s="1"/>
  <c r="G83" i="4"/>
  <c r="H83" i="4" s="1"/>
  <c r="J83" i="4" s="1"/>
  <c r="D84" i="4" s="1"/>
  <c r="G83" i="3"/>
  <c r="H83" i="3" s="1"/>
  <c r="J83" i="3" s="1"/>
  <c r="D84" i="3" s="1"/>
  <c r="I78" i="2"/>
  <c r="K78" i="2" s="1"/>
  <c r="F78" i="2"/>
  <c r="I84" i="5" l="1"/>
  <c r="K84" i="5" s="1"/>
  <c r="F84" i="5"/>
  <c r="F84" i="4"/>
  <c r="I84" i="4"/>
  <c r="K84" i="4" s="1"/>
  <c r="I84" i="3"/>
  <c r="K84" i="3" s="1"/>
  <c r="F84" i="3"/>
  <c r="G78" i="2"/>
  <c r="H78" i="2" s="1"/>
  <c r="J78" i="2" s="1"/>
  <c r="D79" i="2" s="1"/>
  <c r="G84" i="5" l="1"/>
  <c r="H84" i="5" s="1"/>
  <c r="J84" i="5" s="1"/>
  <c r="D85" i="5" s="1"/>
  <c r="G84" i="4"/>
  <c r="H84" i="4" s="1"/>
  <c r="J84" i="4" s="1"/>
  <c r="D85" i="4" s="1"/>
  <c r="G84" i="3"/>
  <c r="H84" i="3" s="1"/>
  <c r="J84" i="3" s="1"/>
  <c r="D85" i="3" s="1"/>
  <c r="I79" i="2"/>
  <c r="K79" i="2" s="1"/>
  <c r="F79" i="2"/>
  <c r="I85" i="5" l="1"/>
  <c r="K85" i="5" s="1"/>
  <c r="F85" i="5"/>
  <c r="I85" i="4"/>
  <c r="K85" i="4" s="1"/>
  <c r="F85" i="4"/>
  <c r="F85" i="3"/>
  <c r="I85" i="3"/>
  <c r="K85" i="3" s="1"/>
  <c r="G79" i="2"/>
  <c r="H79" i="2" s="1"/>
  <c r="J79" i="2" s="1"/>
  <c r="D80" i="2" s="1"/>
  <c r="G85" i="5" l="1"/>
  <c r="H85" i="5" s="1"/>
  <c r="J85" i="5" s="1"/>
  <c r="D86" i="5" s="1"/>
  <c r="G85" i="4"/>
  <c r="H85" i="4" s="1"/>
  <c r="J85" i="4" s="1"/>
  <c r="D86" i="4" s="1"/>
  <c r="G85" i="3"/>
  <c r="H85" i="3" s="1"/>
  <c r="J85" i="3" s="1"/>
  <c r="D86" i="3" s="1"/>
  <c r="I80" i="2"/>
  <c r="K80" i="2" s="1"/>
  <c r="F80" i="2"/>
  <c r="F86" i="5" l="1"/>
  <c r="I86" i="5"/>
  <c r="K86" i="5" s="1"/>
  <c r="F86" i="4"/>
  <c r="I86" i="4"/>
  <c r="K86" i="4" s="1"/>
  <c r="I86" i="3"/>
  <c r="K86" i="3" s="1"/>
  <c r="F86" i="3"/>
  <c r="G80" i="2"/>
  <c r="H80" i="2" s="1"/>
  <c r="J80" i="2" s="1"/>
  <c r="D81" i="2" s="1"/>
  <c r="G86" i="5" l="1"/>
  <c r="H86" i="5" s="1"/>
  <c r="J86" i="5" s="1"/>
  <c r="D87" i="5" s="1"/>
  <c r="G86" i="4"/>
  <c r="H86" i="4" s="1"/>
  <c r="J86" i="4" s="1"/>
  <c r="D87" i="4" s="1"/>
  <c r="G86" i="3"/>
  <c r="H86" i="3" s="1"/>
  <c r="J86" i="3" s="1"/>
  <c r="D87" i="3" s="1"/>
  <c r="I81" i="2"/>
  <c r="K81" i="2" s="1"/>
  <c r="F81" i="2"/>
  <c r="F87" i="5" l="1"/>
  <c r="I87" i="5"/>
  <c r="K87" i="5" s="1"/>
  <c r="I87" i="4"/>
  <c r="K87" i="4" s="1"/>
  <c r="F87" i="4"/>
  <c r="I87" i="3"/>
  <c r="K87" i="3" s="1"/>
  <c r="F87" i="3"/>
  <c r="G81" i="2"/>
  <c r="H81" i="2" s="1"/>
  <c r="J81" i="2" s="1"/>
  <c r="D82" i="2" s="1"/>
  <c r="G87" i="5" l="1"/>
  <c r="H87" i="5" s="1"/>
  <c r="J87" i="5" s="1"/>
  <c r="D88" i="5" s="1"/>
  <c r="G87" i="4"/>
  <c r="H87" i="4" s="1"/>
  <c r="J87" i="4"/>
  <c r="D88" i="4" s="1"/>
  <c r="G87" i="3"/>
  <c r="H87" i="3" s="1"/>
  <c r="J87" i="3" s="1"/>
  <c r="D88" i="3" s="1"/>
  <c r="I82" i="2"/>
  <c r="K82" i="2" s="1"/>
  <c r="F82" i="2"/>
  <c r="I88" i="5" l="1"/>
  <c r="K88" i="5" s="1"/>
  <c r="F88" i="5"/>
  <c r="I88" i="4"/>
  <c r="K88" i="4" s="1"/>
  <c r="F88" i="4"/>
  <c r="I88" i="3"/>
  <c r="K88" i="3" s="1"/>
  <c r="F88" i="3"/>
  <c r="G82" i="2"/>
  <c r="H82" i="2" s="1"/>
  <c r="J82" i="2" s="1"/>
  <c r="D83" i="2" s="1"/>
  <c r="G88" i="5" l="1"/>
  <c r="H88" i="5" s="1"/>
  <c r="J88" i="5" s="1"/>
  <c r="D89" i="5" s="1"/>
  <c r="G88" i="4"/>
  <c r="H88" i="4" s="1"/>
  <c r="J88" i="4" s="1"/>
  <c r="D89" i="4" s="1"/>
  <c r="G88" i="3"/>
  <c r="H88" i="3" s="1"/>
  <c r="J88" i="3" s="1"/>
  <c r="D89" i="3" s="1"/>
  <c r="I83" i="2"/>
  <c r="K83" i="2" s="1"/>
  <c r="F83" i="2"/>
  <c r="I89" i="5" l="1"/>
  <c r="K89" i="5" s="1"/>
  <c r="F89" i="5"/>
  <c r="I89" i="4"/>
  <c r="K89" i="4" s="1"/>
  <c r="F89" i="4"/>
  <c r="F89" i="3"/>
  <c r="I89" i="3"/>
  <c r="K89" i="3" s="1"/>
  <c r="G83" i="2"/>
  <c r="H83" i="2" s="1"/>
  <c r="J83" i="2" s="1"/>
  <c r="D84" i="2" s="1"/>
  <c r="G89" i="5" l="1"/>
  <c r="H89" i="5" s="1"/>
  <c r="J89" i="5" s="1"/>
  <c r="D90" i="5" s="1"/>
  <c r="G89" i="4"/>
  <c r="H89" i="4" s="1"/>
  <c r="J89" i="4" s="1"/>
  <c r="D90" i="4" s="1"/>
  <c r="G89" i="3"/>
  <c r="H89" i="3" s="1"/>
  <c r="J89" i="3" s="1"/>
  <c r="D90" i="3" s="1"/>
  <c r="I84" i="2"/>
  <c r="K84" i="2" s="1"/>
  <c r="F84" i="2"/>
  <c r="I90" i="5" l="1"/>
  <c r="K90" i="5" s="1"/>
  <c r="F90" i="5"/>
  <c r="I90" i="4"/>
  <c r="K90" i="4" s="1"/>
  <c r="F90" i="4"/>
  <c r="I90" i="3"/>
  <c r="K90" i="3" s="1"/>
  <c r="F90" i="3"/>
  <c r="G84" i="2"/>
  <c r="H84" i="2" s="1"/>
  <c r="J84" i="2" s="1"/>
  <c r="D85" i="2" s="1"/>
  <c r="G90" i="5" l="1"/>
  <c r="H90" i="5" s="1"/>
  <c r="J90" i="5" s="1"/>
  <c r="D91" i="5" s="1"/>
  <c r="G90" i="4"/>
  <c r="H90" i="4" s="1"/>
  <c r="J90" i="4" s="1"/>
  <c r="D91" i="4" s="1"/>
  <c r="G90" i="3"/>
  <c r="H90" i="3" s="1"/>
  <c r="J90" i="3" s="1"/>
  <c r="D91" i="3" s="1"/>
  <c r="I85" i="2"/>
  <c r="K85" i="2" s="1"/>
  <c r="F85" i="2"/>
  <c r="I91" i="5" l="1"/>
  <c r="K91" i="5" s="1"/>
  <c r="F91" i="5"/>
  <c r="I91" i="4"/>
  <c r="K91" i="4" s="1"/>
  <c r="F91" i="4"/>
  <c r="F91" i="3"/>
  <c r="I91" i="3"/>
  <c r="K91" i="3" s="1"/>
  <c r="G85" i="2"/>
  <c r="H85" i="2" s="1"/>
  <c r="J85" i="2" s="1"/>
  <c r="D86" i="2" s="1"/>
  <c r="G91" i="5" l="1"/>
  <c r="H91" i="5" s="1"/>
  <c r="J91" i="5" s="1"/>
  <c r="D92" i="5" s="1"/>
  <c r="G91" i="4"/>
  <c r="H91" i="4" s="1"/>
  <c r="J91" i="4" s="1"/>
  <c r="D92" i="4" s="1"/>
  <c r="G91" i="3"/>
  <c r="H91" i="3" s="1"/>
  <c r="J91" i="3" s="1"/>
  <c r="D92" i="3" s="1"/>
  <c r="F86" i="2"/>
  <c r="I86" i="2"/>
  <c r="K86" i="2" s="1"/>
  <c r="I92" i="5" l="1"/>
  <c r="K92" i="5" s="1"/>
  <c r="F92" i="5"/>
  <c r="I92" i="4"/>
  <c r="K92" i="4" s="1"/>
  <c r="F92" i="4"/>
  <c r="I92" i="3"/>
  <c r="K92" i="3" s="1"/>
  <c r="F92" i="3"/>
  <c r="G86" i="2"/>
  <c r="H86" i="2" s="1"/>
  <c r="J86" i="2" s="1"/>
  <c r="D87" i="2" s="1"/>
  <c r="G92" i="5" l="1"/>
  <c r="H92" i="5" s="1"/>
  <c r="J92" i="5" s="1"/>
  <c r="D93" i="5" s="1"/>
  <c r="G92" i="4"/>
  <c r="H92" i="4" s="1"/>
  <c r="J92" i="4" s="1"/>
  <c r="D93" i="4" s="1"/>
  <c r="G92" i="3"/>
  <c r="H92" i="3" s="1"/>
  <c r="J92" i="3" s="1"/>
  <c r="D93" i="3" s="1"/>
  <c r="I87" i="2"/>
  <c r="K87" i="2" s="1"/>
  <c r="F87" i="2"/>
  <c r="I93" i="5" l="1"/>
  <c r="K93" i="5" s="1"/>
  <c r="F93" i="5"/>
  <c r="I93" i="4"/>
  <c r="K93" i="4" s="1"/>
  <c r="F93" i="4"/>
  <c r="I93" i="3"/>
  <c r="K93" i="3" s="1"/>
  <c r="F93" i="3"/>
  <c r="G87" i="2"/>
  <c r="H87" i="2" s="1"/>
  <c r="J87" i="2" s="1"/>
  <c r="D88" i="2" s="1"/>
  <c r="G93" i="5" l="1"/>
  <c r="H93" i="5" s="1"/>
  <c r="J93" i="5" s="1"/>
  <c r="D94" i="5" s="1"/>
  <c r="G93" i="4"/>
  <c r="H93" i="4" s="1"/>
  <c r="J93" i="4" s="1"/>
  <c r="D94" i="4" s="1"/>
  <c r="G93" i="3"/>
  <c r="H93" i="3" s="1"/>
  <c r="J93" i="3" s="1"/>
  <c r="D94" i="3" s="1"/>
  <c r="I88" i="2"/>
  <c r="K88" i="2" s="1"/>
  <c r="F88" i="2"/>
  <c r="I94" i="5" l="1"/>
  <c r="K94" i="5" s="1"/>
  <c r="F94" i="5"/>
  <c r="I94" i="4"/>
  <c r="K94" i="4" s="1"/>
  <c r="F94" i="4"/>
  <c r="I94" i="3"/>
  <c r="K94" i="3" s="1"/>
  <c r="F94" i="3"/>
  <c r="G88" i="2"/>
  <c r="H88" i="2" s="1"/>
  <c r="J88" i="2" s="1"/>
  <c r="D89" i="2" s="1"/>
  <c r="G94" i="5" l="1"/>
  <c r="H94" i="5" s="1"/>
  <c r="J94" i="5" s="1"/>
  <c r="D95" i="5" s="1"/>
  <c r="G94" i="4"/>
  <c r="H94" i="4" s="1"/>
  <c r="J94" i="4" s="1"/>
  <c r="D95" i="4" s="1"/>
  <c r="G94" i="3"/>
  <c r="H94" i="3" s="1"/>
  <c r="J94" i="3" s="1"/>
  <c r="D95" i="3" s="1"/>
  <c r="I89" i="2"/>
  <c r="K89" i="2" s="1"/>
  <c r="F89" i="2"/>
  <c r="I95" i="5" l="1"/>
  <c r="K95" i="5" s="1"/>
  <c r="F95" i="5"/>
  <c r="F95" i="4"/>
  <c r="I95" i="4"/>
  <c r="K95" i="4" s="1"/>
  <c r="F95" i="3"/>
  <c r="I95" i="3"/>
  <c r="K95" i="3" s="1"/>
  <c r="G89" i="2"/>
  <c r="H89" i="2" s="1"/>
  <c r="J89" i="2" s="1"/>
  <c r="D90" i="2" s="1"/>
  <c r="G95" i="5" l="1"/>
  <c r="H95" i="5" s="1"/>
  <c r="J95" i="5" s="1"/>
  <c r="D96" i="5" s="1"/>
  <c r="G95" i="4"/>
  <c r="H95" i="4" s="1"/>
  <c r="J95" i="4" s="1"/>
  <c r="D96" i="4" s="1"/>
  <c r="G95" i="3"/>
  <c r="H95" i="3" s="1"/>
  <c r="J95" i="3" s="1"/>
  <c r="D96" i="3" s="1"/>
  <c r="I90" i="2"/>
  <c r="K90" i="2" s="1"/>
  <c r="F90" i="2"/>
  <c r="I96" i="5" l="1"/>
  <c r="K96" i="5" s="1"/>
  <c r="F96" i="5"/>
  <c r="I96" i="4"/>
  <c r="K96" i="4" s="1"/>
  <c r="F96" i="4"/>
  <c r="F96" i="3"/>
  <c r="I96" i="3"/>
  <c r="K96" i="3" s="1"/>
  <c r="G90" i="2"/>
  <c r="H90" i="2" s="1"/>
  <c r="J90" i="2" s="1"/>
  <c r="D91" i="2" s="1"/>
  <c r="G96" i="5" l="1"/>
  <c r="H96" i="5" s="1"/>
  <c r="J96" i="5" s="1"/>
  <c r="D97" i="5" s="1"/>
  <c r="G96" i="4"/>
  <c r="H96" i="4" s="1"/>
  <c r="J96" i="4" s="1"/>
  <c r="D97" i="4" s="1"/>
  <c r="G96" i="3"/>
  <c r="H96" i="3" s="1"/>
  <c r="J96" i="3" s="1"/>
  <c r="D97" i="3" s="1"/>
  <c r="I91" i="2"/>
  <c r="K91" i="2" s="1"/>
  <c r="F91" i="2"/>
  <c r="I97" i="5" l="1"/>
  <c r="K97" i="5" s="1"/>
  <c r="F97" i="5"/>
  <c r="F97" i="4"/>
  <c r="I97" i="4"/>
  <c r="K97" i="4" s="1"/>
  <c r="I97" i="3"/>
  <c r="K97" i="3" s="1"/>
  <c r="F97" i="3"/>
  <c r="G91" i="2"/>
  <c r="H91" i="2" s="1"/>
  <c r="J91" i="2" s="1"/>
  <c r="D92" i="2" s="1"/>
  <c r="G97" i="5" l="1"/>
  <c r="H97" i="5" s="1"/>
  <c r="J97" i="5" s="1"/>
  <c r="D98" i="5" s="1"/>
  <c r="G97" i="4"/>
  <c r="H97" i="4" s="1"/>
  <c r="J97" i="4" s="1"/>
  <c r="D98" i="4" s="1"/>
  <c r="G97" i="3"/>
  <c r="H97" i="3" s="1"/>
  <c r="J97" i="3" s="1"/>
  <c r="D98" i="3" s="1"/>
  <c r="I92" i="2"/>
  <c r="K92" i="2" s="1"/>
  <c r="F92" i="2"/>
  <c r="I98" i="5" l="1"/>
  <c r="K98" i="5" s="1"/>
  <c r="F98" i="5"/>
  <c r="I98" i="4"/>
  <c r="K98" i="4" s="1"/>
  <c r="F98" i="4"/>
  <c r="F98" i="3"/>
  <c r="I98" i="3"/>
  <c r="K98" i="3" s="1"/>
  <c r="G92" i="2"/>
  <c r="H92" i="2" s="1"/>
  <c r="J92" i="2" s="1"/>
  <c r="D93" i="2" s="1"/>
  <c r="G98" i="5" l="1"/>
  <c r="H98" i="5" s="1"/>
  <c r="J98" i="5" s="1"/>
  <c r="D99" i="5" s="1"/>
  <c r="G98" i="4"/>
  <c r="H98" i="4" s="1"/>
  <c r="J98" i="4" s="1"/>
  <c r="D99" i="4" s="1"/>
  <c r="G98" i="3"/>
  <c r="H98" i="3" s="1"/>
  <c r="J98" i="3" s="1"/>
  <c r="D99" i="3" s="1"/>
  <c r="I93" i="2"/>
  <c r="K93" i="2" s="1"/>
  <c r="F93" i="2"/>
  <c r="I99" i="5" l="1"/>
  <c r="K99" i="5" s="1"/>
  <c r="F99" i="5"/>
  <c r="I99" i="4"/>
  <c r="K99" i="4" s="1"/>
  <c r="F99" i="4"/>
  <c r="I99" i="3"/>
  <c r="K99" i="3" s="1"/>
  <c r="F99" i="3"/>
  <c r="G93" i="2"/>
  <c r="H93" i="2" s="1"/>
  <c r="J93" i="2" s="1"/>
  <c r="D94" i="2" s="1"/>
  <c r="G99" i="5" l="1"/>
  <c r="H99" i="5" s="1"/>
  <c r="J99" i="5" s="1"/>
  <c r="D100" i="5" s="1"/>
  <c r="G99" i="4"/>
  <c r="H99" i="4" s="1"/>
  <c r="J99" i="4" s="1"/>
  <c r="D100" i="4" s="1"/>
  <c r="G99" i="3"/>
  <c r="H99" i="3" s="1"/>
  <c r="J99" i="3" s="1"/>
  <c r="D100" i="3" s="1"/>
  <c r="I94" i="2"/>
  <c r="K94" i="2" s="1"/>
  <c r="F94" i="2"/>
  <c r="I100" i="5" l="1"/>
  <c r="K100" i="5" s="1"/>
  <c r="F100" i="5"/>
  <c r="I100" i="4"/>
  <c r="K100" i="4" s="1"/>
  <c r="F100" i="4"/>
  <c r="I100" i="3"/>
  <c r="K100" i="3" s="1"/>
  <c r="F100" i="3"/>
  <c r="G94" i="2"/>
  <c r="H94" i="2" s="1"/>
  <c r="J94" i="2" s="1"/>
  <c r="D95" i="2" s="1"/>
  <c r="G100" i="5" l="1"/>
  <c r="H100" i="5" s="1"/>
  <c r="J100" i="5" s="1"/>
  <c r="D101" i="5" s="1"/>
  <c r="G100" i="4"/>
  <c r="H100" i="4" s="1"/>
  <c r="J100" i="4" s="1"/>
  <c r="D101" i="4" s="1"/>
  <c r="G100" i="3"/>
  <c r="H100" i="3" s="1"/>
  <c r="J100" i="3" s="1"/>
  <c r="D101" i="3" s="1"/>
  <c r="I95" i="2"/>
  <c r="K95" i="2" s="1"/>
  <c r="F95" i="2"/>
  <c r="I101" i="5" l="1"/>
  <c r="K101" i="5" s="1"/>
  <c r="F101" i="5"/>
  <c r="I101" i="4"/>
  <c r="K101" i="4" s="1"/>
  <c r="F101" i="4"/>
  <c r="F101" i="3"/>
  <c r="I101" i="3"/>
  <c r="K101" i="3" s="1"/>
  <c r="G95" i="2"/>
  <c r="H95" i="2" s="1"/>
  <c r="J95" i="2" s="1"/>
  <c r="D96" i="2" s="1"/>
  <c r="G101" i="5" l="1"/>
  <c r="H101" i="5" s="1"/>
  <c r="J101" i="5" s="1"/>
  <c r="D102" i="5" s="1"/>
  <c r="G101" i="4"/>
  <c r="H101" i="4" s="1"/>
  <c r="J101" i="4" s="1"/>
  <c r="D102" i="4" s="1"/>
  <c r="G101" i="3"/>
  <c r="H101" i="3" s="1"/>
  <c r="J101" i="3" s="1"/>
  <c r="D102" i="3" s="1"/>
  <c r="I96" i="2"/>
  <c r="K96" i="2" s="1"/>
  <c r="F96" i="2"/>
  <c r="I102" i="5" l="1"/>
  <c r="K102" i="5" s="1"/>
  <c r="F102" i="5"/>
  <c r="I102" i="4"/>
  <c r="K102" i="4" s="1"/>
  <c r="F102" i="4"/>
  <c r="F102" i="3"/>
  <c r="I102" i="3"/>
  <c r="K102" i="3" s="1"/>
  <c r="G96" i="2"/>
  <c r="H96" i="2" s="1"/>
  <c r="J96" i="2" s="1"/>
  <c r="D97" i="2" s="1"/>
  <c r="G102" i="5" l="1"/>
  <c r="H102" i="5" s="1"/>
  <c r="J102" i="5" s="1"/>
  <c r="D103" i="5" s="1"/>
  <c r="G102" i="4"/>
  <c r="H102" i="4" s="1"/>
  <c r="J102" i="4" s="1"/>
  <c r="D103" i="4" s="1"/>
  <c r="G102" i="3"/>
  <c r="H102" i="3" s="1"/>
  <c r="J102" i="3" s="1"/>
  <c r="D103" i="3" s="1"/>
  <c r="I97" i="2"/>
  <c r="K97" i="2" s="1"/>
  <c r="F97" i="2"/>
  <c r="F103" i="5" l="1"/>
  <c r="I103" i="5"/>
  <c r="K103" i="5" s="1"/>
  <c r="I103" i="4"/>
  <c r="K103" i="4" s="1"/>
  <c r="F103" i="4"/>
  <c r="I103" i="3"/>
  <c r="K103" i="3" s="1"/>
  <c r="F103" i="3"/>
  <c r="G97" i="2"/>
  <c r="H97" i="2" s="1"/>
  <c r="J97" i="2" s="1"/>
  <c r="D98" i="2" s="1"/>
  <c r="G103" i="5" l="1"/>
  <c r="H103" i="5" s="1"/>
  <c r="J103" i="5" s="1"/>
  <c r="D104" i="5" s="1"/>
  <c r="G103" i="4"/>
  <c r="H103" i="4" s="1"/>
  <c r="J103" i="4" s="1"/>
  <c r="D104" i="4" s="1"/>
  <c r="G103" i="3"/>
  <c r="H103" i="3" s="1"/>
  <c r="J103" i="3" s="1"/>
  <c r="D104" i="3" s="1"/>
  <c r="I98" i="2"/>
  <c r="K98" i="2" s="1"/>
  <c r="F98" i="2"/>
  <c r="I104" i="5" l="1"/>
  <c r="K104" i="5" s="1"/>
  <c r="F104" i="5"/>
  <c r="I104" i="4"/>
  <c r="K104" i="4" s="1"/>
  <c r="F104" i="4"/>
  <c r="I104" i="3"/>
  <c r="K104" i="3" s="1"/>
  <c r="F104" i="3"/>
  <c r="G98" i="2"/>
  <c r="H98" i="2" s="1"/>
  <c r="J98" i="2" s="1"/>
  <c r="D99" i="2" s="1"/>
  <c r="G104" i="5" l="1"/>
  <c r="H104" i="5" s="1"/>
  <c r="J104" i="5" s="1"/>
  <c r="D105" i="5" s="1"/>
  <c r="G104" i="4"/>
  <c r="H104" i="4" s="1"/>
  <c r="J104" i="4" s="1"/>
  <c r="D105" i="4" s="1"/>
  <c r="G104" i="3"/>
  <c r="H104" i="3" s="1"/>
  <c r="J104" i="3" s="1"/>
  <c r="D105" i="3" s="1"/>
  <c r="I99" i="2"/>
  <c r="K99" i="2" s="1"/>
  <c r="F99" i="2"/>
  <c r="I105" i="5" l="1"/>
  <c r="K105" i="5" s="1"/>
  <c r="F105" i="5"/>
  <c r="I105" i="4"/>
  <c r="K105" i="4" s="1"/>
  <c r="F105" i="4"/>
  <c r="I105" i="3"/>
  <c r="K105" i="3" s="1"/>
  <c r="F105" i="3"/>
  <c r="G99" i="2"/>
  <c r="H99" i="2" s="1"/>
  <c r="J99" i="2" s="1"/>
  <c r="D100" i="2" s="1"/>
  <c r="G105" i="5" l="1"/>
  <c r="H105" i="5" s="1"/>
  <c r="J105" i="5" s="1"/>
  <c r="D106" i="5" s="1"/>
  <c r="G105" i="4"/>
  <c r="H105" i="4" s="1"/>
  <c r="J105" i="4" s="1"/>
  <c r="D106" i="4" s="1"/>
  <c r="G105" i="3"/>
  <c r="H105" i="3" s="1"/>
  <c r="J105" i="3" s="1"/>
  <c r="D106" i="3" s="1"/>
  <c r="I100" i="2"/>
  <c r="K100" i="2" s="1"/>
  <c r="F100" i="2"/>
  <c r="F106" i="5" l="1"/>
  <c r="I106" i="5"/>
  <c r="K106" i="5" s="1"/>
  <c r="F106" i="4"/>
  <c r="I106" i="4"/>
  <c r="K106" i="4" s="1"/>
  <c r="I106" i="3"/>
  <c r="K106" i="3" s="1"/>
  <c r="F106" i="3"/>
  <c r="G100" i="2"/>
  <c r="H100" i="2" s="1"/>
  <c r="J100" i="2" s="1"/>
  <c r="D101" i="2" s="1"/>
  <c r="G106" i="5" l="1"/>
  <c r="H106" i="5" s="1"/>
  <c r="J106" i="5" s="1"/>
  <c r="D107" i="5" s="1"/>
  <c r="G106" i="4"/>
  <c r="H106" i="4" s="1"/>
  <c r="J106" i="4" s="1"/>
  <c r="D107" i="4" s="1"/>
  <c r="G106" i="3"/>
  <c r="H106" i="3" s="1"/>
  <c r="J106" i="3" s="1"/>
  <c r="D107" i="3" s="1"/>
  <c r="I101" i="2"/>
  <c r="K101" i="2" s="1"/>
  <c r="F101" i="2"/>
  <c r="I107" i="5" l="1"/>
  <c r="K107" i="5" s="1"/>
  <c r="F107" i="5"/>
  <c r="I107" i="4"/>
  <c r="K107" i="4" s="1"/>
  <c r="F107" i="4"/>
  <c r="F107" i="3"/>
  <c r="I107" i="3"/>
  <c r="K107" i="3" s="1"/>
  <c r="G101" i="2"/>
  <c r="H101" i="2" s="1"/>
  <c r="J101" i="2" s="1"/>
  <c r="D102" i="2" s="1"/>
  <c r="G107" i="5" l="1"/>
  <c r="H107" i="5" s="1"/>
  <c r="J107" i="5" s="1"/>
  <c r="D108" i="5" s="1"/>
  <c r="G107" i="4"/>
  <c r="H107" i="4" s="1"/>
  <c r="J107" i="4" s="1"/>
  <c r="D108" i="4" s="1"/>
  <c r="G107" i="3"/>
  <c r="H107" i="3" s="1"/>
  <c r="J107" i="3" s="1"/>
  <c r="D108" i="3" s="1"/>
  <c r="I102" i="2"/>
  <c r="K102" i="2" s="1"/>
  <c r="F102" i="2"/>
  <c r="F108" i="5" l="1"/>
  <c r="I108" i="5"/>
  <c r="K108" i="5" s="1"/>
  <c r="I108" i="4"/>
  <c r="K108" i="4" s="1"/>
  <c r="F108" i="4"/>
  <c r="F108" i="3"/>
  <c r="I108" i="3"/>
  <c r="K108" i="3" s="1"/>
  <c r="G102" i="2"/>
  <c r="H102" i="2" s="1"/>
  <c r="J102" i="2" s="1"/>
  <c r="D103" i="2" s="1"/>
  <c r="G108" i="5" l="1"/>
  <c r="H108" i="5" s="1"/>
  <c r="J108" i="5" s="1"/>
  <c r="D109" i="5" s="1"/>
  <c r="G108" i="4"/>
  <c r="H108" i="4" s="1"/>
  <c r="J108" i="4" s="1"/>
  <c r="D109" i="4" s="1"/>
  <c r="G108" i="3"/>
  <c r="H108" i="3" s="1"/>
  <c r="J108" i="3" s="1"/>
  <c r="D109" i="3" s="1"/>
  <c r="F103" i="2"/>
  <c r="I103" i="2"/>
  <c r="K103" i="2" s="1"/>
  <c r="I109" i="5" l="1"/>
  <c r="K109" i="5" s="1"/>
  <c r="F109" i="5"/>
  <c r="F109" i="4"/>
  <c r="I109" i="4"/>
  <c r="K109" i="4" s="1"/>
  <c r="I109" i="3"/>
  <c r="K109" i="3" s="1"/>
  <c r="F109" i="3"/>
  <c r="G103" i="2"/>
  <c r="H103" i="2" s="1"/>
  <c r="J103" i="2" s="1"/>
  <c r="D104" i="2" s="1"/>
  <c r="G109" i="5" l="1"/>
  <c r="H109" i="5" s="1"/>
  <c r="J109" i="5" s="1"/>
  <c r="D110" i="5" s="1"/>
  <c r="G109" i="4"/>
  <c r="H109" i="4" s="1"/>
  <c r="J109" i="4" s="1"/>
  <c r="D110" i="4" s="1"/>
  <c r="G109" i="3"/>
  <c r="H109" i="3" s="1"/>
  <c r="J109" i="3" s="1"/>
  <c r="D110" i="3" s="1"/>
  <c r="F104" i="2"/>
  <c r="I104" i="2"/>
  <c r="K104" i="2" s="1"/>
  <c r="F110" i="5" l="1"/>
  <c r="I110" i="5"/>
  <c r="K110" i="5" s="1"/>
  <c r="I110" i="4"/>
  <c r="K110" i="4" s="1"/>
  <c r="F110" i="4"/>
  <c r="F110" i="3"/>
  <c r="I110" i="3"/>
  <c r="K110" i="3" s="1"/>
  <c r="G104" i="2"/>
  <c r="H104" i="2" s="1"/>
  <c r="J104" i="2" s="1"/>
  <c r="D105" i="2" s="1"/>
  <c r="G110" i="5" l="1"/>
  <c r="H110" i="5" s="1"/>
  <c r="J110" i="5" s="1"/>
  <c r="D111" i="5" s="1"/>
  <c r="G110" i="4"/>
  <c r="H110" i="4" s="1"/>
  <c r="J110" i="4" s="1"/>
  <c r="D111" i="4" s="1"/>
  <c r="G110" i="3"/>
  <c r="H110" i="3" s="1"/>
  <c r="J110" i="3" s="1"/>
  <c r="D111" i="3" s="1"/>
  <c r="I105" i="2"/>
  <c r="K105" i="2" s="1"/>
  <c r="F105" i="2"/>
  <c r="I111" i="5" l="1"/>
  <c r="K111" i="5" s="1"/>
  <c r="F111" i="5"/>
  <c r="I111" i="4"/>
  <c r="K111" i="4" s="1"/>
  <c r="F111" i="4"/>
  <c r="I111" i="3"/>
  <c r="K111" i="3" s="1"/>
  <c r="F111" i="3"/>
  <c r="G105" i="2"/>
  <c r="H105" i="2" s="1"/>
  <c r="J105" i="2" s="1"/>
  <c r="D106" i="2" s="1"/>
  <c r="G111" i="5" l="1"/>
  <c r="H111" i="5" s="1"/>
  <c r="J111" i="5" s="1"/>
  <c r="D112" i="5" s="1"/>
  <c r="G111" i="4"/>
  <c r="H111" i="4" s="1"/>
  <c r="J111" i="4" s="1"/>
  <c r="D112" i="4" s="1"/>
  <c r="G111" i="3"/>
  <c r="H111" i="3" s="1"/>
  <c r="J111" i="3" s="1"/>
  <c r="D112" i="3" s="1"/>
  <c r="I106" i="2"/>
  <c r="K106" i="2" s="1"/>
  <c r="F106" i="2"/>
  <c r="I112" i="5" l="1"/>
  <c r="K112" i="5" s="1"/>
  <c r="F112" i="5"/>
  <c r="I112" i="4"/>
  <c r="K112" i="4" s="1"/>
  <c r="F112" i="4"/>
  <c r="I112" i="3"/>
  <c r="K112" i="3" s="1"/>
  <c r="F112" i="3"/>
  <c r="G106" i="2"/>
  <c r="H106" i="2" s="1"/>
  <c r="J106" i="2" s="1"/>
  <c r="D107" i="2" s="1"/>
  <c r="G112" i="5" l="1"/>
  <c r="H112" i="5" s="1"/>
  <c r="J112" i="5" s="1"/>
  <c r="D113" i="5" s="1"/>
  <c r="G112" i="4"/>
  <c r="H112" i="4" s="1"/>
  <c r="J112" i="4" s="1"/>
  <c r="D113" i="4" s="1"/>
  <c r="G112" i="3"/>
  <c r="H112" i="3" s="1"/>
  <c r="J112" i="3" s="1"/>
  <c r="D113" i="3" s="1"/>
  <c r="F107" i="2"/>
  <c r="I107" i="2"/>
  <c r="K107" i="2" s="1"/>
  <c r="I113" i="5" l="1"/>
  <c r="K113" i="5" s="1"/>
  <c r="F113" i="5"/>
  <c r="I113" i="4"/>
  <c r="K113" i="4" s="1"/>
  <c r="F113" i="4"/>
  <c r="I113" i="3"/>
  <c r="K113" i="3" s="1"/>
  <c r="F113" i="3"/>
  <c r="G107" i="2"/>
  <c r="H107" i="2" s="1"/>
  <c r="J107" i="2" s="1"/>
  <c r="D108" i="2" s="1"/>
  <c r="G113" i="5" l="1"/>
  <c r="H113" i="5" s="1"/>
  <c r="J113" i="5" s="1"/>
  <c r="D114" i="5" s="1"/>
  <c r="G113" i="4"/>
  <c r="H113" i="4" s="1"/>
  <c r="J113" i="4" s="1"/>
  <c r="D114" i="4" s="1"/>
  <c r="G113" i="3"/>
  <c r="H113" i="3" s="1"/>
  <c r="J113" i="3" s="1"/>
  <c r="D114" i="3" s="1"/>
  <c r="I108" i="2"/>
  <c r="K108" i="2" s="1"/>
  <c r="F108" i="2"/>
  <c r="F114" i="5" l="1"/>
  <c r="I114" i="5"/>
  <c r="K114" i="5" s="1"/>
  <c r="I114" i="4"/>
  <c r="K114" i="4" s="1"/>
  <c r="F114" i="4"/>
  <c r="I114" i="3"/>
  <c r="K114" i="3" s="1"/>
  <c r="F114" i="3"/>
  <c r="G108" i="2"/>
  <c r="H108" i="2" s="1"/>
  <c r="J108" i="2" s="1"/>
  <c r="D109" i="2" s="1"/>
  <c r="G114" i="5" l="1"/>
  <c r="H114" i="5" s="1"/>
  <c r="J114" i="5" s="1"/>
  <c r="D115" i="5" s="1"/>
  <c r="G114" i="4"/>
  <c r="H114" i="4" s="1"/>
  <c r="J114" i="4" s="1"/>
  <c r="D115" i="4" s="1"/>
  <c r="G114" i="3"/>
  <c r="H114" i="3" s="1"/>
  <c r="J114" i="3" s="1"/>
  <c r="D115" i="3" s="1"/>
  <c r="I109" i="2"/>
  <c r="K109" i="2" s="1"/>
  <c r="F109" i="2"/>
  <c r="I115" i="5" l="1"/>
  <c r="K115" i="5" s="1"/>
  <c r="F115" i="5"/>
  <c r="I115" i="4"/>
  <c r="K115" i="4" s="1"/>
  <c r="F115" i="4"/>
  <c r="I115" i="3"/>
  <c r="K115" i="3" s="1"/>
  <c r="F115" i="3"/>
  <c r="G109" i="2"/>
  <c r="H109" i="2" s="1"/>
  <c r="J109" i="2" s="1"/>
  <c r="D110" i="2" s="1"/>
  <c r="G115" i="5" l="1"/>
  <c r="H115" i="5" s="1"/>
  <c r="J115" i="5" s="1"/>
  <c r="D116" i="5" s="1"/>
  <c r="G115" i="4"/>
  <c r="H115" i="4" s="1"/>
  <c r="J115" i="4" s="1"/>
  <c r="D116" i="4" s="1"/>
  <c r="G115" i="3"/>
  <c r="H115" i="3" s="1"/>
  <c r="J115" i="3" s="1"/>
  <c r="D116" i="3" s="1"/>
  <c r="I110" i="2"/>
  <c r="K110" i="2" s="1"/>
  <c r="F110" i="2"/>
  <c r="I116" i="5" l="1"/>
  <c r="K116" i="5" s="1"/>
  <c r="F116" i="5"/>
  <c r="F116" i="4"/>
  <c r="I116" i="4"/>
  <c r="K116" i="4" s="1"/>
  <c r="I116" i="3"/>
  <c r="K116" i="3" s="1"/>
  <c r="F116" i="3"/>
  <c r="G110" i="2"/>
  <c r="H110" i="2" s="1"/>
  <c r="J110" i="2" s="1"/>
  <c r="D111" i="2" s="1"/>
  <c r="G116" i="5" l="1"/>
  <c r="H116" i="5" s="1"/>
  <c r="J116" i="5" s="1"/>
  <c r="D117" i="5" s="1"/>
  <c r="G116" i="4"/>
  <c r="H116" i="4" s="1"/>
  <c r="J116" i="4" s="1"/>
  <c r="D117" i="4" s="1"/>
  <c r="G116" i="3"/>
  <c r="H116" i="3" s="1"/>
  <c r="J116" i="3" s="1"/>
  <c r="D117" i="3" s="1"/>
  <c r="I111" i="2"/>
  <c r="K111" i="2" s="1"/>
  <c r="F111" i="2"/>
  <c r="I117" i="5" l="1"/>
  <c r="K117" i="5" s="1"/>
  <c r="F117" i="5"/>
  <c r="I117" i="4"/>
  <c r="K117" i="4" s="1"/>
  <c r="F117" i="4"/>
  <c r="F117" i="3"/>
  <c r="I117" i="3"/>
  <c r="K117" i="3" s="1"/>
  <c r="G111" i="2"/>
  <c r="H111" i="2" s="1"/>
  <c r="J111" i="2" s="1"/>
  <c r="D112" i="2" s="1"/>
  <c r="G117" i="5" l="1"/>
  <c r="H117" i="5" s="1"/>
  <c r="J117" i="5" s="1"/>
  <c r="D118" i="5" s="1"/>
  <c r="G117" i="4"/>
  <c r="H117" i="4" s="1"/>
  <c r="J117" i="4" s="1"/>
  <c r="D118" i="4" s="1"/>
  <c r="G117" i="3"/>
  <c r="H117" i="3" s="1"/>
  <c r="J117" i="3" s="1"/>
  <c r="D118" i="3" s="1"/>
  <c r="I112" i="2"/>
  <c r="K112" i="2" s="1"/>
  <c r="F112" i="2"/>
  <c r="I118" i="5" l="1"/>
  <c r="K118" i="5" s="1"/>
  <c r="F118" i="5"/>
  <c r="I118" i="4"/>
  <c r="K118" i="4" s="1"/>
  <c r="F118" i="4"/>
  <c r="F118" i="3"/>
  <c r="I118" i="3"/>
  <c r="K118" i="3" s="1"/>
  <c r="G112" i="2"/>
  <c r="H112" i="2" s="1"/>
  <c r="J112" i="2" s="1"/>
  <c r="D113" i="2" s="1"/>
  <c r="G118" i="5" l="1"/>
  <c r="H118" i="5" s="1"/>
  <c r="J118" i="5" s="1"/>
  <c r="D119" i="5" s="1"/>
  <c r="G118" i="4"/>
  <c r="H118" i="4" s="1"/>
  <c r="J118" i="4" s="1"/>
  <c r="D119" i="4" s="1"/>
  <c r="G118" i="3"/>
  <c r="H118" i="3" s="1"/>
  <c r="J118" i="3" s="1"/>
  <c r="D119" i="3" s="1"/>
  <c r="I113" i="2"/>
  <c r="K113" i="2" s="1"/>
  <c r="F113" i="2"/>
  <c r="I119" i="5" l="1"/>
  <c r="K119" i="5" s="1"/>
  <c r="F119" i="5"/>
  <c r="I119" i="4"/>
  <c r="K119" i="4" s="1"/>
  <c r="F119" i="4"/>
  <c r="I119" i="3"/>
  <c r="K119" i="3" s="1"/>
  <c r="F119" i="3"/>
  <c r="G113" i="2"/>
  <c r="H113" i="2" s="1"/>
  <c r="J113" i="2" s="1"/>
  <c r="D114" i="2" s="1"/>
  <c r="G119" i="5" l="1"/>
  <c r="H119" i="5" s="1"/>
  <c r="J119" i="5" s="1"/>
  <c r="D120" i="5" s="1"/>
  <c r="G119" i="4"/>
  <c r="H119" i="4" s="1"/>
  <c r="J119" i="4" s="1"/>
  <c r="D120" i="4" s="1"/>
  <c r="G119" i="3"/>
  <c r="H119" i="3" s="1"/>
  <c r="J119" i="3" s="1"/>
  <c r="D120" i="3" s="1"/>
  <c r="I114" i="2"/>
  <c r="K114" i="2" s="1"/>
  <c r="F114" i="2"/>
  <c r="I120" i="5" l="1"/>
  <c r="K120" i="5" s="1"/>
  <c r="F120" i="5"/>
  <c r="I120" i="4"/>
  <c r="K120" i="4" s="1"/>
  <c r="F120" i="4"/>
  <c r="I120" i="3"/>
  <c r="K120" i="3" s="1"/>
  <c r="F120" i="3"/>
  <c r="G114" i="2"/>
  <c r="H114" i="2" s="1"/>
  <c r="J114" i="2" s="1"/>
  <c r="D115" i="2" s="1"/>
  <c r="G120" i="5" l="1"/>
  <c r="H120" i="5" s="1"/>
  <c r="J120" i="5" s="1"/>
  <c r="D121" i="5" s="1"/>
  <c r="G120" i="4"/>
  <c r="H120" i="4" s="1"/>
  <c r="J120" i="4" s="1"/>
  <c r="D121" i="4" s="1"/>
  <c r="G120" i="3"/>
  <c r="H120" i="3" s="1"/>
  <c r="J120" i="3" s="1"/>
  <c r="D121" i="3" s="1"/>
  <c r="I115" i="2"/>
  <c r="K115" i="2" s="1"/>
  <c r="F115" i="2"/>
  <c r="I121" i="5" l="1"/>
  <c r="K121" i="5" s="1"/>
  <c r="F121" i="5"/>
  <c r="I121" i="4"/>
  <c r="K121" i="4" s="1"/>
  <c r="F121" i="4"/>
  <c r="I121" i="3"/>
  <c r="K121" i="3" s="1"/>
  <c r="F121" i="3"/>
  <c r="G115" i="2"/>
  <c r="H115" i="2" s="1"/>
  <c r="J115" i="2" s="1"/>
  <c r="D116" i="2" s="1"/>
  <c r="G121" i="5" l="1"/>
  <c r="H121" i="5" s="1"/>
  <c r="J121" i="5" s="1"/>
  <c r="D122" i="5" s="1"/>
  <c r="G121" i="4"/>
  <c r="H121" i="4" s="1"/>
  <c r="J121" i="4" s="1"/>
  <c r="D122" i="4" s="1"/>
  <c r="G121" i="3"/>
  <c r="H121" i="3" s="1"/>
  <c r="J121" i="3" s="1"/>
  <c r="D122" i="3" s="1"/>
  <c r="I116" i="2"/>
  <c r="K116" i="2" s="1"/>
  <c r="F116" i="2"/>
  <c r="I122" i="5" l="1"/>
  <c r="K122" i="5" s="1"/>
  <c r="F122" i="5"/>
  <c r="I122" i="4"/>
  <c r="K122" i="4" s="1"/>
  <c r="F122" i="4"/>
  <c r="I122" i="3"/>
  <c r="K122" i="3" s="1"/>
  <c r="F122" i="3"/>
  <c r="G116" i="2"/>
  <c r="H116" i="2" s="1"/>
  <c r="J116" i="2" s="1"/>
  <c r="D117" i="2" s="1"/>
  <c r="G122" i="5" l="1"/>
  <c r="H122" i="5" s="1"/>
  <c r="J122" i="5" s="1"/>
  <c r="D123" i="5" s="1"/>
  <c r="G122" i="4"/>
  <c r="H122" i="4" s="1"/>
  <c r="J122" i="4" s="1"/>
  <c r="D123" i="4" s="1"/>
  <c r="G122" i="3"/>
  <c r="H122" i="3" s="1"/>
  <c r="J122" i="3" s="1"/>
  <c r="D123" i="3" s="1"/>
  <c r="F117" i="2"/>
  <c r="I117" i="2"/>
  <c r="K117" i="2" s="1"/>
  <c r="I123" i="5" l="1"/>
  <c r="K123" i="5" s="1"/>
  <c r="F123" i="5"/>
  <c r="I123" i="4"/>
  <c r="K123" i="4" s="1"/>
  <c r="F123" i="4"/>
  <c r="I123" i="3"/>
  <c r="K123" i="3" s="1"/>
  <c r="F123" i="3"/>
  <c r="G117" i="2"/>
  <c r="H117" i="2" s="1"/>
  <c r="J117" i="2" s="1"/>
  <c r="D118" i="2" s="1"/>
  <c r="G123" i="5" l="1"/>
  <c r="H123" i="5" s="1"/>
  <c r="J123" i="5" s="1"/>
  <c r="D124" i="5" s="1"/>
  <c r="G123" i="4"/>
  <c r="H123" i="4" s="1"/>
  <c r="J123" i="4" s="1"/>
  <c r="D124" i="4" s="1"/>
  <c r="G123" i="3"/>
  <c r="H123" i="3" s="1"/>
  <c r="J123" i="3" s="1"/>
  <c r="D124" i="3" s="1"/>
  <c r="I118" i="2"/>
  <c r="K118" i="2" s="1"/>
  <c r="F118" i="2"/>
  <c r="F124" i="5" l="1"/>
  <c r="I124" i="5"/>
  <c r="K124" i="5" s="1"/>
  <c r="I124" i="4"/>
  <c r="K124" i="4" s="1"/>
  <c r="F124" i="4"/>
  <c r="I124" i="3"/>
  <c r="K124" i="3" s="1"/>
  <c r="F124" i="3"/>
  <c r="G118" i="2"/>
  <c r="H118" i="2" s="1"/>
  <c r="J118" i="2" s="1"/>
  <c r="D119" i="2" s="1"/>
  <c r="G124" i="5" l="1"/>
  <c r="H124" i="5" s="1"/>
  <c r="J124" i="5" s="1"/>
  <c r="D125" i="5" s="1"/>
  <c r="G124" i="4"/>
  <c r="H124" i="4" s="1"/>
  <c r="J124" i="4" s="1"/>
  <c r="D125" i="4" s="1"/>
  <c r="G124" i="3"/>
  <c r="H124" i="3" s="1"/>
  <c r="J124" i="3" s="1"/>
  <c r="D125" i="3" s="1"/>
  <c r="I119" i="2"/>
  <c r="K119" i="2" s="1"/>
  <c r="F119" i="2"/>
  <c r="F125" i="5" l="1"/>
  <c r="I125" i="5"/>
  <c r="K125" i="5" s="1"/>
  <c r="I125" i="4"/>
  <c r="K125" i="4" s="1"/>
  <c r="F125" i="4"/>
  <c r="F125" i="3"/>
  <c r="I125" i="3"/>
  <c r="K125" i="3" s="1"/>
  <c r="G119" i="2"/>
  <c r="H119" i="2" s="1"/>
  <c r="J119" i="2" s="1"/>
  <c r="D120" i="2" s="1"/>
  <c r="G125" i="5" l="1"/>
  <c r="H125" i="5" s="1"/>
  <c r="J125" i="5" s="1"/>
  <c r="D126" i="5" s="1"/>
  <c r="G125" i="4"/>
  <c r="H125" i="4" s="1"/>
  <c r="J125" i="4" s="1"/>
  <c r="D126" i="4" s="1"/>
  <c r="G125" i="3"/>
  <c r="H125" i="3" s="1"/>
  <c r="J125" i="3" s="1"/>
  <c r="D126" i="3" s="1"/>
  <c r="I120" i="2"/>
  <c r="K120" i="2" s="1"/>
  <c r="F120" i="2"/>
  <c r="I126" i="5" l="1"/>
  <c r="K126" i="5" s="1"/>
  <c r="F126" i="5"/>
  <c r="I126" i="4"/>
  <c r="K126" i="4" s="1"/>
  <c r="F126" i="4"/>
  <c r="I126" i="3"/>
  <c r="K126" i="3" s="1"/>
  <c r="F126" i="3"/>
  <c r="G120" i="2"/>
  <c r="H120" i="2" s="1"/>
  <c r="J120" i="2" s="1"/>
  <c r="D121" i="2" s="1"/>
  <c r="G126" i="5" l="1"/>
  <c r="H126" i="5" s="1"/>
  <c r="J126" i="5" s="1"/>
  <c r="D127" i="5" s="1"/>
  <c r="G126" i="4"/>
  <c r="H126" i="4" s="1"/>
  <c r="J126" i="4" s="1"/>
  <c r="D127" i="4" s="1"/>
  <c r="G126" i="3"/>
  <c r="H126" i="3" s="1"/>
  <c r="J126" i="3" s="1"/>
  <c r="D127" i="3" s="1"/>
  <c r="I121" i="2"/>
  <c r="K121" i="2" s="1"/>
  <c r="F121" i="2"/>
  <c r="I127" i="5" l="1"/>
  <c r="K127" i="5" s="1"/>
  <c r="F127" i="5"/>
  <c r="F127" i="4"/>
  <c r="I127" i="4"/>
  <c r="K127" i="4" s="1"/>
  <c r="F127" i="3"/>
  <c r="I127" i="3"/>
  <c r="K127" i="3" s="1"/>
  <c r="G121" i="2"/>
  <c r="H121" i="2" s="1"/>
  <c r="J121" i="2" s="1"/>
  <c r="D122" i="2" s="1"/>
  <c r="G127" i="5" l="1"/>
  <c r="H127" i="5" s="1"/>
  <c r="J127" i="5" s="1"/>
  <c r="D128" i="5" s="1"/>
  <c r="G127" i="4"/>
  <c r="H127" i="4" s="1"/>
  <c r="J127" i="4" s="1"/>
  <c r="D128" i="4" s="1"/>
  <c r="G127" i="3"/>
  <c r="H127" i="3" s="1"/>
  <c r="J127" i="3" s="1"/>
  <c r="D128" i="3" s="1"/>
  <c r="I122" i="2"/>
  <c r="K122" i="2" s="1"/>
  <c r="F122" i="2"/>
  <c r="I128" i="5" l="1"/>
  <c r="K128" i="5" s="1"/>
  <c r="F128" i="5"/>
  <c r="I128" i="4"/>
  <c r="K128" i="4" s="1"/>
  <c r="F128" i="4"/>
  <c r="I128" i="3"/>
  <c r="K128" i="3" s="1"/>
  <c r="F128" i="3"/>
  <c r="G122" i="2"/>
  <c r="H122" i="2" s="1"/>
  <c r="J122" i="2" s="1"/>
  <c r="D123" i="2" s="1"/>
  <c r="G128" i="5" l="1"/>
  <c r="H128" i="5" s="1"/>
  <c r="J128" i="5" s="1"/>
  <c r="D129" i="5" s="1"/>
  <c r="G128" i="4"/>
  <c r="H128" i="4" s="1"/>
  <c r="J128" i="4" s="1"/>
  <c r="D129" i="4" s="1"/>
  <c r="G128" i="3"/>
  <c r="H128" i="3" s="1"/>
  <c r="J128" i="3" s="1"/>
  <c r="D129" i="3" s="1"/>
  <c r="I123" i="2"/>
  <c r="K123" i="2" s="1"/>
  <c r="F123" i="2"/>
  <c r="I129" i="5" l="1"/>
  <c r="K129" i="5" s="1"/>
  <c r="F129" i="5"/>
  <c r="F129" i="4"/>
  <c r="I129" i="4"/>
  <c r="K129" i="4" s="1"/>
  <c r="I129" i="3"/>
  <c r="K129" i="3" s="1"/>
  <c r="F129" i="3"/>
  <c r="G123" i="2"/>
  <c r="H123" i="2" s="1"/>
  <c r="J123" i="2" s="1"/>
  <c r="D124" i="2" s="1"/>
  <c r="G129" i="5" l="1"/>
  <c r="H129" i="5" s="1"/>
  <c r="J129" i="5" s="1"/>
  <c r="D130" i="5" s="1"/>
  <c r="G129" i="4"/>
  <c r="H129" i="4" s="1"/>
  <c r="J129" i="4" s="1"/>
  <c r="D130" i="4" s="1"/>
  <c r="G129" i="3"/>
  <c r="H129" i="3" s="1"/>
  <c r="J129" i="3" s="1"/>
  <c r="D130" i="3" s="1"/>
  <c r="I124" i="2"/>
  <c r="K124" i="2" s="1"/>
  <c r="F124" i="2"/>
  <c r="F130" i="5" l="1"/>
  <c r="I130" i="5"/>
  <c r="K130" i="5" s="1"/>
  <c r="I130" i="4"/>
  <c r="K130" i="4" s="1"/>
  <c r="F130" i="4"/>
  <c r="I130" i="3"/>
  <c r="K130" i="3" s="1"/>
  <c r="F130" i="3"/>
  <c r="G124" i="2"/>
  <c r="H124" i="2" s="1"/>
  <c r="J124" i="2" s="1"/>
  <c r="D125" i="2" s="1"/>
  <c r="G130" i="5" l="1"/>
  <c r="H130" i="5" s="1"/>
  <c r="J130" i="5" s="1"/>
  <c r="D131" i="5" s="1"/>
  <c r="G130" i="4"/>
  <c r="H130" i="4" s="1"/>
  <c r="J130" i="4" s="1"/>
  <c r="D131" i="4" s="1"/>
  <c r="G130" i="3"/>
  <c r="H130" i="3" s="1"/>
  <c r="J130" i="3" s="1"/>
  <c r="D131" i="3" s="1"/>
  <c r="I125" i="2"/>
  <c r="K125" i="2" s="1"/>
  <c r="F125" i="2"/>
  <c r="I131" i="5" l="1"/>
  <c r="K131" i="5" s="1"/>
  <c r="F131" i="5"/>
  <c r="F131" i="4"/>
  <c r="I131" i="4"/>
  <c r="K131" i="4" s="1"/>
  <c r="F131" i="3"/>
  <c r="I131" i="3"/>
  <c r="K131" i="3" s="1"/>
  <c r="G125" i="2"/>
  <c r="H125" i="2" s="1"/>
  <c r="J125" i="2" s="1"/>
  <c r="D126" i="2" s="1"/>
  <c r="G131" i="5" l="1"/>
  <c r="H131" i="5" s="1"/>
  <c r="J131" i="5" s="1"/>
  <c r="D132" i="5" s="1"/>
  <c r="G131" i="4"/>
  <c r="H131" i="4" s="1"/>
  <c r="J131" i="4" s="1"/>
  <c r="D132" i="4" s="1"/>
  <c r="G131" i="3"/>
  <c r="H131" i="3" s="1"/>
  <c r="J131" i="3" s="1"/>
  <c r="D132" i="3" s="1"/>
  <c r="F126" i="2"/>
  <c r="I126" i="2"/>
  <c r="K126" i="2" s="1"/>
  <c r="F132" i="5" l="1"/>
  <c r="I132" i="5"/>
  <c r="K132" i="5" s="1"/>
  <c r="I132" i="4"/>
  <c r="K132" i="4" s="1"/>
  <c r="F132" i="4"/>
  <c r="I132" i="3"/>
  <c r="K132" i="3" s="1"/>
  <c r="F132" i="3"/>
  <c r="G126" i="2"/>
  <c r="H126" i="2" s="1"/>
  <c r="J126" i="2" s="1"/>
  <c r="D127" i="2" s="1"/>
  <c r="G132" i="5" l="1"/>
  <c r="H132" i="5" s="1"/>
  <c r="J132" i="5" s="1"/>
  <c r="D133" i="5" s="1"/>
  <c r="G132" i="4"/>
  <c r="H132" i="4" s="1"/>
  <c r="J132" i="4" s="1"/>
  <c r="D133" i="4" s="1"/>
  <c r="G132" i="3"/>
  <c r="H132" i="3" s="1"/>
  <c r="J132" i="3" s="1"/>
  <c r="D133" i="3" s="1"/>
  <c r="I127" i="2"/>
  <c r="K127" i="2" s="1"/>
  <c r="F127" i="2"/>
  <c r="I133" i="5" l="1"/>
  <c r="K133" i="5" s="1"/>
  <c r="F133" i="5"/>
  <c r="I133" i="4"/>
  <c r="K133" i="4" s="1"/>
  <c r="F133" i="4"/>
  <c r="F133" i="3"/>
  <c r="I133" i="3"/>
  <c r="K133" i="3" s="1"/>
  <c r="G127" i="2"/>
  <c r="H127" i="2" s="1"/>
  <c r="J127" i="2" s="1"/>
  <c r="D128" i="2" s="1"/>
  <c r="G133" i="5" l="1"/>
  <c r="H133" i="5" s="1"/>
  <c r="J133" i="5" s="1"/>
  <c r="D134" i="5" s="1"/>
  <c r="G133" i="4"/>
  <c r="H133" i="4" s="1"/>
  <c r="J133" i="4" s="1"/>
  <c r="D134" i="4" s="1"/>
  <c r="G133" i="3"/>
  <c r="H133" i="3" s="1"/>
  <c r="J133" i="3" s="1"/>
  <c r="D134" i="3" s="1"/>
  <c r="I128" i="2"/>
  <c r="K128" i="2" s="1"/>
  <c r="F128" i="2"/>
  <c r="I134" i="5" l="1"/>
  <c r="K134" i="5" s="1"/>
  <c r="F134" i="5"/>
  <c r="I134" i="4"/>
  <c r="K134" i="4" s="1"/>
  <c r="F134" i="4"/>
  <c r="F134" i="3"/>
  <c r="I134" i="3"/>
  <c r="K134" i="3" s="1"/>
  <c r="G128" i="2"/>
  <c r="H128" i="2" s="1"/>
  <c r="J128" i="2" s="1"/>
  <c r="D129" i="2" s="1"/>
  <c r="G134" i="5" l="1"/>
  <c r="H134" i="5" s="1"/>
  <c r="J134" i="5" s="1"/>
  <c r="D135" i="5" s="1"/>
  <c r="G134" i="4"/>
  <c r="H134" i="4" s="1"/>
  <c r="J134" i="4" s="1"/>
  <c r="D135" i="4" s="1"/>
  <c r="G134" i="3"/>
  <c r="H134" i="3" s="1"/>
  <c r="J134" i="3" s="1"/>
  <c r="D135" i="3" s="1"/>
  <c r="F129" i="2"/>
  <c r="I129" i="2"/>
  <c r="K129" i="2" s="1"/>
  <c r="I135" i="5" l="1"/>
  <c r="K135" i="5" s="1"/>
  <c r="F135" i="5"/>
  <c r="I135" i="4"/>
  <c r="K135" i="4" s="1"/>
  <c r="F135" i="4"/>
  <c r="I135" i="3"/>
  <c r="K135" i="3" s="1"/>
  <c r="F135" i="3"/>
  <c r="G129" i="2"/>
  <c r="H129" i="2" s="1"/>
  <c r="J129" i="2" s="1"/>
  <c r="D130" i="2" s="1"/>
  <c r="G135" i="5" l="1"/>
  <c r="H135" i="5" s="1"/>
  <c r="J135" i="5" s="1"/>
  <c r="D136" i="5" s="1"/>
  <c r="G135" i="4"/>
  <c r="H135" i="4" s="1"/>
  <c r="J135" i="4" s="1"/>
  <c r="D136" i="4" s="1"/>
  <c r="G135" i="3"/>
  <c r="H135" i="3" s="1"/>
  <c r="J135" i="3" s="1"/>
  <c r="D136" i="3" s="1"/>
  <c r="I130" i="2"/>
  <c r="K130" i="2" s="1"/>
  <c r="F130" i="2"/>
  <c r="I136" i="5" l="1"/>
  <c r="K136" i="5" s="1"/>
  <c r="F136" i="5"/>
  <c r="F136" i="4"/>
  <c r="I136" i="4"/>
  <c r="K136" i="4" s="1"/>
  <c r="I136" i="3"/>
  <c r="K136" i="3" s="1"/>
  <c r="F136" i="3"/>
  <c r="G130" i="2"/>
  <c r="H130" i="2" s="1"/>
  <c r="J130" i="2" s="1"/>
  <c r="D131" i="2" s="1"/>
  <c r="G136" i="5" l="1"/>
  <c r="H136" i="5" s="1"/>
  <c r="J136" i="5" s="1"/>
  <c r="D137" i="5" s="1"/>
  <c r="G136" i="4"/>
  <c r="H136" i="4" s="1"/>
  <c r="J136" i="4" s="1"/>
  <c r="D137" i="4" s="1"/>
  <c r="G136" i="3"/>
  <c r="H136" i="3" s="1"/>
  <c r="J136" i="3" s="1"/>
  <c r="D137" i="3" s="1"/>
  <c r="I131" i="2"/>
  <c r="K131" i="2" s="1"/>
  <c r="F131" i="2"/>
  <c r="I137" i="5" l="1"/>
  <c r="K137" i="5" s="1"/>
  <c r="F137" i="5"/>
  <c r="I137" i="4"/>
  <c r="K137" i="4" s="1"/>
  <c r="F137" i="4"/>
  <c r="F137" i="3"/>
  <c r="I137" i="3"/>
  <c r="K137" i="3" s="1"/>
  <c r="G131" i="2"/>
  <c r="H131" i="2" s="1"/>
  <c r="J131" i="2" s="1"/>
  <c r="D132" i="2" s="1"/>
  <c r="G137" i="5" l="1"/>
  <c r="H137" i="5" s="1"/>
  <c r="J137" i="5" s="1"/>
  <c r="D138" i="5" s="1"/>
  <c r="G137" i="4"/>
  <c r="H137" i="4" s="1"/>
  <c r="J137" i="4" s="1"/>
  <c r="D138" i="4" s="1"/>
  <c r="G137" i="3"/>
  <c r="H137" i="3" s="1"/>
  <c r="J137" i="3" s="1"/>
  <c r="D138" i="3" s="1"/>
  <c r="I132" i="2"/>
  <c r="K132" i="2" s="1"/>
  <c r="F132" i="2"/>
  <c r="I138" i="5" l="1"/>
  <c r="K138" i="5" s="1"/>
  <c r="F138" i="5"/>
  <c r="F138" i="4"/>
  <c r="I138" i="4"/>
  <c r="K138" i="4" s="1"/>
  <c r="I138" i="3"/>
  <c r="K138" i="3" s="1"/>
  <c r="F138" i="3"/>
  <c r="G132" i="2"/>
  <c r="H132" i="2" s="1"/>
  <c r="J132" i="2" s="1"/>
  <c r="D133" i="2" s="1"/>
  <c r="G138" i="5" l="1"/>
  <c r="H138" i="5" s="1"/>
  <c r="J138" i="5" s="1"/>
  <c r="D139" i="5" s="1"/>
  <c r="G138" i="4"/>
  <c r="H138" i="4" s="1"/>
  <c r="J138" i="4" s="1"/>
  <c r="D139" i="4" s="1"/>
  <c r="G138" i="3"/>
  <c r="H138" i="3" s="1"/>
  <c r="J138" i="3" s="1"/>
  <c r="D139" i="3" s="1"/>
  <c r="I133" i="2"/>
  <c r="K133" i="2" s="1"/>
  <c r="F133" i="2"/>
  <c r="I139" i="5" l="1"/>
  <c r="K139" i="5" s="1"/>
  <c r="F139" i="5"/>
  <c r="I139" i="4"/>
  <c r="K139" i="4" s="1"/>
  <c r="F139" i="4"/>
  <c r="I139" i="3"/>
  <c r="K139" i="3" s="1"/>
  <c r="F139" i="3"/>
  <c r="G133" i="2"/>
  <c r="H133" i="2" s="1"/>
  <c r="J133" i="2" s="1"/>
  <c r="D134" i="2" s="1"/>
  <c r="G139" i="5" l="1"/>
  <c r="H139" i="5" s="1"/>
  <c r="J139" i="5" s="1"/>
  <c r="D140" i="5" s="1"/>
  <c r="G139" i="4"/>
  <c r="H139" i="4" s="1"/>
  <c r="J139" i="4" s="1"/>
  <c r="D140" i="4" s="1"/>
  <c r="G139" i="3"/>
  <c r="H139" i="3" s="1"/>
  <c r="J139" i="3" s="1"/>
  <c r="D140" i="3" s="1"/>
  <c r="I134" i="2"/>
  <c r="K134" i="2" s="1"/>
  <c r="F134" i="2"/>
  <c r="I140" i="5" l="1"/>
  <c r="K140" i="5" s="1"/>
  <c r="F140" i="5"/>
  <c r="I140" i="4"/>
  <c r="K140" i="4" s="1"/>
  <c r="F140" i="4"/>
  <c r="I140" i="3"/>
  <c r="K140" i="3" s="1"/>
  <c r="F140" i="3"/>
  <c r="G134" i="2"/>
  <c r="H134" i="2" s="1"/>
  <c r="J134" i="2" s="1"/>
  <c r="D135" i="2" s="1"/>
  <c r="G140" i="5" l="1"/>
  <c r="H140" i="5" s="1"/>
  <c r="J140" i="5" s="1"/>
  <c r="D141" i="5" s="1"/>
  <c r="G140" i="4"/>
  <c r="H140" i="4" s="1"/>
  <c r="J140" i="4" s="1"/>
  <c r="D141" i="4" s="1"/>
  <c r="G140" i="3"/>
  <c r="H140" i="3" s="1"/>
  <c r="J140" i="3" s="1"/>
  <c r="D141" i="3" s="1"/>
  <c r="I135" i="2"/>
  <c r="K135" i="2" s="1"/>
  <c r="F135" i="2"/>
  <c r="I141" i="5" l="1"/>
  <c r="K141" i="5" s="1"/>
  <c r="F141" i="5"/>
  <c r="F141" i="4"/>
  <c r="I141" i="4"/>
  <c r="K141" i="4" s="1"/>
  <c r="F141" i="3"/>
  <c r="I141" i="3"/>
  <c r="K141" i="3" s="1"/>
  <c r="G135" i="2"/>
  <c r="H135" i="2" s="1"/>
  <c r="J135" i="2" s="1"/>
  <c r="D136" i="2" s="1"/>
  <c r="G141" i="5" l="1"/>
  <c r="H141" i="5" s="1"/>
  <c r="J141" i="5" s="1"/>
  <c r="D142" i="5" s="1"/>
  <c r="G141" i="4"/>
  <c r="H141" i="4" s="1"/>
  <c r="J141" i="4" s="1"/>
  <c r="D142" i="4" s="1"/>
  <c r="G141" i="3"/>
  <c r="H141" i="3" s="1"/>
  <c r="J141" i="3" s="1"/>
  <c r="D142" i="3" s="1"/>
  <c r="F136" i="2"/>
  <c r="I136" i="2"/>
  <c r="K136" i="2" s="1"/>
  <c r="I142" i="5" l="1"/>
  <c r="K142" i="5" s="1"/>
  <c r="F142" i="5"/>
  <c r="I142" i="4"/>
  <c r="K142" i="4" s="1"/>
  <c r="F142" i="4"/>
  <c r="I142" i="3"/>
  <c r="K142" i="3" s="1"/>
  <c r="F142" i="3"/>
  <c r="G136" i="2"/>
  <c r="H136" i="2" s="1"/>
  <c r="J136" i="2" s="1"/>
  <c r="D137" i="2" s="1"/>
  <c r="G142" i="5" l="1"/>
  <c r="H142" i="5" s="1"/>
  <c r="J142" i="5" s="1"/>
  <c r="D143" i="5" s="1"/>
  <c r="G142" i="4"/>
  <c r="H142" i="4" s="1"/>
  <c r="J142" i="4" s="1"/>
  <c r="D143" i="4" s="1"/>
  <c r="G142" i="3"/>
  <c r="H142" i="3" s="1"/>
  <c r="J142" i="3" s="1"/>
  <c r="D143" i="3" s="1"/>
  <c r="I137" i="2"/>
  <c r="K137" i="2" s="1"/>
  <c r="F137" i="2"/>
  <c r="I143" i="5" l="1"/>
  <c r="K143" i="5" s="1"/>
  <c r="F143" i="5"/>
  <c r="I143" i="4"/>
  <c r="K143" i="4" s="1"/>
  <c r="F143" i="4"/>
  <c r="I143" i="3"/>
  <c r="K143" i="3" s="1"/>
  <c r="F143" i="3"/>
  <c r="G137" i="2"/>
  <c r="H137" i="2" s="1"/>
  <c r="J137" i="2" s="1"/>
  <c r="D138" i="2" s="1"/>
  <c r="G143" i="5" l="1"/>
  <c r="H143" i="5" s="1"/>
  <c r="J143" i="5" s="1"/>
  <c r="D144" i="5" s="1"/>
  <c r="G143" i="4"/>
  <c r="H143" i="4" s="1"/>
  <c r="J143" i="4" s="1"/>
  <c r="D144" i="4" s="1"/>
  <c r="G143" i="3"/>
  <c r="H143" i="3" s="1"/>
  <c r="J143" i="3" s="1"/>
  <c r="D144" i="3" s="1"/>
  <c r="I138" i="2"/>
  <c r="K138" i="2" s="1"/>
  <c r="F138" i="2"/>
  <c r="I144" i="5" l="1"/>
  <c r="K144" i="5" s="1"/>
  <c r="F144" i="5"/>
  <c r="I144" i="4"/>
  <c r="K144" i="4" s="1"/>
  <c r="F144" i="4"/>
  <c r="I144" i="3"/>
  <c r="K144" i="3" s="1"/>
  <c r="F144" i="3"/>
  <c r="G138" i="2"/>
  <c r="H138" i="2" s="1"/>
  <c r="J138" i="2" s="1"/>
  <c r="D139" i="2" s="1"/>
  <c r="G144" i="5" l="1"/>
  <c r="H144" i="5" s="1"/>
  <c r="J144" i="5" s="1"/>
  <c r="D145" i="5" s="1"/>
  <c r="G144" i="4"/>
  <c r="H144" i="4" s="1"/>
  <c r="J144" i="4" s="1"/>
  <c r="D145" i="4" s="1"/>
  <c r="G144" i="3"/>
  <c r="H144" i="3" s="1"/>
  <c r="J144" i="3" s="1"/>
  <c r="D145" i="3" s="1"/>
  <c r="I139" i="2"/>
  <c r="K139" i="2" s="1"/>
  <c r="F139" i="2"/>
  <c r="I145" i="5" l="1"/>
  <c r="K145" i="5" s="1"/>
  <c r="F145" i="5"/>
  <c r="I145" i="4"/>
  <c r="K145" i="4" s="1"/>
  <c r="F145" i="4"/>
  <c r="I145" i="3"/>
  <c r="K145" i="3" s="1"/>
  <c r="F145" i="3"/>
  <c r="G139" i="2"/>
  <c r="H139" i="2" s="1"/>
  <c r="J139" i="2" s="1"/>
  <c r="D140" i="2" s="1"/>
  <c r="G145" i="5" l="1"/>
  <c r="H145" i="5" s="1"/>
  <c r="J145" i="5" s="1"/>
  <c r="D146" i="5" s="1"/>
  <c r="G145" i="4"/>
  <c r="H145" i="4" s="1"/>
  <c r="J145" i="4" s="1"/>
  <c r="D146" i="4" s="1"/>
  <c r="G145" i="3"/>
  <c r="H145" i="3" s="1"/>
  <c r="J145" i="3" s="1"/>
  <c r="D146" i="3" s="1"/>
  <c r="I140" i="2"/>
  <c r="K140" i="2" s="1"/>
  <c r="F140" i="2"/>
  <c r="F146" i="5" l="1"/>
  <c r="I146" i="5"/>
  <c r="K146" i="5" s="1"/>
  <c r="I146" i="4"/>
  <c r="K146" i="4" s="1"/>
  <c r="F146" i="4"/>
  <c r="F146" i="3"/>
  <c r="I146" i="3"/>
  <c r="K146" i="3" s="1"/>
  <c r="G140" i="2"/>
  <c r="H140" i="2" s="1"/>
  <c r="J140" i="2" s="1"/>
  <c r="D141" i="2" s="1"/>
  <c r="G146" i="5" l="1"/>
  <c r="H146" i="5" s="1"/>
  <c r="J146" i="5" s="1"/>
  <c r="D147" i="5" s="1"/>
  <c r="G146" i="4"/>
  <c r="H146" i="4" s="1"/>
  <c r="J146" i="4" s="1"/>
  <c r="D147" i="4" s="1"/>
  <c r="G146" i="3"/>
  <c r="H146" i="3" s="1"/>
  <c r="J146" i="3" s="1"/>
  <c r="D147" i="3" s="1"/>
  <c r="I141" i="2"/>
  <c r="K141" i="2" s="1"/>
  <c r="F141" i="2"/>
  <c r="F147" i="5" l="1"/>
  <c r="I147" i="5"/>
  <c r="K147" i="5" s="1"/>
  <c r="I147" i="4"/>
  <c r="K147" i="4" s="1"/>
  <c r="F147" i="4"/>
  <c r="F147" i="3"/>
  <c r="I147" i="3"/>
  <c r="K147" i="3" s="1"/>
  <c r="G141" i="2"/>
  <c r="H141" i="2" s="1"/>
  <c r="J141" i="2" s="1"/>
  <c r="D142" i="2" s="1"/>
  <c r="G147" i="5" l="1"/>
  <c r="H147" i="5" s="1"/>
  <c r="J147" i="5" s="1"/>
  <c r="D148" i="5" s="1"/>
  <c r="G147" i="4"/>
  <c r="H147" i="4" s="1"/>
  <c r="J147" i="4" s="1"/>
  <c r="D148" i="4" s="1"/>
  <c r="G147" i="3"/>
  <c r="H147" i="3" s="1"/>
  <c r="J147" i="3" s="1"/>
  <c r="D148" i="3" s="1"/>
  <c r="I142" i="2"/>
  <c r="K142" i="2" s="1"/>
  <c r="F142" i="2"/>
  <c r="I148" i="5" l="1"/>
  <c r="K148" i="5" s="1"/>
  <c r="F148" i="5"/>
  <c r="F148" i="4"/>
  <c r="I148" i="4"/>
  <c r="K148" i="4" s="1"/>
  <c r="I148" i="3"/>
  <c r="K148" i="3" s="1"/>
  <c r="F148" i="3"/>
  <c r="G142" i="2"/>
  <c r="H142" i="2" s="1"/>
  <c r="J142" i="2" s="1"/>
  <c r="D143" i="2" s="1"/>
  <c r="G148" i="5" l="1"/>
  <c r="H148" i="5" s="1"/>
  <c r="J148" i="5" s="1"/>
  <c r="D149" i="5" s="1"/>
  <c r="G148" i="4"/>
  <c r="H148" i="4" s="1"/>
  <c r="J148" i="4" s="1"/>
  <c r="D149" i="4" s="1"/>
  <c r="G148" i="3"/>
  <c r="H148" i="3" s="1"/>
  <c r="J148" i="3" s="1"/>
  <c r="D149" i="3" s="1"/>
  <c r="F143" i="2"/>
  <c r="I143" i="2"/>
  <c r="K143" i="2" s="1"/>
  <c r="I149" i="5" l="1"/>
  <c r="K149" i="5" s="1"/>
  <c r="F149" i="5"/>
  <c r="I149" i="4"/>
  <c r="K149" i="4" s="1"/>
  <c r="F149" i="4"/>
  <c r="F149" i="3"/>
  <c r="I149" i="3"/>
  <c r="K149" i="3" s="1"/>
  <c r="G143" i="2"/>
  <c r="H143" i="2" s="1"/>
  <c r="J143" i="2" s="1"/>
  <c r="D144" i="2" s="1"/>
  <c r="G149" i="5" l="1"/>
  <c r="H149" i="5" s="1"/>
  <c r="J149" i="5" s="1"/>
  <c r="D150" i="5" s="1"/>
  <c r="G149" i="4"/>
  <c r="H149" i="4" s="1"/>
  <c r="J149" i="4" s="1"/>
  <c r="D150" i="4" s="1"/>
  <c r="G149" i="3"/>
  <c r="H149" i="3" s="1"/>
  <c r="J149" i="3" s="1"/>
  <c r="D150" i="3" s="1"/>
  <c r="I144" i="2"/>
  <c r="K144" i="2" s="1"/>
  <c r="F144" i="2"/>
  <c r="F150" i="5" l="1"/>
  <c r="I150" i="5"/>
  <c r="K150" i="5" s="1"/>
  <c r="I150" i="4"/>
  <c r="K150" i="4" s="1"/>
  <c r="F150" i="4"/>
  <c r="I150" i="3"/>
  <c r="K150" i="3" s="1"/>
  <c r="F150" i="3"/>
  <c r="G144" i="2"/>
  <c r="H144" i="2" s="1"/>
  <c r="J144" i="2" s="1"/>
  <c r="D145" i="2" s="1"/>
  <c r="G150" i="5" l="1"/>
  <c r="H150" i="5" s="1"/>
  <c r="J150" i="5" s="1"/>
  <c r="D151" i="5" s="1"/>
  <c r="G150" i="4"/>
  <c r="H150" i="4" s="1"/>
  <c r="J150" i="4" s="1"/>
  <c r="D151" i="4" s="1"/>
  <c r="G150" i="3"/>
  <c r="H150" i="3" s="1"/>
  <c r="J150" i="3" s="1"/>
  <c r="D151" i="3" s="1"/>
  <c r="I145" i="2"/>
  <c r="K145" i="2" s="1"/>
  <c r="F145" i="2"/>
  <c r="I151" i="5" l="1"/>
  <c r="K151" i="5" s="1"/>
  <c r="F151" i="5"/>
  <c r="I151" i="4"/>
  <c r="K151" i="4" s="1"/>
  <c r="F151" i="4"/>
  <c r="I151" i="3"/>
  <c r="K151" i="3" s="1"/>
  <c r="F151" i="3"/>
  <c r="G145" i="2"/>
  <c r="H145" i="2" s="1"/>
  <c r="J145" i="2" s="1"/>
  <c r="D146" i="2" s="1"/>
  <c r="G151" i="5" l="1"/>
  <c r="H151" i="5" s="1"/>
  <c r="J151" i="5" s="1"/>
  <c r="D152" i="5" s="1"/>
  <c r="G151" i="4"/>
  <c r="H151" i="4" s="1"/>
  <c r="J151" i="4" s="1"/>
  <c r="D152" i="4" s="1"/>
  <c r="G151" i="3"/>
  <c r="H151" i="3" s="1"/>
  <c r="J151" i="3" s="1"/>
  <c r="D152" i="3" s="1"/>
  <c r="I146" i="2"/>
  <c r="K146" i="2" s="1"/>
  <c r="F146" i="2"/>
  <c r="F152" i="5" l="1"/>
  <c r="I152" i="5"/>
  <c r="K152" i="5" s="1"/>
  <c r="I152" i="4"/>
  <c r="K152" i="4" s="1"/>
  <c r="F152" i="4"/>
  <c r="I152" i="3"/>
  <c r="K152" i="3" s="1"/>
  <c r="F152" i="3"/>
  <c r="G146" i="2"/>
  <c r="H146" i="2" s="1"/>
  <c r="J146" i="2" s="1"/>
  <c r="D147" i="2" s="1"/>
  <c r="G152" i="5" l="1"/>
  <c r="H152" i="5" s="1"/>
  <c r="J152" i="5" s="1"/>
  <c r="D153" i="5" s="1"/>
  <c r="G152" i="4"/>
  <c r="H152" i="4" s="1"/>
  <c r="J152" i="4" s="1"/>
  <c r="D153" i="4" s="1"/>
  <c r="G152" i="3"/>
  <c r="H152" i="3" s="1"/>
  <c r="J152" i="3" s="1"/>
  <c r="D153" i="3" s="1"/>
  <c r="I147" i="2"/>
  <c r="K147" i="2" s="1"/>
  <c r="F147" i="2"/>
  <c r="F153" i="5" l="1"/>
  <c r="I153" i="5"/>
  <c r="K153" i="5" s="1"/>
  <c r="I153" i="4"/>
  <c r="K153" i="4" s="1"/>
  <c r="F153" i="4"/>
  <c r="F153" i="3"/>
  <c r="I153" i="3"/>
  <c r="K153" i="3" s="1"/>
  <c r="G147" i="2"/>
  <c r="H147" i="2" s="1"/>
  <c r="J147" i="2" s="1"/>
  <c r="D148" i="2" s="1"/>
  <c r="G153" i="5" l="1"/>
  <c r="H153" i="5" s="1"/>
  <c r="J153" i="5" s="1"/>
  <c r="D154" i="5" s="1"/>
  <c r="G153" i="4"/>
  <c r="H153" i="4" s="1"/>
  <c r="J153" i="4" s="1"/>
  <c r="D154" i="4" s="1"/>
  <c r="G153" i="3"/>
  <c r="H153" i="3" s="1"/>
  <c r="J153" i="3" s="1"/>
  <c r="D154" i="3" s="1"/>
  <c r="I148" i="2"/>
  <c r="K148" i="2" s="1"/>
  <c r="F148" i="2"/>
  <c r="I154" i="5" l="1"/>
  <c r="K154" i="5" s="1"/>
  <c r="F154" i="5"/>
  <c r="I154" i="4"/>
  <c r="K154" i="4" s="1"/>
  <c r="F154" i="4"/>
  <c r="I154" i="3"/>
  <c r="K154" i="3" s="1"/>
  <c r="F154" i="3"/>
  <c r="G148" i="2"/>
  <c r="H148" i="2" s="1"/>
  <c r="J148" i="2" s="1"/>
  <c r="D149" i="2" s="1"/>
  <c r="G154" i="5" l="1"/>
  <c r="H154" i="5" s="1"/>
  <c r="J154" i="5" s="1"/>
  <c r="D155" i="5" s="1"/>
  <c r="G154" i="4"/>
  <c r="H154" i="4" s="1"/>
  <c r="J154" i="4" s="1"/>
  <c r="D155" i="4" s="1"/>
  <c r="G154" i="3"/>
  <c r="H154" i="3" s="1"/>
  <c r="J154" i="3" s="1"/>
  <c r="D155" i="3" s="1"/>
  <c r="I149" i="2"/>
  <c r="K149" i="2" s="1"/>
  <c r="F149" i="2"/>
  <c r="I155" i="5" l="1"/>
  <c r="K155" i="5" s="1"/>
  <c r="F155" i="5"/>
  <c r="I155" i="4"/>
  <c r="K155" i="4" s="1"/>
  <c r="F155" i="4"/>
  <c r="F155" i="3"/>
  <c r="I155" i="3"/>
  <c r="K155" i="3" s="1"/>
  <c r="G149" i="2"/>
  <c r="H149" i="2" s="1"/>
  <c r="J149" i="2" s="1"/>
  <c r="D150" i="2" s="1"/>
  <c r="G155" i="5" l="1"/>
  <c r="H155" i="5" s="1"/>
  <c r="J155" i="5" s="1"/>
  <c r="D156" i="5" s="1"/>
  <c r="G155" i="4"/>
  <c r="H155" i="4" s="1"/>
  <c r="J155" i="4" s="1"/>
  <c r="D156" i="4" s="1"/>
  <c r="G155" i="3"/>
  <c r="H155" i="3" s="1"/>
  <c r="J155" i="3" s="1"/>
  <c r="D156" i="3" s="1"/>
  <c r="F150" i="2"/>
  <c r="I150" i="2"/>
  <c r="K150" i="2" s="1"/>
  <c r="I156" i="5" l="1"/>
  <c r="K156" i="5" s="1"/>
  <c r="F156" i="5"/>
  <c r="I156" i="4"/>
  <c r="K156" i="4" s="1"/>
  <c r="F156" i="4"/>
  <c r="I156" i="3"/>
  <c r="K156" i="3" s="1"/>
  <c r="F156" i="3"/>
  <c r="G150" i="2"/>
  <c r="H150" i="2" s="1"/>
  <c r="J150" i="2" s="1"/>
  <c r="D151" i="2" s="1"/>
  <c r="G156" i="5" l="1"/>
  <c r="H156" i="5" s="1"/>
  <c r="J156" i="5" s="1"/>
  <c r="D157" i="5" s="1"/>
  <c r="G156" i="4"/>
  <c r="H156" i="4" s="1"/>
  <c r="J156" i="4" s="1"/>
  <c r="D157" i="4" s="1"/>
  <c r="G156" i="3"/>
  <c r="H156" i="3" s="1"/>
  <c r="J156" i="3" s="1"/>
  <c r="D157" i="3" s="1"/>
  <c r="F151" i="2"/>
  <c r="I151" i="2"/>
  <c r="K151" i="2" s="1"/>
  <c r="I157" i="5" l="1"/>
  <c r="K157" i="5" s="1"/>
  <c r="F157" i="5"/>
  <c r="I157" i="4"/>
  <c r="K157" i="4" s="1"/>
  <c r="F157" i="4"/>
  <c r="F157" i="3"/>
  <c r="I157" i="3"/>
  <c r="K157" i="3" s="1"/>
  <c r="G151" i="2"/>
  <c r="H151" i="2" s="1"/>
  <c r="J151" i="2" s="1"/>
  <c r="D152" i="2" s="1"/>
  <c r="G157" i="5" l="1"/>
  <c r="H157" i="5" s="1"/>
  <c r="J157" i="5" s="1"/>
  <c r="D158" i="5" s="1"/>
  <c r="G157" i="4"/>
  <c r="H157" i="4" s="1"/>
  <c r="J157" i="4" s="1"/>
  <c r="D158" i="4" s="1"/>
  <c r="G157" i="3"/>
  <c r="H157" i="3" s="1"/>
  <c r="J157" i="3" s="1"/>
  <c r="D158" i="3" s="1"/>
  <c r="I152" i="2"/>
  <c r="K152" i="2" s="1"/>
  <c r="F152" i="2"/>
  <c r="I158" i="5" l="1"/>
  <c r="K158" i="5" s="1"/>
  <c r="F158" i="5"/>
  <c r="I158" i="4"/>
  <c r="K158" i="4" s="1"/>
  <c r="F158" i="4"/>
  <c r="I158" i="3"/>
  <c r="K158" i="3" s="1"/>
  <c r="F158" i="3"/>
  <c r="G152" i="2"/>
  <c r="H152" i="2" s="1"/>
  <c r="J152" i="2" s="1"/>
  <c r="D153" i="2" s="1"/>
  <c r="G158" i="5" l="1"/>
  <c r="H158" i="5" s="1"/>
  <c r="J158" i="5" s="1"/>
  <c r="D159" i="5" s="1"/>
  <c r="G158" i="4"/>
  <c r="H158" i="4" s="1"/>
  <c r="J158" i="4" s="1"/>
  <c r="D159" i="4" s="1"/>
  <c r="G158" i="3"/>
  <c r="H158" i="3" s="1"/>
  <c r="J158" i="3" s="1"/>
  <c r="D159" i="3" s="1"/>
  <c r="I153" i="2"/>
  <c r="K153" i="2" s="1"/>
  <c r="F153" i="2"/>
  <c r="F159" i="5" l="1"/>
  <c r="I159" i="5"/>
  <c r="K159" i="5" s="1"/>
  <c r="F159" i="4"/>
  <c r="I159" i="4"/>
  <c r="K159" i="4" s="1"/>
  <c r="I159" i="3"/>
  <c r="K159" i="3" s="1"/>
  <c r="F159" i="3"/>
  <c r="G153" i="2"/>
  <c r="H153" i="2" s="1"/>
  <c r="J153" i="2" s="1"/>
  <c r="D154" i="2" s="1"/>
  <c r="G159" i="5" l="1"/>
  <c r="H159" i="5" s="1"/>
  <c r="J159" i="5" s="1"/>
  <c r="D160" i="5" s="1"/>
  <c r="G159" i="4"/>
  <c r="H159" i="4" s="1"/>
  <c r="J159" i="4" s="1"/>
  <c r="D160" i="4" s="1"/>
  <c r="G159" i="3"/>
  <c r="H159" i="3" s="1"/>
  <c r="J159" i="3" s="1"/>
  <c r="D160" i="3" s="1"/>
  <c r="I154" i="2"/>
  <c r="K154" i="2" s="1"/>
  <c r="F154" i="2"/>
  <c r="F160" i="5" l="1"/>
  <c r="I160" i="5"/>
  <c r="K160" i="5" s="1"/>
  <c r="I160" i="4"/>
  <c r="K160" i="4" s="1"/>
  <c r="F160" i="4"/>
  <c r="I160" i="3"/>
  <c r="K160" i="3" s="1"/>
  <c r="F160" i="3"/>
  <c r="G154" i="2"/>
  <c r="H154" i="2" s="1"/>
  <c r="J154" i="2" s="1"/>
  <c r="D155" i="2" s="1"/>
  <c r="G160" i="5" l="1"/>
  <c r="H160" i="5" s="1"/>
  <c r="J160" i="5" s="1"/>
  <c r="D161" i="5" s="1"/>
  <c r="G160" i="4"/>
  <c r="H160" i="4" s="1"/>
  <c r="J160" i="4" s="1"/>
  <c r="D161" i="4" s="1"/>
  <c r="G160" i="3"/>
  <c r="H160" i="3" s="1"/>
  <c r="J160" i="3" s="1"/>
  <c r="D161" i="3" s="1"/>
  <c r="F155" i="2"/>
  <c r="I155" i="2"/>
  <c r="K155" i="2" s="1"/>
  <c r="F161" i="5" l="1"/>
  <c r="I161" i="5"/>
  <c r="K161" i="5" s="1"/>
  <c r="I161" i="4"/>
  <c r="K161" i="4" s="1"/>
  <c r="F161" i="4"/>
  <c r="F161" i="3"/>
  <c r="I161" i="3"/>
  <c r="K161" i="3" s="1"/>
  <c r="G155" i="2"/>
  <c r="H155" i="2" s="1"/>
  <c r="J155" i="2" s="1"/>
  <c r="D156" i="2" s="1"/>
  <c r="G161" i="5" l="1"/>
  <c r="H161" i="5" s="1"/>
  <c r="J161" i="5" s="1"/>
  <c r="D162" i="5" s="1"/>
  <c r="G161" i="4"/>
  <c r="H161" i="4" s="1"/>
  <c r="J161" i="4" s="1"/>
  <c r="D162" i="4" s="1"/>
  <c r="G161" i="3"/>
  <c r="H161" i="3" s="1"/>
  <c r="J161" i="3" s="1"/>
  <c r="D162" i="3" s="1"/>
  <c r="I156" i="2"/>
  <c r="K156" i="2" s="1"/>
  <c r="F156" i="2"/>
  <c r="I162" i="5" l="1"/>
  <c r="K162" i="5" s="1"/>
  <c r="F162" i="5"/>
  <c r="F162" i="4"/>
  <c r="I162" i="4"/>
  <c r="K162" i="4" s="1"/>
  <c r="I162" i="3"/>
  <c r="K162" i="3" s="1"/>
  <c r="F162" i="3"/>
  <c r="G156" i="2"/>
  <c r="H156" i="2" s="1"/>
  <c r="J156" i="2" s="1"/>
  <c r="D157" i="2" s="1"/>
  <c r="G162" i="5" l="1"/>
  <c r="H162" i="5" s="1"/>
  <c r="J162" i="5" s="1"/>
  <c r="D163" i="5" s="1"/>
  <c r="G162" i="4"/>
  <c r="H162" i="4" s="1"/>
  <c r="J162" i="4" s="1"/>
  <c r="D163" i="4" s="1"/>
  <c r="G162" i="3"/>
  <c r="H162" i="3" s="1"/>
  <c r="J162" i="3" s="1"/>
  <c r="D163" i="3" s="1"/>
  <c r="I157" i="2"/>
  <c r="K157" i="2" s="1"/>
  <c r="F157" i="2"/>
  <c r="I163" i="5" l="1"/>
  <c r="K163" i="5" s="1"/>
  <c r="F163" i="5"/>
  <c r="I163" i="4"/>
  <c r="K163" i="4" s="1"/>
  <c r="F163" i="4"/>
  <c r="I163" i="3"/>
  <c r="K163" i="3" s="1"/>
  <c r="F163" i="3"/>
  <c r="G157" i="2"/>
  <c r="H157" i="2" s="1"/>
  <c r="J157" i="2" s="1"/>
  <c r="D158" i="2" s="1"/>
  <c r="G163" i="5" l="1"/>
  <c r="H163" i="5" s="1"/>
  <c r="J163" i="5" s="1"/>
  <c r="D164" i="5" s="1"/>
  <c r="G163" i="4"/>
  <c r="H163" i="4" s="1"/>
  <c r="J163" i="4" s="1"/>
  <c r="D164" i="4" s="1"/>
  <c r="G163" i="3"/>
  <c r="H163" i="3" s="1"/>
  <c r="J163" i="3" s="1"/>
  <c r="D164" i="3" s="1"/>
  <c r="F158" i="2"/>
  <c r="I158" i="2"/>
  <c r="K158" i="2" s="1"/>
  <c r="I164" i="5" l="1"/>
  <c r="K164" i="5" s="1"/>
  <c r="F164" i="5"/>
  <c r="F164" i="4"/>
  <c r="I164" i="4"/>
  <c r="K164" i="4" s="1"/>
  <c r="I164" i="3"/>
  <c r="K164" i="3" s="1"/>
  <c r="F164" i="3"/>
  <c r="G158" i="2"/>
  <c r="H158" i="2" s="1"/>
  <c r="J158" i="2" s="1"/>
  <c r="D159" i="2" s="1"/>
  <c r="G164" i="5" l="1"/>
  <c r="H164" i="5" s="1"/>
  <c r="J164" i="5" s="1"/>
  <c r="D165" i="5" s="1"/>
  <c r="G164" i="4"/>
  <c r="H164" i="4" s="1"/>
  <c r="J164" i="4" s="1"/>
  <c r="D165" i="4" s="1"/>
  <c r="G164" i="3"/>
  <c r="H164" i="3" s="1"/>
  <c r="J164" i="3" s="1"/>
  <c r="D165" i="3" s="1"/>
  <c r="I159" i="2"/>
  <c r="K159" i="2" s="1"/>
  <c r="F159" i="2"/>
  <c r="I165" i="5" l="1"/>
  <c r="K165" i="5" s="1"/>
  <c r="F165" i="5"/>
  <c r="I165" i="4"/>
  <c r="K165" i="4" s="1"/>
  <c r="F165" i="4"/>
  <c r="I165" i="3"/>
  <c r="K165" i="3" s="1"/>
  <c r="F165" i="3"/>
  <c r="G159" i="2"/>
  <c r="H159" i="2" s="1"/>
  <c r="J159" i="2" s="1"/>
  <c r="D160" i="2" s="1"/>
  <c r="G165" i="5" l="1"/>
  <c r="H165" i="5" s="1"/>
  <c r="J165" i="5" s="1"/>
  <c r="D166" i="5" s="1"/>
  <c r="G165" i="4"/>
  <c r="H165" i="4" s="1"/>
  <c r="J165" i="4" s="1"/>
  <c r="D166" i="4" s="1"/>
  <c r="G165" i="3"/>
  <c r="H165" i="3" s="1"/>
  <c r="J165" i="3" s="1"/>
  <c r="D166" i="3" s="1"/>
  <c r="I160" i="2"/>
  <c r="K160" i="2" s="1"/>
  <c r="F160" i="2"/>
  <c r="I166" i="5" l="1"/>
  <c r="K166" i="5" s="1"/>
  <c r="F166" i="5"/>
  <c r="F166" i="4"/>
  <c r="I166" i="4"/>
  <c r="K166" i="4" s="1"/>
  <c r="I166" i="3"/>
  <c r="K166" i="3" s="1"/>
  <c r="F166" i="3"/>
  <c r="G160" i="2"/>
  <c r="H160" i="2" s="1"/>
  <c r="J160" i="2" s="1"/>
  <c r="D161" i="2" s="1"/>
  <c r="G166" i="5" l="1"/>
  <c r="H166" i="5" s="1"/>
  <c r="J166" i="5" s="1"/>
  <c r="D167" i="5" s="1"/>
  <c r="G166" i="4"/>
  <c r="H166" i="4" s="1"/>
  <c r="J166" i="4" s="1"/>
  <c r="D167" i="4" s="1"/>
  <c r="G166" i="3"/>
  <c r="H166" i="3" s="1"/>
  <c r="J166" i="3" s="1"/>
  <c r="D167" i="3" s="1"/>
  <c r="I161" i="2"/>
  <c r="K161" i="2" s="1"/>
  <c r="F161" i="2"/>
  <c r="I167" i="5" l="1"/>
  <c r="K167" i="5" s="1"/>
  <c r="F167" i="5"/>
  <c r="I167" i="4"/>
  <c r="K167" i="4" s="1"/>
  <c r="F167" i="4"/>
  <c r="I167" i="3"/>
  <c r="K167" i="3" s="1"/>
  <c r="F167" i="3"/>
  <c r="G161" i="2"/>
  <c r="H161" i="2" s="1"/>
  <c r="J161" i="2" s="1"/>
  <c r="D162" i="2" s="1"/>
  <c r="G167" i="5" l="1"/>
  <c r="H167" i="5" s="1"/>
  <c r="J167" i="5" s="1"/>
  <c r="D168" i="5" s="1"/>
  <c r="G167" i="4"/>
  <c r="H167" i="4" s="1"/>
  <c r="J167" i="4" s="1"/>
  <c r="D168" i="4" s="1"/>
  <c r="G167" i="3"/>
  <c r="H167" i="3" s="1"/>
  <c r="J167" i="3" s="1"/>
  <c r="D168" i="3" s="1"/>
  <c r="I162" i="2"/>
  <c r="K162" i="2" s="1"/>
  <c r="F162" i="2"/>
  <c r="I168" i="5" l="1"/>
  <c r="K168" i="5" s="1"/>
  <c r="F168" i="5"/>
  <c r="I168" i="4"/>
  <c r="K168" i="4" s="1"/>
  <c r="F168" i="4"/>
  <c r="I168" i="3"/>
  <c r="K168" i="3" s="1"/>
  <c r="F168" i="3"/>
  <c r="G162" i="2"/>
  <c r="H162" i="2" s="1"/>
  <c r="J162" i="2" s="1"/>
  <c r="D163" i="2" s="1"/>
  <c r="G168" i="5" l="1"/>
  <c r="H168" i="5" s="1"/>
  <c r="J168" i="5" s="1"/>
  <c r="D169" i="5" s="1"/>
  <c r="G168" i="4"/>
  <c r="H168" i="4" s="1"/>
  <c r="J168" i="4" s="1"/>
  <c r="D169" i="4" s="1"/>
  <c r="G168" i="3"/>
  <c r="H168" i="3" s="1"/>
  <c r="J168" i="3" s="1"/>
  <c r="D169" i="3" s="1"/>
  <c r="I163" i="2"/>
  <c r="K163" i="2" s="1"/>
  <c r="F163" i="2"/>
  <c r="F169" i="5" l="1"/>
  <c r="I169" i="5"/>
  <c r="K169" i="5" s="1"/>
  <c r="I169" i="4"/>
  <c r="K169" i="4" s="1"/>
  <c r="F169" i="4"/>
  <c r="I169" i="3"/>
  <c r="K169" i="3" s="1"/>
  <c r="F169" i="3"/>
  <c r="G163" i="2"/>
  <c r="H163" i="2" s="1"/>
  <c r="J163" i="2" s="1"/>
  <c r="D164" i="2" s="1"/>
  <c r="G169" i="5" l="1"/>
  <c r="H169" i="5" s="1"/>
  <c r="J169" i="5" s="1"/>
  <c r="D170" i="5" s="1"/>
  <c r="G169" i="4"/>
  <c r="H169" i="4" s="1"/>
  <c r="J169" i="4" s="1"/>
  <c r="D170" i="4" s="1"/>
  <c r="G169" i="3"/>
  <c r="H169" i="3" s="1"/>
  <c r="J169" i="3" s="1"/>
  <c r="D170" i="3" s="1"/>
  <c r="I164" i="2"/>
  <c r="K164" i="2" s="1"/>
  <c r="F164" i="2"/>
  <c r="I170" i="5" l="1"/>
  <c r="K170" i="5" s="1"/>
  <c r="F170" i="5"/>
  <c r="I170" i="4"/>
  <c r="K170" i="4" s="1"/>
  <c r="F170" i="4"/>
  <c r="I170" i="3"/>
  <c r="K170" i="3" s="1"/>
  <c r="F170" i="3"/>
  <c r="G164" i="2"/>
  <c r="H164" i="2" s="1"/>
  <c r="J164" i="2" s="1"/>
  <c r="D165" i="2" s="1"/>
  <c r="G170" i="5" l="1"/>
  <c r="H170" i="5" s="1"/>
  <c r="J170" i="5" s="1"/>
  <c r="D171" i="5" s="1"/>
  <c r="G170" i="4"/>
  <c r="H170" i="4" s="1"/>
  <c r="J170" i="4" s="1"/>
  <c r="D171" i="4" s="1"/>
  <c r="G170" i="3"/>
  <c r="H170" i="3" s="1"/>
  <c r="J170" i="3" s="1"/>
  <c r="D171" i="3" s="1"/>
  <c r="I165" i="2"/>
  <c r="K165" i="2" s="1"/>
  <c r="F165" i="2"/>
  <c r="I171" i="5" l="1"/>
  <c r="K171" i="5" s="1"/>
  <c r="F171" i="5"/>
  <c r="I171" i="4"/>
  <c r="K171" i="4" s="1"/>
  <c r="F171" i="4"/>
  <c r="I171" i="3"/>
  <c r="K171" i="3" s="1"/>
  <c r="F171" i="3"/>
  <c r="G165" i="2"/>
  <c r="H165" i="2" s="1"/>
  <c r="J165" i="2" s="1"/>
  <c r="D166" i="2" s="1"/>
  <c r="G171" i="5" l="1"/>
  <c r="H171" i="5" s="1"/>
  <c r="J171" i="5" s="1"/>
  <c r="D172" i="5" s="1"/>
  <c r="G171" i="4"/>
  <c r="H171" i="4" s="1"/>
  <c r="J171" i="4" s="1"/>
  <c r="D172" i="4" s="1"/>
  <c r="G171" i="3"/>
  <c r="H171" i="3" s="1"/>
  <c r="J171" i="3" s="1"/>
  <c r="D172" i="3" s="1"/>
  <c r="I166" i="2"/>
  <c r="K166" i="2" s="1"/>
  <c r="F166" i="2"/>
  <c r="F172" i="5" l="1"/>
  <c r="I172" i="5"/>
  <c r="K172" i="5" s="1"/>
  <c r="I172" i="4"/>
  <c r="K172" i="4" s="1"/>
  <c r="F172" i="4"/>
  <c r="F172" i="3"/>
  <c r="I172" i="3"/>
  <c r="K172" i="3" s="1"/>
  <c r="G166" i="2"/>
  <c r="H166" i="2" s="1"/>
  <c r="J166" i="2" s="1"/>
  <c r="D167" i="2" s="1"/>
  <c r="G172" i="5" l="1"/>
  <c r="H172" i="5" s="1"/>
  <c r="J172" i="5" s="1"/>
  <c r="D173" i="5" s="1"/>
  <c r="G172" i="4"/>
  <c r="H172" i="4" s="1"/>
  <c r="J172" i="4" s="1"/>
  <c r="D173" i="4" s="1"/>
  <c r="G172" i="3"/>
  <c r="H172" i="3" s="1"/>
  <c r="J172" i="3" s="1"/>
  <c r="D173" i="3" s="1"/>
  <c r="I167" i="2"/>
  <c r="K167" i="2" s="1"/>
  <c r="F167" i="2"/>
  <c r="F173" i="5" l="1"/>
  <c r="I173" i="5"/>
  <c r="K173" i="5" s="1"/>
  <c r="I173" i="4"/>
  <c r="K173" i="4" s="1"/>
  <c r="F173" i="4"/>
  <c r="F173" i="3"/>
  <c r="I173" i="3"/>
  <c r="K173" i="3" s="1"/>
  <c r="G167" i="2"/>
  <c r="H167" i="2" s="1"/>
  <c r="J167" i="2" s="1"/>
  <c r="D168" i="2" s="1"/>
  <c r="G173" i="5" l="1"/>
  <c r="H173" i="5" s="1"/>
  <c r="J173" i="5" s="1"/>
  <c r="D174" i="5" s="1"/>
  <c r="G173" i="4"/>
  <c r="H173" i="4" s="1"/>
  <c r="J173" i="4" s="1"/>
  <c r="D174" i="4" s="1"/>
  <c r="G173" i="3"/>
  <c r="H173" i="3" s="1"/>
  <c r="J173" i="3" s="1"/>
  <c r="D174" i="3" s="1"/>
  <c r="I168" i="2"/>
  <c r="K168" i="2" s="1"/>
  <c r="F168" i="2"/>
  <c r="I174" i="5" l="1"/>
  <c r="K174" i="5" s="1"/>
  <c r="F174" i="5"/>
  <c r="I174" i="4"/>
  <c r="K174" i="4" s="1"/>
  <c r="F174" i="4"/>
  <c r="I174" i="3"/>
  <c r="K174" i="3" s="1"/>
  <c r="F174" i="3"/>
  <c r="G168" i="2"/>
  <c r="H168" i="2" s="1"/>
  <c r="J168" i="2" s="1"/>
  <c r="D169" i="2" s="1"/>
  <c r="G174" i="5" l="1"/>
  <c r="H174" i="5" s="1"/>
  <c r="J174" i="5" s="1"/>
  <c r="D175" i="5" s="1"/>
  <c r="G174" i="4"/>
  <c r="H174" i="4" s="1"/>
  <c r="J174" i="4" s="1"/>
  <c r="D175" i="4" s="1"/>
  <c r="G174" i="3"/>
  <c r="H174" i="3" s="1"/>
  <c r="J174" i="3" s="1"/>
  <c r="D175" i="3" s="1"/>
  <c r="F169" i="2"/>
  <c r="I169" i="2"/>
  <c r="K169" i="2" s="1"/>
  <c r="I175" i="5" l="1"/>
  <c r="K175" i="5" s="1"/>
  <c r="F175" i="5"/>
  <c r="I175" i="4"/>
  <c r="K175" i="4" s="1"/>
  <c r="F175" i="4"/>
  <c r="I175" i="3"/>
  <c r="K175" i="3" s="1"/>
  <c r="F175" i="3"/>
  <c r="G169" i="2"/>
  <c r="H169" i="2" s="1"/>
  <c r="J169" i="2" s="1"/>
  <c r="D170" i="2" s="1"/>
  <c r="G175" i="5" l="1"/>
  <c r="H175" i="5" s="1"/>
  <c r="J175" i="5" s="1"/>
  <c r="D176" i="5" s="1"/>
  <c r="G175" i="4"/>
  <c r="H175" i="4" s="1"/>
  <c r="J175" i="4" s="1"/>
  <c r="D176" i="4" s="1"/>
  <c r="G175" i="3"/>
  <c r="H175" i="3" s="1"/>
  <c r="J175" i="3" s="1"/>
  <c r="D176" i="3" s="1"/>
  <c r="F170" i="2"/>
  <c r="I170" i="2"/>
  <c r="K170" i="2" s="1"/>
  <c r="I176" i="5" l="1"/>
  <c r="K176" i="5" s="1"/>
  <c r="F176" i="5"/>
  <c r="I176" i="4"/>
  <c r="K176" i="4" s="1"/>
  <c r="F176" i="4"/>
  <c r="F176" i="3"/>
  <c r="I176" i="3"/>
  <c r="K176" i="3" s="1"/>
  <c r="G170" i="2"/>
  <c r="H170" i="2" s="1"/>
  <c r="J170" i="2" s="1"/>
  <c r="D171" i="2" s="1"/>
  <c r="G176" i="5" l="1"/>
  <c r="H176" i="5" s="1"/>
  <c r="J176" i="5" s="1"/>
  <c r="D177" i="5" s="1"/>
  <c r="G176" i="4"/>
  <c r="H176" i="4" s="1"/>
  <c r="J176" i="4" s="1"/>
  <c r="D177" i="4" s="1"/>
  <c r="G176" i="3"/>
  <c r="H176" i="3" s="1"/>
  <c r="J176" i="3" s="1"/>
  <c r="D177" i="3" s="1"/>
  <c r="I171" i="2"/>
  <c r="K171" i="2" s="1"/>
  <c r="F171" i="2"/>
  <c r="I177" i="5" l="1"/>
  <c r="K177" i="5" s="1"/>
  <c r="F177" i="5"/>
  <c r="I177" i="4"/>
  <c r="K177" i="4" s="1"/>
  <c r="F177" i="4"/>
  <c r="I177" i="3"/>
  <c r="K177" i="3" s="1"/>
  <c r="F177" i="3"/>
  <c r="G171" i="2"/>
  <c r="H171" i="2" s="1"/>
  <c r="J171" i="2" s="1"/>
  <c r="D172" i="2" s="1"/>
  <c r="G177" i="5" l="1"/>
  <c r="H177" i="5" s="1"/>
  <c r="J177" i="5" s="1"/>
  <c r="D178" i="5" s="1"/>
  <c r="G177" i="4"/>
  <c r="H177" i="4" s="1"/>
  <c r="J177" i="4" s="1"/>
  <c r="D178" i="4" s="1"/>
  <c r="G177" i="3"/>
  <c r="H177" i="3" s="1"/>
  <c r="J177" i="3" s="1"/>
  <c r="D178" i="3" s="1"/>
  <c r="I172" i="2"/>
  <c r="K172" i="2" s="1"/>
  <c r="F172" i="2"/>
  <c r="F178" i="5" l="1"/>
  <c r="I178" i="5"/>
  <c r="K178" i="5" s="1"/>
  <c r="I178" i="4"/>
  <c r="K178" i="4" s="1"/>
  <c r="F178" i="4"/>
  <c r="I178" i="3"/>
  <c r="K178" i="3" s="1"/>
  <c r="F178" i="3"/>
  <c r="G172" i="2"/>
  <c r="H172" i="2" s="1"/>
  <c r="J172" i="2" s="1"/>
  <c r="D173" i="2" s="1"/>
  <c r="G178" i="5" l="1"/>
  <c r="H178" i="5" s="1"/>
  <c r="J178" i="5" s="1"/>
  <c r="D179" i="5" s="1"/>
  <c r="G178" i="4"/>
  <c r="H178" i="4" s="1"/>
  <c r="J178" i="4" s="1"/>
  <c r="D179" i="4" s="1"/>
  <c r="G178" i="3"/>
  <c r="H178" i="3" s="1"/>
  <c r="J178" i="3" s="1"/>
  <c r="D179" i="3" s="1"/>
  <c r="I173" i="2"/>
  <c r="K173" i="2" s="1"/>
  <c r="F173" i="2"/>
  <c r="F179" i="5" l="1"/>
  <c r="I179" i="5"/>
  <c r="K179" i="5" s="1"/>
  <c r="I179" i="4"/>
  <c r="K179" i="4" s="1"/>
  <c r="F179" i="4"/>
  <c r="I179" i="3"/>
  <c r="K179" i="3" s="1"/>
  <c r="F179" i="3"/>
  <c r="G173" i="2"/>
  <c r="H173" i="2" s="1"/>
  <c r="J173" i="2" s="1"/>
  <c r="D174" i="2" s="1"/>
  <c r="G179" i="5" l="1"/>
  <c r="H179" i="5" s="1"/>
  <c r="J179" i="5" s="1"/>
  <c r="D180" i="5" s="1"/>
  <c r="G179" i="4"/>
  <c r="H179" i="4" s="1"/>
  <c r="J179" i="4" s="1"/>
  <c r="D180" i="4" s="1"/>
  <c r="G179" i="3"/>
  <c r="H179" i="3" s="1"/>
  <c r="J179" i="3" s="1"/>
  <c r="D180" i="3" s="1"/>
  <c r="I174" i="2"/>
  <c r="K174" i="2" s="1"/>
  <c r="F174" i="2"/>
  <c r="I180" i="5" l="1"/>
  <c r="K180" i="5" s="1"/>
  <c r="F180" i="5"/>
  <c r="I180" i="4"/>
  <c r="K180" i="4" s="1"/>
  <c r="F180" i="4"/>
  <c r="F180" i="3"/>
  <c r="I180" i="3"/>
  <c r="K180" i="3" s="1"/>
  <c r="G174" i="2"/>
  <c r="H174" i="2" s="1"/>
  <c r="J174" i="2" s="1"/>
  <c r="D175" i="2" s="1"/>
  <c r="G180" i="5" l="1"/>
  <c r="H180" i="5" s="1"/>
  <c r="J180" i="5" s="1"/>
  <c r="D181" i="5" s="1"/>
  <c r="G180" i="4"/>
  <c r="H180" i="4" s="1"/>
  <c r="J180" i="4" s="1"/>
  <c r="D181" i="4" s="1"/>
  <c r="G180" i="3"/>
  <c r="H180" i="3" s="1"/>
  <c r="J180" i="3" s="1"/>
  <c r="D181" i="3" s="1"/>
  <c r="I175" i="2"/>
  <c r="K175" i="2" s="1"/>
  <c r="F175" i="2"/>
  <c r="I181" i="5" l="1"/>
  <c r="K181" i="5" s="1"/>
  <c r="F181" i="5"/>
  <c r="F181" i="4"/>
  <c r="I181" i="4"/>
  <c r="K181" i="4" s="1"/>
  <c r="F181" i="3"/>
  <c r="I181" i="3"/>
  <c r="K181" i="3" s="1"/>
  <c r="G175" i="2"/>
  <c r="H175" i="2" s="1"/>
  <c r="J175" i="2" s="1"/>
  <c r="D176" i="2" s="1"/>
  <c r="G181" i="5" l="1"/>
  <c r="H181" i="5" s="1"/>
  <c r="J181" i="5" s="1"/>
  <c r="D182" i="5" s="1"/>
  <c r="G181" i="4"/>
  <c r="H181" i="4" s="1"/>
  <c r="J181" i="4" s="1"/>
  <c r="D182" i="4" s="1"/>
  <c r="G181" i="3"/>
  <c r="H181" i="3" s="1"/>
  <c r="J181" i="3" s="1"/>
  <c r="D182" i="3" s="1"/>
  <c r="I176" i="2"/>
  <c r="K176" i="2" s="1"/>
  <c r="F176" i="2"/>
  <c r="I182" i="5" l="1"/>
  <c r="K182" i="5" s="1"/>
  <c r="F182" i="5"/>
  <c r="F182" i="4"/>
  <c r="I182" i="4"/>
  <c r="K182" i="4" s="1"/>
  <c r="I182" i="3"/>
  <c r="K182" i="3" s="1"/>
  <c r="F182" i="3"/>
  <c r="G176" i="2"/>
  <c r="H176" i="2" s="1"/>
  <c r="J176" i="2" s="1"/>
  <c r="D177" i="2" s="1"/>
  <c r="G182" i="5" l="1"/>
  <c r="H182" i="5" s="1"/>
  <c r="J182" i="5" s="1"/>
  <c r="D183" i="5" s="1"/>
  <c r="G182" i="4"/>
  <c r="H182" i="4" s="1"/>
  <c r="J182" i="4" s="1"/>
  <c r="D183" i="4" s="1"/>
  <c r="G182" i="3"/>
  <c r="H182" i="3" s="1"/>
  <c r="J182" i="3" s="1"/>
  <c r="D183" i="3" s="1"/>
  <c r="I177" i="2"/>
  <c r="K177" i="2" s="1"/>
  <c r="F177" i="2"/>
  <c r="F183" i="5" l="1"/>
  <c r="I183" i="5"/>
  <c r="K183" i="5" s="1"/>
  <c r="F183" i="4"/>
  <c r="I183" i="4"/>
  <c r="K183" i="4" s="1"/>
  <c r="I183" i="3"/>
  <c r="K183" i="3" s="1"/>
  <c r="F183" i="3"/>
  <c r="G177" i="2"/>
  <c r="H177" i="2" s="1"/>
  <c r="J177" i="2" s="1"/>
  <c r="D178" i="2" s="1"/>
  <c r="G183" i="5" l="1"/>
  <c r="H183" i="5" s="1"/>
  <c r="J183" i="5" s="1"/>
  <c r="D184" i="5" s="1"/>
  <c r="G183" i="4"/>
  <c r="H183" i="4" s="1"/>
  <c r="J183" i="4" s="1"/>
  <c r="D184" i="4" s="1"/>
  <c r="G183" i="3"/>
  <c r="H183" i="3" s="1"/>
  <c r="J183" i="3" s="1"/>
  <c r="D184" i="3" s="1"/>
  <c r="I178" i="2"/>
  <c r="K178" i="2" s="1"/>
  <c r="F178" i="2"/>
  <c r="I184" i="5" l="1"/>
  <c r="K184" i="5" s="1"/>
  <c r="F184" i="5"/>
  <c r="F184" i="4"/>
  <c r="I184" i="4"/>
  <c r="K184" i="4" s="1"/>
  <c r="I184" i="3"/>
  <c r="K184" i="3" s="1"/>
  <c r="F184" i="3"/>
  <c r="G178" i="2"/>
  <c r="H178" i="2" s="1"/>
  <c r="J178" i="2" s="1"/>
  <c r="D179" i="2" s="1"/>
  <c r="G184" i="5" l="1"/>
  <c r="H184" i="5" s="1"/>
  <c r="J184" i="5"/>
  <c r="D185" i="5" s="1"/>
  <c r="G184" i="4"/>
  <c r="H184" i="4" s="1"/>
  <c r="J184" i="4" s="1"/>
  <c r="D185" i="4" s="1"/>
  <c r="G184" i="3"/>
  <c r="H184" i="3" s="1"/>
  <c r="J184" i="3" s="1"/>
  <c r="D185" i="3" s="1"/>
  <c r="I179" i="2"/>
  <c r="K179" i="2" s="1"/>
  <c r="F179" i="2"/>
  <c r="I185" i="5" l="1"/>
  <c r="K185" i="5" s="1"/>
  <c r="F185" i="5"/>
  <c r="I185" i="4"/>
  <c r="K185" i="4" s="1"/>
  <c r="F185" i="4"/>
  <c r="I185" i="3"/>
  <c r="K185" i="3" s="1"/>
  <c r="F185" i="3"/>
  <c r="G179" i="2"/>
  <c r="H179" i="2" s="1"/>
  <c r="J179" i="2" s="1"/>
  <c r="D180" i="2" s="1"/>
  <c r="G185" i="5" l="1"/>
  <c r="H185" i="5" s="1"/>
  <c r="J185" i="5" s="1"/>
  <c r="D186" i="5" s="1"/>
  <c r="G185" i="4"/>
  <c r="H185" i="4" s="1"/>
  <c r="J185" i="4" s="1"/>
  <c r="D186" i="4" s="1"/>
  <c r="G185" i="3"/>
  <c r="H185" i="3" s="1"/>
  <c r="J185" i="3" s="1"/>
  <c r="D186" i="3" s="1"/>
  <c r="I180" i="2"/>
  <c r="K180" i="2" s="1"/>
  <c r="F180" i="2"/>
  <c r="I186" i="5" l="1"/>
  <c r="K186" i="5" s="1"/>
  <c r="F186" i="5"/>
  <c r="I186" i="4"/>
  <c r="K186" i="4" s="1"/>
  <c r="F186" i="4"/>
  <c r="I186" i="3"/>
  <c r="K186" i="3" s="1"/>
  <c r="F186" i="3"/>
  <c r="G180" i="2"/>
  <c r="H180" i="2" s="1"/>
  <c r="J180" i="2" s="1"/>
  <c r="D181" i="2" s="1"/>
  <c r="G186" i="5" l="1"/>
  <c r="H186" i="5" s="1"/>
  <c r="J186" i="5" s="1"/>
  <c r="D187" i="5" s="1"/>
  <c r="G186" i="4"/>
  <c r="H186" i="4" s="1"/>
  <c r="J186" i="4" s="1"/>
  <c r="D187" i="4" s="1"/>
  <c r="G186" i="3"/>
  <c r="H186" i="3" s="1"/>
  <c r="J186" i="3" s="1"/>
  <c r="D187" i="3" s="1"/>
  <c r="I181" i="2"/>
  <c r="K181" i="2" s="1"/>
  <c r="F181" i="2"/>
  <c r="F187" i="5" l="1"/>
  <c r="I187" i="5"/>
  <c r="K187" i="5" s="1"/>
  <c r="F187" i="4"/>
  <c r="I187" i="4"/>
  <c r="K187" i="4" s="1"/>
  <c r="F187" i="3"/>
  <c r="I187" i="3"/>
  <c r="K187" i="3" s="1"/>
  <c r="G181" i="2"/>
  <c r="H181" i="2" s="1"/>
  <c r="J181" i="2" s="1"/>
  <c r="D182" i="2" s="1"/>
  <c r="G187" i="5" l="1"/>
  <c r="H187" i="5" s="1"/>
  <c r="J187" i="5" s="1"/>
  <c r="D188" i="5" s="1"/>
  <c r="G187" i="4"/>
  <c r="H187" i="4" s="1"/>
  <c r="J187" i="4" s="1"/>
  <c r="D188" i="4" s="1"/>
  <c r="G187" i="3"/>
  <c r="H187" i="3" s="1"/>
  <c r="J187" i="3" s="1"/>
  <c r="D188" i="3" s="1"/>
  <c r="I182" i="2"/>
  <c r="K182" i="2" s="1"/>
  <c r="F182" i="2"/>
  <c r="F188" i="5" l="1"/>
  <c r="I188" i="5"/>
  <c r="K188" i="5" s="1"/>
  <c r="I188" i="4"/>
  <c r="K188" i="4" s="1"/>
  <c r="F188" i="4"/>
  <c r="I188" i="3"/>
  <c r="K188" i="3" s="1"/>
  <c r="F188" i="3"/>
  <c r="G182" i="2"/>
  <c r="H182" i="2" s="1"/>
  <c r="J182" i="2" s="1"/>
  <c r="D183" i="2" s="1"/>
  <c r="G188" i="5" l="1"/>
  <c r="H188" i="5" s="1"/>
  <c r="J188" i="5" s="1"/>
  <c r="D189" i="5" s="1"/>
  <c r="G188" i="4"/>
  <c r="H188" i="4" s="1"/>
  <c r="J188" i="4" s="1"/>
  <c r="D189" i="4" s="1"/>
  <c r="G188" i="3"/>
  <c r="H188" i="3" s="1"/>
  <c r="J188" i="3" s="1"/>
  <c r="D189" i="3" s="1"/>
  <c r="I183" i="2"/>
  <c r="K183" i="2" s="1"/>
  <c r="F183" i="2"/>
  <c r="I189" i="5" l="1"/>
  <c r="K189" i="5" s="1"/>
  <c r="F189" i="5"/>
  <c r="I189" i="4"/>
  <c r="K189" i="4" s="1"/>
  <c r="F189" i="4"/>
  <c r="I189" i="3"/>
  <c r="K189" i="3" s="1"/>
  <c r="F189" i="3"/>
  <c r="G183" i="2"/>
  <c r="H183" i="2" s="1"/>
  <c r="J183" i="2" s="1"/>
  <c r="D184" i="2" s="1"/>
  <c r="G189" i="5" l="1"/>
  <c r="H189" i="5" s="1"/>
  <c r="J189" i="5" s="1"/>
  <c r="D190" i="5" s="1"/>
  <c r="G189" i="4"/>
  <c r="H189" i="4" s="1"/>
  <c r="J189" i="4" s="1"/>
  <c r="D190" i="4" s="1"/>
  <c r="G189" i="3"/>
  <c r="H189" i="3" s="1"/>
  <c r="J189" i="3" s="1"/>
  <c r="D190" i="3" s="1"/>
  <c r="I184" i="2"/>
  <c r="K184" i="2" s="1"/>
  <c r="F184" i="2"/>
  <c r="I190" i="5" l="1"/>
  <c r="K190" i="5" s="1"/>
  <c r="F190" i="5"/>
  <c r="I190" i="4"/>
  <c r="K190" i="4" s="1"/>
  <c r="F190" i="4"/>
  <c r="F190" i="3"/>
  <c r="I190" i="3"/>
  <c r="K190" i="3" s="1"/>
  <c r="G184" i="2"/>
  <c r="H184" i="2" s="1"/>
  <c r="J184" i="2" s="1"/>
  <c r="D185" i="2" s="1"/>
  <c r="G190" i="5" l="1"/>
  <c r="H190" i="5" s="1"/>
  <c r="J190" i="5" s="1"/>
  <c r="D191" i="5" s="1"/>
  <c r="G190" i="4"/>
  <c r="H190" i="4" s="1"/>
  <c r="J190" i="4" s="1"/>
  <c r="D191" i="4" s="1"/>
  <c r="G190" i="3"/>
  <c r="H190" i="3" s="1"/>
  <c r="J190" i="3" s="1"/>
  <c r="D191" i="3" s="1"/>
  <c r="I185" i="2"/>
  <c r="K185" i="2" s="1"/>
  <c r="F185" i="2"/>
  <c r="I191" i="5" l="1"/>
  <c r="K191" i="5" s="1"/>
  <c r="F191" i="5"/>
  <c r="I191" i="4"/>
  <c r="K191" i="4" s="1"/>
  <c r="F191" i="4"/>
  <c r="F191" i="3"/>
  <c r="I191" i="3"/>
  <c r="K191" i="3" s="1"/>
  <c r="G185" i="2"/>
  <c r="H185" i="2" s="1"/>
  <c r="J185" i="2" s="1"/>
  <c r="D186" i="2" s="1"/>
  <c r="G191" i="5" l="1"/>
  <c r="H191" i="5" s="1"/>
  <c r="J191" i="5" s="1"/>
  <c r="D192" i="5" s="1"/>
  <c r="G191" i="4"/>
  <c r="H191" i="4" s="1"/>
  <c r="J191" i="4" s="1"/>
  <c r="D192" i="4" s="1"/>
  <c r="G191" i="3"/>
  <c r="H191" i="3" s="1"/>
  <c r="J191" i="3" s="1"/>
  <c r="D192" i="3" s="1"/>
  <c r="I186" i="2"/>
  <c r="K186" i="2" s="1"/>
  <c r="F186" i="2"/>
  <c r="I192" i="5" l="1"/>
  <c r="K192" i="5" s="1"/>
  <c r="F192" i="5"/>
  <c r="I192" i="4"/>
  <c r="K192" i="4" s="1"/>
  <c r="F192" i="4"/>
  <c r="I192" i="3"/>
  <c r="K192" i="3" s="1"/>
  <c r="F192" i="3"/>
  <c r="G186" i="2"/>
  <c r="H186" i="2" s="1"/>
  <c r="J186" i="2" s="1"/>
  <c r="D187" i="2" s="1"/>
  <c r="G192" i="5" l="1"/>
  <c r="H192" i="5" s="1"/>
  <c r="J192" i="5" s="1"/>
  <c r="D193" i="5" s="1"/>
  <c r="G192" i="4"/>
  <c r="H192" i="4" s="1"/>
  <c r="J192" i="4" s="1"/>
  <c r="D193" i="4" s="1"/>
  <c r="G192" i="3"/>
  <c r="H192" i="3" s="1"/>
  <c r="J192" i="3" s="1"/>
  <c r="D193" i="3" s="1"/>
  <c r="I187" i="2"/>
  <c r="K187" i="2" s="1"/>
  <c r="F187" i="2"/>
  <c r="I193" i="5" l="1"/>
  <c r="K193" i="5" s="1"/>
  <c r="F193" i="5"/>
  <c r="F193" i="4"/>
  <c r="I193" i="4"/>
  <c r="K193" i="4" s="1"/>
  <c r="I193" i="3"/>
  <c r="K193" i="3" s="1"/>
  <c r="F193" i="3"/>
  <c r="G187" i="2"/>
  <c r="H187" i="2" s="1"/>
  <c r="J187" i="2" s="1"/>
  <c r="D188" i="2" s="1"/>
  <c r="G193" i="5" l="1"/>
  <c r="H193" i="5" s="1"/>
  <c r="J193" i="5" s="1"/>
  <c r="D194" i="5" s="1"/>
  <c r="G193" i="4"/>
  <c r="H193" i="4" s="1"/>
  <c r="J193" i="4" s="1"/>
  <c r="D194" i="4" s="1"/>
  <c r="G193" i="3"/>
  <c r="H193" i="3" s="1"/>
  <c r="J193" i="3" s="1"/>
  <c r="D194" i="3" s="1"/>
  <c r="I188" i="2"/>
  <c r="K188" i="2" s="1"/>
  <c r="F188" i="2"/>
  <c r="I194" i="5" l="1"/>
  <c r="K194" i="5" s="1"/>
  <c r="F194" i="5"/>
  <c r="I194" i="4"/>
  <c r="K194" i="4" s="1"/>
  <c r="F194" i="4"/>
  <c r="I194" i="3"/>
  <c r="K194" i="3" s="1"/>
  <c r="F194" i="3"/>
  <c r="G188" i="2"/>
  <c r="H188" i="2" s="1"/>
  <c r="J188" i="2" s="1"/>
  <c r="D189" i="2" s="1"/>
  <c r="G194" i="5" l="1"/>
  <c r="H194" i="5" s="1"/>
  <c r="J194" i="5" s="1"/>
  <c r="D195" i="5" s="1"/>
  <c r="G194" i="4"/>
  <c r="H194" i="4" s="1"/>
  <c r="J194" i="4" s="1"/>
  <c r="D195" i="4" s="1"/>
  <c r="G194" i="3"/>
  <c r="H194" i="3" s="1"/>
  <c r="J194" i="3" s="1"/>
  <c r="D195" i="3" s="1"/>
  <c r="I189" i="2"/>
  <c r="K189" i="2" s="1"/>
  <c r="F189" i="2"/>
  <c r="I195" i="5" l="1"/>
  <c r="K195" i="5" s="1"/>
  <c r="F195" i="5"/>
  <c r="F195" i="4"/>
  <c r="I195" i="4"/>
  <c r="K195" i="4" s="1"/>
  <c r="I195" i="3"/>
  <c r="K195" i="3" s="1"/>
  <c r="F195" i="3"/>
  <c r="G189" i="2"/>
  <c r="H189" i="2" s="1"/>
  <c r="J189" i="2" s="1"/>
  <c r="D190" i="2" s="1"/>
  <c r="G195" i="5" l="1"/>
  <c r="H195" i="5" s="1"/>
  <c r="J195" i="5" s="1"/>
  <c r="D196" i="5" s="1"/>
  <c r="G195" i="4"/>
  <c r="H195" i="4" s="1"/>
  <c r="J195" i="4" s="1"/>
  <c r="D196" i="4" s="1"/>
  <c r="G195" i="3"/>
  <c r="H195" i="3" s="1"/>
  <c r="J195" i="3" s="1"/>
  <c r="D196" i="3" s="1"/>
  <c r="I190" i="2"/>
  <c r="K190" i="2" s="1"/>
  <c r="F190" i="2"/>
  <c r="I196" i="5" l="1"/>
  <c r="K196" i="5" s="1"/>
  <c r="F196" i="5"/>
  <c r="F196" i="4"/>
  <c r="I196" i="4"/>
  <c r="K196" i="4" s="1"/>
  <c r="I196" i="3"/>
  <c r="K196" i="3" s="1"/>
  <c r="F196" i="3"/>
  <c r="G190" i="2"/>
  <c r="H190" i="2" s="1"/>
  <c r="J190" i="2" s="1"/>
  <c r="D191" i="2" s="1"/>
  <c r="G196" i="5" l="1"/>
  <c r="H196" i="5" s="1"/>
  <c r="J196" i="5" s="1"/>
  <c r="D197" i="5" s="1"/>
  <c r="G196" i="4"/>
  <c r="H196" i="4" s="1"/>
  <c r="J196" i="4" s="1"/>
  <c r="D197" i="4" s="1"/>
  <c r="G196" i="3"/>
  <c r="H196" i="3" s="1"/>
  <c r="J196" i="3" s="1"/>
  <c r="D197" i="3" s="1"/>
  <c r="I191" i="2"/>
  <c r="K191" i="2" s="1"/>
  <c r="F191" i="2"/>
  <c r="I197" i="5" l="1"/>
  <c r="K197" i="5" s="1"/>
  <c r="F197" i="5"/>
  <c r="I197" i="4"/>
  <c r="K197" i="4" s="1"/>
  <c r="F197" i="4"/>
  <c r="I197" i="3"/>
  <c r="K197" i="3" s="1"/>
  <c r="F197" i="3"/>
  <c r="G191" i="2"/>
  <c r="H191" i="2" s="1"/>
  <c r="J191" i="2" s="1"/>
  <c r="D192" i="2" s="1"/>
  <c r="G197" i="5" l="1"/>
  <c r="H197" i="5" s="1"/>
  <c r="J197" i="5" s="1"/>
  <c r="D198" i="5" s="1"/>
  <c r="G197" i="4"/>
  <c r="H197" i="4" s="1"/>
  <c r="J197" i="4" s="1"/>
  <c r="D198" i="4" s="1"/>
  <c r="G197" i="3"/>
  <c r="H197" i="3" s="1"/>
  <c r="J197" i="3" s="1"/>
  <c r="D198" i="3" s="1"/>
  <c r="I192" i="2"/>
  <c r="K192" i="2" s="1"/>
  <c r="F192" i="2"/>
  <c r="F198" i="5" l="1"/>
  <c r="I198" i="5"/>
  <c r="K198" i="5" s="1"/>
  <c r="I198" i="4"/>
  <c r="K198" i="4" s="1"/>
  <c r="F198" i="4"/>
  <c r="I198" i="3"/>
  <c r="K198" i="3" s="1"/>
  <c r="F198" i="3"/>
  <c r="G192" i="2"/>
  <c r="H192" i="2" s="1"/>
  <c r="J192" i="2" s="1"/>
  <c r="D193" i="2" s="1"/>
  <c r="G198" i="5" l="1"/>
  <c r="H198" i="5" s="1"/>
  <c r="J198" i="5" s="1"/>
  <c r="D199" i="5" s="1"/>
  <c r="G198" i="4"/>
  <c r="H198" i="4" s="1"/>
  <c r="J198" i="4" s="1"/>
  <c r="D199" i="4" s="1"/>
  <c r="G198" i="3"/>
  <c r="H198" i="3" s="1"/>
  <c r="J198" i="3" s="1"/>
  <c r="D199" i="3" s="1"/>
  <c r="I193" i="2"/>
  <c r="K193" i="2" s="1"/>
  <c r="F193" i="2"/>
  <c r="I199" i="5" l="1"/>
  <c r="K199" i="5" s="1"/>
  <c r="F199" i="5"/>
  <c r="I199" i="4"/>
  <c r="K199" i="4" s="1"/>
  <c r="F199" i="4"/>
  <c r="I199" i="3"/>
  <c r="K199" i="3" s="1"/>
  <c r="F199" i="3"/>
  <c r="G193" i="2"/>
  <c r="H193" i="2" s="1"/>
  <c r="J193" i="2" s="1"/>
  <c r="D194" i="2" s="1"/>
  <c r="G199" i="5" l="1"/>
  <c r="H199" i="5" s="1"/>
  <c r="J199" i="5" s="1"/>
  <c r="D200" i="5" s="1"/>
  <c r="G199" i="4"/>
  <c r="H199" i="4" s="1"/>
  <c r="J199" i="4" s="1"/>
  <c r="D200" i="4" s="1"/>
  <c r="G199" i="3"/>
  <c r="H199" i="3" s="1"/>
  <c r="J199" i="3" s="1"/>
  <c r="D200" i="3" s="1"/>
  <c r="I194" i="2"/>
  <c r="K194" i="2" s="1"/>
  <c r="F194" i="2"/>
  <c r="I200" i="5" l="1"/>
  <c r="K200" i="5" s="1"/>
  <c r="F200" i="5"/>
  <c r="I200" i="4"/>
  <c r="K200" i="4" s="1"/>
  <c r="F200" i="4"/>
  <c r="I200" i="3"/>
  <c r="K200" i="3" s="1"/>
  <c r="F200" i="3"/>
  <c r="G194" i="2"/>
  <c r="H194" i="2" s="1"/>
  <c r="J194" i="2" s="1"/>
  <c r="D195" i="2" s="1"/>
  <c r="G200" i="5" l="1"/>
  <c r="H200" i="5" s="1"/>
  <c r="J200" i="5" s="1"/>
  <c r="D201" i="5" s="1"/>
  <c r="G200" i="4"/>
  <c r="H200" i="4" s="1"/>
  <c r="J200" i="4" s="1"/>
  <c r="D201" i="4" s="1"/>
  <c r="G200" i="3"/>
  <c r="H200" i="3" s="1"/>
  <c r="J200" i="3" s="1"/>
  <c r="D201" i="3" s="1"/>
  <c r="I195" i="2"/>
  <c r="K195" i="2" s="1"/>
  <c r="F195" i="2"/>
  <c r="I201" i="5" l="1"/>
  <c r="K201" i="5" s="1"/>
  <c r="F201" i="5"/>
  <c r="I201" i="4"/>
  <c r="K201" i="4" s="1"/>
  <c r="F201" i="4"/>
  <c r="F201" i="3"/>
  <c r="I201" i="3"/>
  <c r="K201" i="3" s="1"/>
  <c r="G195" i="2"/>
  <c r="H195" i="2" s="1"/>
  <c r="J195" i="2" s="1"/>
  <c r="D196" i="2" s="1"/>
  <c r="G201" i="5" l="1"/>
  <c r="H201" i="5" s="1"/>
  <c r="J201" i="5" s="1"/>
  <c r="D202" i="5" s="1"/>
  <c r="G201" i="4"/>
  <c r="H201" i="4" s="1"/>
  <c r="J201" i="4" s="1"/>
  <c r="D202" i="4" s="1"/>
  <c r="G201" i="3"/>
  <c r="H201" i="3" s="1"/>
  <c r="J201" i="3" s="1"/>
  <c r="D202" i="3" s="1"/>
  <c r="I196" i="2"/>
  <c r="K196" i="2" s="1"/>
  <c r="F196" i="2"/>
  <c r="I202" i="5" l="1"/>
  <c r="K202" i="5" s="1"/>
  <c r="F202" i="5"/>
  <c r="I202" i="4"/>
  <c r="K202" i="4" s="1"/>
  <c r="F202" i="4"/>
  <c r="I202" i="3"/>
  <c r="K202" i="3" s="1"/>
  <c r="F202" i="3"/>
  <c r="G196" i="2"/>
  <c r="H196" i="2" s="1"/>
  <c r="J196" i="2" s="1"/>
  <c r="D197" i="2" s="1"/>
  <c r="G202" i="5" l="1"/>
  <c r="H202" i="5" s="1"/>
  <c r="J202" i="5" s="1"/>
  <c r="D203" i="5" s="1"/>
  <c r="G202" i="4"/>
  <c r="H202" i="4" s="1"/>
  <c r="J202" i="4" s="1"/>
  <c r="D203" i="4" s="1"/>
  <c r="G202" i="3"/>
  <c r="H202" i="3" s="1"/>
  <c r="J202" i="3" s="1"/>
  <c r="D203" i="3" s="1"/>
  <c r="I197" i="2"/>
  <c r="K197" i="2" s="1"/>
  <c r="F197" i="2"/>
  <c r="I203" i="5" l="1"/>
  <c r="K203" i="5" s="1"/>
  <c r="F203" i="5"/>
  <c r="I203" i="4"/>
  <c r="K203" i="4" s="1"/>
  <c r="F203" i="4"/>
  <c r="I203" i="3"/>
  <c r="K203" i="3" s="1"/>
  <c r="F203" i="3"/>
  <c r="G197" i="2"/>
  <c r="H197" i="2" s="1"/>
  <c r="J197" i="2" s="1"/>
  <c r="D198" i="2" s="1"/>
  <c r="G203" i="5" l="1"/>
  <c r="H203" i="5" s="1"/>
  <c r="J203" i="5" s="1"/>
  <c r="D204" i="5" s="1"/>
  <c r="G203" i="4"/>
  <c r="H203" i="4" s="1"/>
  <c r="J203" i="4" s="1"/>
  <c r="D204" i="4" s="1"/>
  <c r="G203" i="3"/>
  <c r="H203" i="3" s="1"/>
  <c r="J203" i="3" s="1"/>
  <c r="D204" i="3" s="1"/>
  <c r="I198" i="2"/>
  <c r="K198" i="2" s="1"/>
  <c r="F198" i="2"/>
  <c r="I204" i="5" l="1"/>
  <c r="K204" i="5" s="1"/>
  <c r="F204" i="5"/>
  <c r="I204" i="4"/>
  <c r="K204" i="4" s="1"/>
  <c r="F204" i="4"/>
  <c r="I204" i="3"/>
  <c r="K204" i="3" s="1"/>
  <c r="F204" i="3"/>
  <c r="G198" i="2"/>
  <c r="H198" i="2" s="1"/>
  <c r="J198" i="2" s="1"/>
  <c r="D199" i="2" s="1"/>
  <c r="G204" i="5" l="1"/>
  <c r="H204" i="5" s="1"/>
  <c r="J204" i="5"/>
  <c r="D205" i="5" s="1"/>
  <c r="G204" i="4"/>
  <c r="H204" i="4" s="1"/>
  <c r="J204" i="4" s="1"/>
  <c r="D205" i="4" s="1"/>
  <c r="G204" i="3"/>
  <c r="H204" i="3" s="1"/>
  <c r="J204" i="3" s="1"/>
  <c r="D205" i="3" s="1"/>
  <c r="I199" i="2"/>
  <c r="K199" i="2" s="1"/>
  <c r="F199" i="2"/>
  <c r="I205" i="5" l="1"/>
  <c r="K205" i="5" s="1"/>
  <c r="F205" i="5"/>
  <c r="I205" i="4"/>
  <c r="K205" i="4" s="1"/>
  <c r="F205" i="4"/>
  <c r="F205" i="3"/>
  <c r="I205" i="3"/>
  <c r="K205" i="3" s="1"/>
  <c r="G199" i="2"/>
  <c r="H199" i="2" s="1"/>
  <c r="J199" i="2" s="1"/>
  <c r="D200" i="2" s="1"/>
  <c r="G205" i="5" l="1"/>
  <c r="H205" i="5" s="1"/>
  <c r="J205" i="5" s="1"/>
  <c r="D206" i="5" s="1"/>
  <c r="G205" i="4"/>
  <c r="H205" i="4" s="1"/>
  <c r="J205" i="4" s="1"/>
  <c r="D206" i="4" s="1"/>
  <c r="G205" i="3"/>
  <c r="H205" i="3" s="1"/>
  <c r="J205" i="3" s="1"/>
  <c r="D206" i="3" s="1"/>
  <c r="I200" i="2"/>
  <c r="K200" i="2" s="1"/>
  <c r="F200" i="2"/>
  <c r="I206" i="5" l="1"/>
  <c r="K206" i="5" s="1"/>
  <c r="F206" i="5"/>
  <c r="I206" i="4"/>
  <c r="K206" i="4" s="1"/>
  <c r="F206" i="4"/>
  <c r="I206" i="3"/>
  <c r="K206" i="3" s="1"/>
  <c r="F206" i="3"/>
  <c r="G200" i="2"/>
  <c r="H200" i="2" s="1"/>
  <c r="J200" i="2" s="1"/>
  <c r="D201" i="2" s="1"/>
  <c r="G206" i="5" l="1"/>
  <c r="H206" i="5" s="1"/>
  <c r="J206" i="5" s="1"/>
  <c r="D207" i="5" s="1"/>
  <c r="G206" i="4"/>
  <c r="H206" i="4" s="1"/>
  <c r="J206" i="4" s="1"/>
  <c r="D207" i="4" s="1"/>
  <c r="G206" i="3"/>
  <c r="H206" i="3" s="1"/>
  <c r="J206" i="3" s="1"/>
  <c r="D207" i="3" s="1"/>
  <c r="I201" i="2"/>
  <c r="K201" i="2" s="1"/>
  <c r="F201" i="2"/>
  <c r="F207" i="5" l="1"/>
  <c r="I207" i="5"/>
  <c r="K207" i="5" s="1"/>
  <c r="I207" i="4"/>
  <c r="K207" i="4" s="1"/>
  <c r="F207" i="4"/>
  <c r="F207" i="3"/>
  <c r="I207" i="3"/>
  <c r="K207" i="3" s="1"/>
  <c r="G201" i="2"/>
  <c r="H201" i="2" s="1"/>
  <c r="J201" i="2" s="1"/>
  <c r="D202" i="2" s="1"/>
  <c r="G207" i="5" l="1"/>
  <c r="H207" i="5" s="1"/>
  <c r="J207" i="5" s="1"/>
  <c r="D208" i="5" s="1"/>
  <c r="G207" i="4"/>
  <c r="H207" i="4" s="1"/>
  <c r="J207" i="4" s="1"/>
  <c r="D208" i="4" s="1"/>
  <c r="G207" i="3"/>
  <c r="H207" i="3" s="1"/>
  <c r="J207" i="3" s="1"/>
  <c r="D208" i="3" s="1"/>
  <c r="I202" i="2"/>
  <c r="K202" i="2" s="1"/>
  <c r="F202" i="2"/>
  <c r="I208" i="5" l="1"/>
  <c r="K208" i="5" s="1"/>
  <c r="F208" i="5"/>
  <c r="I208" i="4"/>
  <c r="K208" i="4" s="1"/>
  <c r="F208" i="4"/>
  <c r="I208" i="3"/>
  <c r="K208" i="3" s="1"/>
  <c r="F208" i="3"/>
  <c r="G202" i="2"/>
  <c r="H202" i="2" s="1"/>
  <c r="J202" i="2" s="1"/>
  <c r="D203" i="2" s="1"/>
  <c r="G208" i="5" l="1"/>
  <c r="H208" i="5" s="1"/>
  <c r="J208" i="5" s="1"/>
  <c r="D209" i="5" s="1"/>
  <c r="G208" i="4"/>
  <c r="H208" i="4" s="1"/>
  <c r="J208" i="4" s="1"/>
  <c r="D209" i="4" s="1"/>
  <c r="G208" i="3"/>
  <c r="H208" i="3" s="1"/>
  <c r="J208" i="3" s="1"/>
  <c r="D209" i="3" s="1"/>
  <c r="I203" i="2"/>
  <c r="K203" i="2" s="1"/>
  <c r="F203" i="2"/>
  <c r="I209" i="5" l="1"/>
  <c r="K209" i="5" s="1"/>
  <c r="F209" i="5"/>
  <c r="F209" i="4"/>
  <c r="I209" i="4"/>
  <c r="K209" i="4" s="1"/>
  <c r="I209" i="3"/>
  <c r="K209" i="3" s="1"/>
  <c r="F209" i="3"/>
  <c r="G203" i="2"/>
  <c r="H203" i="2" s="1"/>
  <c r="J203" i="2" s="1"/>
  <c r="D204" i="2" s="1"/>
  <c r="G209" i="5" l="1"/>
  <c r="H209" i="5" s="1"/>
  <c r="J209" i="5" s="1"/>
  <c r="D210" i="5" s="1"/>
  <c r="G209" i="4"/>
  <c r="H209" i="4" s="1"/>
  <c r="J209" i="4" s="1"/>
  <c r="D210" i="4" s="1"/>
  <c r="G209" i="3"/>
  <c r="H209" i="3" s="1"/>
  <c r="J209" i="3" s="1"/>
  <c r="D210" i="3" s="1"/>
  <c r="I204" i="2"/>
  <c r="K204" i="2" s="1"/>
  <c r="F204" i="2"/>
  <c r="I210" i="5" l="1"/>
  <c r="K210" i="5" s="1"/>
  <c r="F210" i="5"/>
  <c r="F210" i="4"/>
  <c r="I210" i="4"/>
  <c r="K210" i="4" s="1"/>
  <c r="I210" i="3"/>
  <c r="K210" i="3" s="1"/>
  <c r="F210" i="3"/>
  <c r="G204" i="2"/>
  <c r="H204" i="2" s="1"/>
  <c r="J204" i="2" s="1"/>
  <c r="D205" i="2" s="1"/>
  <c r="G210" i="5" l="1"/>
  <c r="H210" i="5" s="1"/>
  <c r="J210" i="5" s="1"/>
  <c r="D211" i="5" s="1"/>
  <c r="G210" i="4"/>
  <c r="H210" i="4" s="1"/>
  <c r="J210" i="4" s="1"/>
  <c r="D211" i="4" s="1"/>
  <c r="G210" i="3"/>
  <c r="H210" i="3" s="1"/>
  <c r="J210" i="3" s="1"/>
  <c r="D211" i="3" s="1"/>
  <c r="I205" i="2"/>
  <c r="K205" i="2" s="1"/>
  <c r="F205" i="2"/>
  <c r="F211" i="5" l="1"/>
  <c r="I211" i="5"/>
  <c r="K211" i="5" s="1"/>
  <c r="I211" i="4"/>
  <c r="K211" i="4" s="1"/>
  <c r="F211" i="4"/>
  <c r="I211" i="3"/>
  <c r="K211" i="3" s="1"/>
  <c r="F211" i="3"/>
  <c r="G205" i="2"/>
  <c r="H205" i="2" s="1"/>
  <c r="J205" i="2" s="1"/>
  <c r="D206" i="2" s="1"/>
  <c r="G211" i="5" l="1"/>
  <c r="H211" i="5" s="1"/>
  <c r="J211" i="5" s="1"/>
  <c r="D212" i="5" s="1"/>
  <c r="G211" i="4"/>
  <c r="H211" i="4" s="1"/>
  <c r="J211" i="4" s="1"/>
  <c r="D212" i="4" s="1"/>
  <c r="G211" i="3"/>
  <c r="H211" i="3" s="1"/>
  <c r="J211" i="3" s="1"/>
  <c r="D212" i="3" s="1"/>
  <c r="I206" i="2"/>
  <c r="K206" i="2" s="1"/>
  <c r="F206" i="2"/>
  <c r="I212" i="5" l="1"/>
  <c r="K212" i="5" s="1"/>
  <c r="F212" i="5"/>
  <c r="I212" i="4"/>
  <c r="K212" i="4" s="1"/>
  <c r="F212" i="4"/>
  <c r="F212" i="3"/>
  <c r="I212" i="3"/>
  <c r="K212" i="3" s="1"/>
  <c r="G206" i="2"/>
  <c r="H206" i="2" s="1"/>
  <c r="J206" i="2" s="1"/>
  <c r="D207" i="2" s="1"/>
  <c r="G212" i="5" l="1"/>
  <c r="H212" i="5" s="1"/>
  <c r="J212" i="5" s="1"/>
  <c r="D213" i="5" s="1"/>
  <c r="G212" i="4"/>
  <c r="H212" i="4" s="1"/>
  <c r="J212" i="4" s="1"/>
  <c r="D213" i="4" s="1"/>
  <c r="G212" i="3"/>
  <c r="H212" i="3" s="1"/>
  <c r="J212" i="3" s="1"/>
  <c r="D213" i="3" s="1"/>
  <c r="I207" i="2"/>
  <c r="K207" i="2" s="1"/>
  <c r="F207" i="2"/>
  <c r="I213" i="5" l="1"/>
  <c r="K213" i="5" s="1"/>
  <c r="F213" i="5"/>
  <c r="I213" i="4"/>
  <c r="K213" i="4" s="1"/>
  <c r="F213" i="4"/>
  <c r="I213" i="3"/>
  <c r="K213" i="3" s="1"/>
  <c r="F213" i="3"/>
  <c r="G207" i="2"/>
  <c r="H207" i="2" s="1"/>
  <c r="J207" i="2" s="1"/>
  <c r="D208" i="2" s="1"/>
  <c r="G213" i="5" l="1"/>
  <c r="H213" i="5" s="1"/>
  <c r="J213" i="5" s="1"/>
  <c r="D214" i="5" s="1"/>
  <c r="G213" i="4"/>
  <c r="H213" i="4" s="1"/>
  <c r="J213" i="4" s="1"/>
  <c r="D214" i="4" s="1"/>
  <c r="G213" i="3"/>
  <c r="H213" i="3" s="1"/>
  <c r="J213" i="3" s="1"/>
  <c r="D214" i="3" s="1"/>
  <c r="I208" i="2"/>
  <c r="K208" i="2" s="1"/>
  <c r="F208" i="2"/>
  <c r="I214" i="5" l="1"/>
  <c r="K214" i="5" s="1"/>
  <c r="F214" i="5"/>
  <c r="F214" i="4"/>
  <c r="I214" i="4"/>
  <c r="K214" i="4" s="1"/>
  <c r="F214" i="3"/>
  <c r="I214" i="3"/>
  <c r="K214" i="3" s="1"/>
  <c r="G208" i="2"/>
  <c r="H208" i="2" s="1"/>
  <c r="J208" i="2" s="1"/>
  <c r="D209" i="2" s="1"/>
  <c r="G214" i="5" l="1"/>
  <c r="H214" i="5" s="1"/>
  <c r="J214" i="5" s="1"/>
  <c r="D215" i="5" s="1"/>
  <c r="G214" i="4"/>
  <c r="H214" i="4" s="1"/>
  <c r="J214" i="4" s="1"/>
  <c r="D215" i="4" s="1"/>
  <c r="G214" i="3"/>
  <c r="H214" i="3" s="1"/>
  <c r="J214" i="3" s="1"/>
  <c r="D215" i="3" s="1"/>
  <c r="I209" i="2"/>
  <c r="K209" i="2" s="1"/>
  <c r="F209" i="2"/>
  <c r="I215" i="5" l="1"/>
  <c r="K215" i="5" s="1"/>
  <c r="F215" i="5"/>
  <c r="F215" i="4"/>
  <c r="I215" i="4"/>
  <c r="K215" i="4" s="1"/>
  <c r="I215" i="3"/>
  <c r="K215" i="3" s="1"/>
  <c r="F215" i="3"/>
  <c r="G209" i="2"/>
  <c r="H209" i="2" s="1"/>
  <c r="J209" i="2" s="1"/>
  <c r="D210" i="2" s="1"/>
  <c r="G215" i="5" l="1"/>
  <c r="H215" i="5" s="1"/>
  <c r="J215" i="5" s="1"/>
  <c r="D216" i="5" s="1"/>
  <c r="G215" i="4"/>
  <c r="H215" i="4" s="1"/>
  <c r="J215" i="4" s="1"/>
  <c r="D216" i="4" s="1"/>
  <c r="G215" i="3"/>
  <c r="H215" i="3" s="1"/>
  <c r="J215" i="3" s="1"/>
  <c r="D216" i="3" s="1"/>
  <c r="I210" i="2"/>
  <c r="K210" i="2" s="1"/>
  <c r="F210" i="2"/>
  <c r="I216" i="5" l="1"/>
  <c r="K216" i="5" s="1"/>
  <c r="F216" i="5"/>
  <c r="I216" i="4"/>
  <c r="K216" i="4" s="1"/>
  <c r="F216" i="4"/>
  <c r="I216" i="3"/>
  <c r="K216" i="3" s="1"/>
  <c r="F216" i="3"/>
  <c r="G210" i="2"/>
  <c r="H210" i="2" s="1"/>
  <c r="J210" i="2" s="1"/>
  <c r="D211" i="2" s="1"/>
  <c r="G216" i="5" l="1"/>
  <c r="H216" i="5" s="1"/>
  <c r="J216" i="5" s="1"/>
  <c r="D217" i="5" s="1"/>
  <c r="G216" i="4"/>
  <c r="H216" i="4" s="1"/>
  <c r="J216" i="4" s="1"/>
  <c r="D217" i="4" s="1"/>
  <c r="G216" i="3"/>
  <c r="H216" i="3" s="1"/>
  <c r="J216" i="3" s="1"/>
  <c r="D217" i="3" s="1"/>
  <c r="I211" i="2"/>
  <c r="K211" i="2" s="1"/>
  <c r="F211" i="2"/>
  <c r="I217" i="5" l="1"/>
  <c r="K217" i="5" s="1"/>
  <c r="F217" i="5"/>
  <c r="I217" i="4"/>
  <c r="K217" i="4" s="1"/>
  <c r="F217" i="4"/>
  <c r="I217" i="3"/>
  <c r="K217" i="3" s="1"/>
  <c r="F217" i="3"/>
  <c r="G211" i="2"/>
  <c r="H211" i="2" s="1"/>
  <c r="J211" i="2" s="1"/>
  <c r="D212" i="2" s="1"/>
  <c r="G217" i="5" l="1"/>
  <c r="H217" i="5" s="1"/>
  <c r="J217" i="5" s="1"/>
  <c r="D218" i="5" s="1"/>
  <c r="G217" i="4"/>
  <c r="H217" i="4" s="1"/>
  <c r="J217" i="4" s="1"/>
  <c r="D218" i="4" s="1"/>
  <c r="G217" i="3"/>
  <c r="H217" i="3" s="1"/>
  <c r="J217" i="3" s="1"/>
  <c r="D218" i="3" s="1"/>
  <c r="I212" i="2"/>
  <c r="K212" i="2" s="1"/>
  <c r="F212" i="2"/>
  <c r="I218" i="5" l="1"/>
  <c r="K218" i="5" s="1"/>
  <c r="F218" i="5"/>
  <c r="F218" i="4"/>
  <c r="I218" i="4"/>
  <c r="K218" i="4" s="1"/>
  <c r="I218" i="3"/>
  <c r="K218" i="3" s="1"/>
  <c r="F218" i="3"/>
  <c r="G212" i="2"/>
  <c r="H212" i="2" s="1"/>
  <c r="J212" i="2" s="1"/>
  <c r="D213" i="2" s="1"/>
  <c r="G218" i="5" l="1"/>
  <c r="H218" i="5" s="1"/>
  <c r="J218" i="5" s="1"/>
  <c r="D219" i="5" s="1"/>
  <c r="G218" i="4"/>
  <c r="H218" i="4" s="1"/>
  <c r="J218" i="4" s="1"/>
  <c r="D219" i="4" s="1"/>
  <c r="G218" i="3"/>
  <c r="H218" i="3" s="1"/>
  <c r="J218" i="3" s="1"/>
  <c r="D219" i="3" s="1"/>
  <c r="I213" i="2"/>
  <c r="K213" i="2" s="1"/>
  <c r="F213" i="2"/>
  <c r="I219" i="5" l="1"/>
  <c r="K219" i="5" s="1"/>
  <c r="F219" i="5"/>
  <c r="I219" i="4"/>
  <c r="K219" i="4" s="1"/>
  <c r="F219" i="4"/>
  <c r="I219" i="3"/>
  <c r="K219" i="3" s="1"/>
  <c r="F219" i="3"/>
  <c r="G213" i="2"/>
  <c r="H213" i="2" s="1"/>
  <c r="J213" i="2" s="1"/>
  <c r="D214" i="2" s="1"/>
  <c r="G219" i="5" l="1"/>
  <c r="H219" i="5" s="1"/>
  <c r="J219" i="5" s="1"/>
  <c r="D220" i="5" s="1"/>
  <c r="G219" i="4"/>
  <c r="H219" i="4" s="1"/>
  <c r="J219" i="4" s="1"/>
  <c r="D220" i="4" s="1"/>
  <c r="G219" i="3"/>
  <c r="H219" i="3" s="1"/>
  <c r="J219" i="3" s="1"/>
  <c r="D220" i="3" s="1"/>
  <c r="I214" i="2"/>
  <c r="K214" i="2" s="1"/>
  <c r="F214" i="2"/>
  <c r="I220" i="5" l="1"/>
  <c r="K220" i="5" s="1"/>
  <c r="F220" i="5"/>
  <c r="I220" i="4"/>
  <c r="K220" i="4" s="1"/>
  <c r="F220" i="4"/>
  <c r="I220" i="3"/>
  <c r="K220" i="3" s="1"/>
  <c r="F220" i="3"/>
  <c r="G214" i="2"/>
  <c r="H214" i="2" s="1"/>
  <c r="J214" i="2" s="1"/>
  <c r="D215" i="2" s="1"/>
  <c r="G220" i="5" l="1"/>
  <c r="H220" i="5" s="1"/>
  <c r="J220" i="5" s="1"/>
  <c r="D221" i="5" s="1"/>
  <c r="G220" i="4"/>
  <c r="H220" i="4" s="1"/>
  <c r="J220" i="4" s="1"/>
  <c r="D221" i="4" s="1"/>
  <c r="G220" i="3"/>
  <c r="H220" i="3" s="1"/>
  <c r="J220" i="3" s="1"/>
  <c r="D221" i="3" s="1"/>
  <c r="I215" i="2"/>
  <c r="K215" i="2" s="1"/>
  <c r="F215" i="2"/>
  <c r="F221" i="5" l="1"/>
  <c r="I221" i="5"/>
  <c r="K221" i="5" s="1"/>
  <c r="I221" i="4"/>
  <c r="K221" i="4" s="1"/>
  <c r="F221" i="4"/>
  <c r="I221" i="3"/>
  <c r="K221" i="3" s="1"/>
  <c r="F221" i="3"/>
  <c r="G215" i="2"/>
  <c r="H215" i="2" s="1"/>
  <c r="J215" i="2" s="1"/>
  <c r="D216" i="2" s="1"/>
  <c r="G221" i="5" l="1"/>
  <c r="H221" i="5" s="1"/>
  <c r="J221" i="5" s="1"/>
  <c r="D222" i="5" s="1"/>
  <c r="G221" i="4"/>
  <c r="H221" i="4" s="1"/>
  <c r="J221" i="4" s="1"/>
  <c r="D222" i="4" s="1"/>
  <c r="G221" i="3"/>
  <c r="H221" i="3" s="1"/>
  <c r="J221" i="3" s="1"/>
  <c r="D222" i="3" s="1"/>
  <c r="I216" i="2"/>
  <c r="K216" i="2" s="1"/>
  <c r="F216" i="2"/>
  <c r="I222" i="5" l="1"/>
  <c r="K222" i="5" s="1"/>
  <c r="F222" i="5"/>
  <c r="I222" i="4"/>
  <c r="K222" i="4" s="1"/>
  <c r="F222" i="4"/>
  <c r="I222" i="3"/>
  <c r="K222" i="3" s="1"/>
  <c r="F222" i="3"/>
  <c r="G216" i="2"/>
  <c r="H216" i="2" s="1"/>
  <c r="J216" i="2" s="1"/>
  <c r="D217" i="2" s="1"/>
  <c r="G222" i="5" l="1"/>
  <c r="H222" i="5" s="1"/>
  <c r="J222" i="5" s="1"/>
  <c r="D223" i="5" s="1"/>
  <c r="G222" i="4"/>
  <c r="H222" i="4" s="1"/>
  <c r="J222" i="4" s="1"/>
  <c r="D223" i="4" s="1"/>
  <c r="G222" i="3"/>
  <c r="H222" i="3" s="1"/>
  <c r="J222" i="3" s="1"/>
  <c r="D223" i="3" s="1"/>
  <c r="I217" i="2"/>
  <c r="K217" i="2" s="1"/>
  <c r="F217" i="2"/>
  <c r="I223" i="5" l="1"/>
  <c r="K223" i="5" s="1"/>
  <c r="F223" i="5"/>
  <c r="I223" i="4"/>
  <c r="K223" i="4" s="1"/>
  <c r="F223" i="4"/>
  <c r="I223" i="3"/>
  <c r="K223" i="3" s="1"/>
  <c r="F223" i="3"/>
  <c r="G217" i="2"/>
  <c r="H217" i="2" s="1"/>
  <c r="J217" i="2" s="1"/>
  <c r="D218" i="2" s="1"/>
  <c r="G223" i="5" l="1"/>
  <c r="H223" i="5" s="1"/>
  <c r="J223" i="5" s="1"/>
  <c r="D224" i="5" s="1"/>
  <c r="G223" i="4"/>
  <c r="H223" i="4" s="1"/>
  <c r="J223" i="4" s="1"/>
  <c r="D224" i="4" s="1"/>
  <c r="G223" i="3"/>
  <c r="H223" i="3" s="1"/>
  <c r="J223" i="3" s="1"/>
  <c r="D224" i="3" s="1"/>
  <c r="I218" i="2"/>
  <c r="K218" i="2" s="1"/>
  <c r="F218" i="2"/>
  <c r="I224" i="5" l="1"/>
  <c r="K224" i="5" s="1"/>
  <c r="F224" i="5"/>
  <c r="I224" i="4"/>
  <c r="K224" i="4" s="1"/>
  <c r="F224" i="4"/>
  <c r="F224" i="3"/>
  <c r="I224" i="3"/>
  <c r="K224" i="3" s="1"/>
  <c r="G218" i="2"/>
  <c r="H218" i="2" s="1"/>
  <c r="J218" i="2" s="1"/>
  <c r="D219" i="2" s="1"/>
  <c r="G224" i="5" l="1"/>
  <c r="H224" i="5" s="1"/>
  <c r="J224" i="5" s="1"/>
  <c r="D225" i="5" s="1"/>
  <c r="G224" i="4"/>
  <c r="H224" i="4" s="1"/>
  <c r="J224" i="4" s="1"/>
  <c r="D225" i="4" s="1"/>
  <c r="G224" i="3"/>
  <c r="H224" i="3" s="1"/>
  <c r="J224" i="3" s="1"/>
  <c r="D225" i="3" s="1"/>
  <c r="I219" i="2"/>
  <c r="K219" i="2" s="1"/>
  <c r="F219" i="2"/>
  <c r="I225" i="5" l="1"/>
  <c r="K225" i="5" s="1"/>
  <c r="F225" i="5"/>
  <c r="I225" i="4"/>
  <c r="K225" i="4" s="1"/>
  <c r="F225" i="4"/>
  <c r="I225" i="3"/>
  <c r="K225" i="3" s="1"/>
  <c r="F225" i="3"/>
  <c r="G219" i="2"/>
  <c r="H219" i="2" s="1"/>
  <c r="J219" i="2" s="1"/>
  <c r="D220" i="2" s="1"/>
  <c r="G225" i="5" l="1"/>
  <c r="H225" i="5" s="1"/>
  <c r="J225" i="5" s="1"/>
  <c r="D226" i="5" s="1"/>
  <c r="G225" i="4"/>
  <c r="H225" i="4" s="1"/>
  <c r="J225" i="4" s="1"/>
  <c r="D226" i="4" s="1"/>
  <c r="G225" i="3"/>
  <c r="H225" i="3" s="1"/>
  <c r="J225" i="3" s="1"/>
  <c r="D226" i="3" s="1"/>
  <c r="I220" i="2"/>
  <c r="K220" i="2" s="1"/>
  <c r="F220" i="2"/>
  <c r="I226" i="5" l="1"/>
  <c r="K226" i="5" s="1"/>
  <c r="F226" i="5"/>
  <c r="I226" i="4"/>
  <c r="K226" i="4" s="1"/>
  <c r="F226" i="4"/>
  <c r="I226" i="3"/>
  <c r="K226" i="3" s="1"/>
  <c r="F226" i="3"/>
  <c r="G220" i="2"/>
  <c r="H220" i="2" s="1"/>
  <c r="J220" i="2" s="1"/>
  <c r="D221" i="2" s="1"/>
  <c r="G226" i="5" l="1"/>
  <c r="H226" i="5" s="1"/>
  <c r="J226" i="5" s="1"/>
  <c r="D227" i="5" s="1"/>
  <c r="G226" i="4"/>
  <c r="H226" i="4" s="1"/>
  <c r="J226" i="4" s="1"/>
  <c r="D227" i="4" s="1"/>
  <c r="G226" i="3"/>
  <c r="H226" i="3" s="1"/>
  <c r="J226" i="3" s="1"/>
  <c r="D227" i="3" s="1"/>
  <c r="I221" i="2"/>
  <c r="K221" i="2" s="1"/>
  <c r="F221" i="2"/>
  <c r="F227" i="5" l="1"/>
  <c r="I227" i="5"/>
  <c r="K227" i="5" s="1"/>
  <c r="F227" i="4"/>
  <c r="I227" i="4"/>
  <c r="K227" i="4" s="1"/>
  <c r="I227" i="3"/>
  <c r="K227" i="3" s="1"/>
  <c r="F227" i="3"/>
  <c r="G221" i="2"/>
  <c r="H221" i="2" s="1"/>
  <c r="J221" i="2" s="1"/>
  <c r="D222" i="2" s="1"/>
  <c r="G227" i="5" l="1"/>
  <c r="H227" i="5" s="1"/>
  <c r="J227" i="5" s="1"/>
  <c r="D228" i="5" s="1"/>
  <c r="G227" i="4"/>
  <c r="H227" i="4" s="1"/>
  <c r="J227" i="4" s="1"/>
  <c r="D228" i="4" s="1"/>
  <c r="G227" i="3"/>
  <c r="H227" i="3" s="1"/>
  <c r="J227" i="3" s="1"/>
  <c r="D228" i="3" s="1"/>
  <c r="I222" i="2"/>
  <c r="K222" i="2" s="1"/>
  <c r="F222" i="2"/>
  <c r="I228" i="5" l="1"/>
  <c r="K228" i="5" s="1"/>
  <c r="F228" i="5"/>
  <c r="I228" i="4"/>
  <c r="K228" i="4" s="1"/>
  <c r="F228" i="4"/>
  <c r="I228" i="3"/>
  <c r="K228" i="3" s="1"/>
  <c r="F228" i="3"/>
  <c r="G222" i="2"/>
  <c r="H222" i="2" s="1"/>
  <c r="J222" i="2" s="1"/>
  <c r="D223" i="2" s="1"/>
  <c r="G228" i="5" l="1"/>
  <c r="H228" i="5" s="1"/>
  <c r="J228" i="5" s="1"/>
  <c r="D229" i="5" s="1"/>
  <c r="G228" i="4"/>
  <c r="H228" i="4" s="1"/>
  <c r="J228" i="4" s="1"/>
  <c r="D229" i="4" s="1"/>
  <c r="G228" i="3"/>
  <c r="H228" i="3" s="1"/>
  <c r="J228" i="3" s="1"/>
  <c r="D229" i="3" s="1"/>
  <c r="I223" i="2"/>
  <c r="K223" i="2" s="1"/>
  <c r="F223" i="2"/>
  <c r="I229" i="5" l="1"/>
  <c r="K229" i="5" s="1"/>
  <c r="F229" i="5"/>
  <c r="F229" i="4"/>
  <c r="I229" i="4"/>
  <c r="K229" i="4" s="1"/>
  <c r="I229" i="3"/>
  <c r="K229" i="3" s="1"/>
  <c r="F229" i="3"/>
  <c r="G223" i="2"/>
  <c r="H223" i="2" s="1"/>
  <c r="J223" i="2" s="1"/>
  <c r="D224" i="2" s="1"/>
  <c r="G229" i="5" l="1"/>
  <c r="H229" i="5" s="1"/>
  <c r="J229" i="5" s="1"/>
  <c r="D230" i="5" s="1"/>
  <c r="G229" i="4"/>
  <c r="H229" i="4" s="1"/>
  <c r="J229" i="4" s="1"/>
  <c r="D230" i="4" s="1"/>
  <c r="G229" i="3"/>
  <c r="H229" i="3" s="1"/>
  <c r="J229" i="3" s="1"/>
  <c r="D230" i="3" s="1"/>
  <c r="I224" i="2"/>
  <c r="K224" i="2" s="1"/>
  <c r="F224" i="2"/>
  <c r="I230" i="5" l="1"/>
  <c r="K230" i="5" s="1"/>
  <c r="F230" i="5"/>
  <c r="I230" i="4"/>
  <c r="K230" i="4" s="1"/>
  <c r="F230" i="4"/>
  <c r="I230" i="3"/>
  <c r="K230" i="3" s="1"/>
  <c r="F230" i="3"/>
  <c r="G224" i="2"/>
  <c r="H224" i="2" s="1"/>
  <c r="J224" i="2" s="1"/>
  <c r="D225" i="2" s="1"/>
  <c r="G230" i="5" l="1"/>
  <c r="H230" i="5" s="1"/>
  <c r="J230" i="5" s="1"/>
  <c r="D231" i="5" s="1"/>
  <c r="G230" i="4"/>
  <c r="H230" i="4" s="1"/>
  <c r="J230" i="4" s="1"/>
  <c r="D231" i="4" s="1"/>
  <c r="G230" i="3"/>
  <c r="H230" i="3" s="1"/>
  <c r="J230" i="3" s="1"/>
  <c r="D231" i="3" s="1"/>
  <c r="I225" i="2"/>
  <c r="K225" i="2" s="1"/>
  <c r="F225" i="2"/>
  <c r="F231" i="5" l="1"/>
  <c r="I231" i="5"/>
  <c r="K231" i="5" s="1"/>
  <c r="F231" i="4"/>
  <c r="I231" i="4"/>
  <c r="K231" i="4" s="1"/>
  <c r="I231" i="3"/>
  <c r="K231" i="3" s="1"/>
  <c r="F231" i="3"/>
  <c r="G225" i="2"/>
  <c r="H225" i="2" s="1"/>
  <c r="J225" i="2" s="1"/>
  <c r="D226" i="2" s="1"/>
  <c r="G231" i="5" l="1"/>
  <c r="H231" i="5" s="1"/>
  <c r="J231" i="5" s="1"/>
  <c r="D232" i="5" s="1"/>
  <c r="G231" i="4"/>
  <c r="H231" i="4" s="1"/>
  <c r="J231" i="4" s="1"/>
  <c r="D232" i="4" s="1"/>
  <c r="G231" i="3"/>
  <c r="H231" i="3" s="1"/>
  <c r="J231" i="3" s="1"/>
  <c r="D232" i="3" s="1"/>
  <c r="I226" i="2"/>
  <c r="K226" i="2" s="1"/>
  <c r="F226" i="2"/>
  <c r="F232" i="5" l="1"/>
  <c r="I232" i="5"/>
  <c r="K232" i="5" s="1"/>
  <c r="I232" i="4"/>
  <c r="K232" i="4" s="1"/>
  <c r="F232" i="4"/>
  <c r="I232" i="3"/>
  <c r="K232" i="3" s="1"/>
  <c r="F232" i="3"/>
  <c r="G226" i="2"/>
  <c r="H226" i="2" s="1"/>
  <c r="J226" i="2" s="1"/>
  <c r="D227" i="2" s="1"/>
  <c r="G232" i="5" l="1"/>
  <c r="H232" i="5" s="1"/>
  <c r="J232" i="5" s="1"/>
  <c r="D233" i="5" s="1"/>
  <c r="G232" i="4"/>
  <c r="H232" i="4" s="1"/>
  <c r="J232" i="4" s="1"/>
  <c r="D233" i="4" s="1"/>
  <c r="G232" i="3"/>
  <c r="H232" i="3" s="1"/>
  <c r="J232" i="3" s="1"/>
  <c r="D233" i="3" s="1"/>
  <c r="I227" i="2"/>
  <c r="K227" i="2" s="1"/>
  <c r="F227" i="2"/>
  <c r="I233" i="5" l="1"/>
  <c r="K233" i="5" s="1"/>
  <c r="F233" i="5"/>
  <c r="I233" i="4"/>
  <c r="K233" i="4" s="1"/>
  <c r="F233" i="4"/>
  <c r="I233" i="3"/>
  <c r="K233" i="3" s="1"/>
  <c r="F233" i="3"/>
  <c r="G227" i="2"/>
  <c r="H227" i="2" s="1"/>
  <c r="J227" i="2" s="1"/>
  <c r="D228" i="2" s="1"/>
  <c r="G233" i="5" l="1"/>
  <c r="H233" i="5" s="1"/>
  <c r="J233" i="5" s="1"/>
  <c r="D234" i="5" s="1"/>
  <c r="G233" i="4"/>
  <c r="H233" i="4" s="1"/>
  <c r="J233" i="4" s="1"/>
  <c r="D234" i="4" s="1"/>
  <c r="G233" i="3"/>
  <c r="H233" i="3" s="1"/>
  <c r="J233" i="3" s="1"/>
  <c r="D234" i="3" s="1"/>
  <c r="I228" i="2"/>
  <c r="K228" i="2" s="1"/>
  <c r="F228" i="2"/>
  <c r="I234" i="5" l="1"/>
  <c r="K234" i="5" s="1"/>
  <c r="F234" i="5"/>
  <c r="I234" i="4"/>
  <c r="K234" i="4" s="1"/>
  <c r="F234" i="4"/>
  <c r="I234" i="3"/>
  <c r="K234" i="3" s="1"/>
  <c r="F234" i="3"/>
  <c r="G228" i="2"/>
  <c r="H228" i="2" s="1"/>
  <c r="J228" i="2" s="1"/>
  <c r="D229" i="2" s="1"/>
  <c r="G234" i="5" l="1"/>
  <c r="H234" i="5" s="1"/>
  <c r="J234" i="5" s="1"/>
  <c r="D235" i="5" s="1"/>
  <c r="G234" i="4"/>
  <c r="H234" i="4" s="1"/>
  <c r="J234" i="4" s="1"/>
  <c r="D235" i="4" s="1"/>
  <c r="G234" i="3"/>
  <c r="H234" i="3" s="1"/>
  <c r="J234" i="3" s="1"/>
  <c r="D235" i="3" s="1"/>
  <c r="I229" i="2"/>
  <c r="K229" i="2" s="1"/>
  <c r="F229" i="2"/>
  <c r="I235" i="5" l="1"/>
  <c r="K235" i="5" s="1"/>
  <c r="F235" i="5"/>
  <c r="I235" i="4"/>
  <c r="K235" i="4" s="1"/>
  <c r="F235" i="4"/>
  <c r="I235" i="3"/>
  <c r="K235" i="3" s="1"/>
  <c r="F235" i="3"/>
  <c r="G229" i="2"/>
  <c r="H229" i="2" s="1"/>
  <c r="J229" i="2" s="1"/>
  <c r="D230" i="2" s="1"/>
  <c r="G235" i="5" l="1"/>
  <c r="H235" i="5" s="1"/>
  <c r="J235" i="5" s="1"/>
  <c r="D236" i="5" s="1"/>
  <c r="G235" i="4"/>
  <c r="H235" i="4" s="1"/>
  <c r="J235" i="4" s="1"/>
  <c r="D236" i="4" s="1"/>
  <c r="G235" i="3"/>
  <c r="H235" i="3" s="1"/>
  <c r="J235" i="3" s="1"/>
  <c r="D236" i="3" s="1"/>
  <c r="I230" i="2"/>
  <c r="K230" i="2" s="1"/>
  <c r="F230" i="2"/>
  <c r="I236" i="5" l="1"/>
  <c r="K236" i="5" s="1"/>
  <c r="F236" i="5"/>
  <c r="I236" i="4"/>
  <c r="K236" i="4" s="1"/>
  <c r="F236" i="4"/>
  <c r="I236" i="3"/>
  <c r="K236" i="3" s="1"/>
  <c r="F236" i="3"/>
  <c r="G230" i="2"/>
  <c r="H230" i="2" s="1"/>
  <c r="J230" i="2" s="1"/>
  <c r="D231" i="2" s="1"/>
  <c r="G236" i="5" l="1"/>
  <c r="H236" i="5" s="1"/>
  <c r="J236" i="5" s="1"/>
  <c r="D237" i="5" s="1"/>
  <c r="G236" i="4"/>
  <c r="H236" i="4" s="1"/>
  <c r="J236" i="4" s="1"/>
  <c r="D237" i="4" s="1"/>
  <c r="G236" i="3"/>
  <c r="H236" i="3" s="1"/>
  <c r="J236" i="3" s="1"/>
  <c r="D237" i="3" s="1"/>
  <c r="I231" i="2"/>
  <c r="K231" i="2" s="1"/>
  <c r="F231" i="2"/>
  <c r="I237" i="5" l="1"/>
  <c r="K237" i="5" s="1"/>
  <c r="F237" i="5"/>
  <c r="I237" i="4"/>
  <c r="K237" i="4" s="1"/>
  <c r="F237" i="4"/>
  <c r="F237" i="3"/>
  <c r="I237" i="3"/>
  <c r="K237" i="3" s="1"/>
  <c r="G231" i="2"/>
  <c r="H231" i="2" s="1"/>
  <c r="J231" i="2" s="1"/>
  <c r="D232" i="2" s="1"/>
  <c r="G237" i="5" l="1"/>
  <c r="H237" i="5" s="1"/>
  <c r="J237" i="5" s="1"/>
  <c r="D238" i="5" s="1"/>
  <c r="G237" i="4"/>
  <c r="H237" i="4" s="1"/>
  <c r="J237" i="4" s="1"/>
  <c r="D238" i="4" s="1"/>
  <c r="G237" i="3"/>
  <c r="H237" i="3" s="1"/>
  <c r="J237" i="3" s="1"/>
  <c r="D238" i="3" s="1"/>
  <c r="I232" i="2"/>
  <c r="K232" i="2" s="1"/>
  <c r="F232" i="2"/>
  <c r="I238" i="5" l="1"/>
  <c r="K238" i="5" s="1"/>
  <c r="F238" i="5"/>
  <c r="I238" i="4"/>
  <c r="K238" i="4" s="1"/>
  <c r="F238" i="4"/>
  <c r="I238" i="3"/>
  <c r="K238" i="3" s="1"/>
  <c r="F238" i="3"/>
  <c r="G232" i="2"/>
  <c r="H232" i="2" s="1"/>
  <c r="J232" i="2" s="1"/>
  <c r="D233" i="2" s="1"/>
  <c r="G238" i="5" l="1"/>
  <c r="H238" i="5" s="1"/>
  <c r="J238" i="5" s="1"/>
  <c r="D239" i="5" s="1"/>
  <c r="G238" i="4"/>
  <c r="H238" i="4" s="1"/>
  <c r="J238" i="4" s="1"/>
  <c r="D239" i="4" s="1"/>
  <c r="G238" i="3"/>
  <c r="H238" i="3" s="1"/>
  <c r="J238" i="3" s="1"/>
  <c r="D239" i="3" s="1"/>
  <c r="I233" i="2"/>
  <c r="K233" i="2" s="1"/>
  <c r="F233" i="2"/>
  <c r="I239" i="5" l="1"/>
  <c r="K239" i="5" s="1"/>
  <c r="F239" i="5"/>
  <c r="F239" i="4"/>
  <c r="I239" i="4"/>
  <c r="K239" i="4" s="1"/>
  <c r="I239" i="3"/>
  <c r="K239" i="3" s="1"/>
  <c r="F239" i="3"/>
  <c r="G233" i="2"/>
  <c r="H233" i="2" s="1"/>
  <c r="J233" i="2" s="1"/>
  <c r="D234" i="2" s="1"/>
  <c r="G239" i="5" l="1"/>
  <c r="H239" i="5" s="1"/>
  <c r="J239" i="5" s="1"/>
  <c r="D240" i="5" s="1"/>
  <c r="G239" i="4"/>
  <c r="H239" i="4" s="1"/>
  <c r="J239" i="4" s="1"/>
  <c r="D240" i="4" s="1"/>
  <c r="G239" i="3"/>
  <c r="H239" i="3" s="1"/>
  <c r="J239" i="3" s="1"/>
  <c r="D240" i="3" s="1"/>
  <c r="I234" i="2"/>
  <c r="K234" i="2" s="1"/>
  <c r="F234" i="2"/>
  <c r="I240" i="5" l="1"/>
  <c r="K240" i="5" s="1"/>
  <c r="F240" i="5"/>
  <c r="I240" i="4"/>
  <c r="K240" i="4" s="1"/>
  <c r="F240" i="4"/>
  <c r="I240" i="3"/>
  <c r="K240" i="3" s="1"/>
  <c r="F240" i="3"/>
  <c r="G234" i="2"/>
  <c r="H234" i="2" s="1"/>
  <c r="J234" i="2" s="1"/>
  <c r="D235" i="2" s="1"/>
  <c r="G240" i="5" l="1"/>
  <c r="H240" i="5" s="1"/>
  <c r="J240" i="5" s="1"/>
  <c r="D241" i="5" s="1"/>
  <c r="G240" i="4"/>
  <c r="H240" i="4" s="1"/>
  <c r="J240" i="4" s="1"/>
  <c r="D241" i="4" s="1"/>
  <c r="G240" i="3"/>
  <c r="H240" i="3" s="1"/>
  <c r="J240" i="3" s="1"/>
  <c r="D241" i="3" s="1"/>
  <c r="I235" i="2"/>
  <c r="K235" i="2" s="1"/>
  <c r="F235" i="2"/>
  <c r="I241" i="5" l="1"/>
  <c r="K241" i="5" s="1"/>
  <c r="F241" i="5"/>
  <c r="F241" i="4"/>
  <c r="I241" i="4"/>
  <c r="K241" i="4" s="1"/>
  <c r="F241" i="3"/>
  <c r="I241" i="3"/>
  <c r="K241" i="3" s="1"/>
  <c r="G235" i="2"/>
  <c r="H235" i="2" s="1"/>
  <c r="J235" i="2" s="1"/>
  <c r="D236" i="2" s="1"/>
  <c r="G241" i="5" l="1"/>
  <c r="H241" i="5" s="1"/>
  <c r="J241" i="5" s="1"/>
  <c r="D242" i="5" s="1"/>
  <c r="G241" i="4"/>
  <c r="H241" i="4" s="1"/>
  <c r="J241" i="4" s="1"/>
  <c r="D242" i="4" s="1"/>
  <c r="G241" i="3"/>
  <c r="H241" i="3" s="1"/>
  <c r="J241" i="3" s="1"/>
  <c r="D242" i="3" s="1"/>
  <c r="I236" i="2"/>
  <c r="K236" i="2" s="1"/>
  <c r="F236" i="2"/>
  <c r="I242" i="5" l="1"/>
  <c r="K242" i="5" s="1"/>
  <c r="F242" i="5"/>
  <c r="I242" i="4"/>
  <c r="K242" i="4" s="1"/>
  <c r="F242" i="4"/>
  <c r="I242" i="3"/>
  <c r="K242" i="3" s="1"/>
  <c r="F242" i="3"/>
  <c r="G236" i="2"/>
  <c r="H236" i="2" s="1"/>
  <c r="J236" i="2" s="1"/>
  <c r="D237" i="2" s="1"/>
  <c r="G242" i="5" l="1"/>
  <c r="H242" i="5" s="1"/>
  <c r="J242" i="5" s="1"/>
  <c r="D243" i="5" s="1"/>
  <c r="G242" i="4"/>
  <c r="H242" i="4" s="1"/>
  <c r="J242" i="4" s="1"/>
  <c r="D243" i="4" s="1"/>
  <c r="G242" i="3"/>
  <c r="H242" i="3" s="1"/>
  <c r="J242" i="3" s="1"/>
  <c r="D243" i="3" s="1"/>
  <c r="I237" i="2"/>
  <c r="K237" i="2" s="1"/>
  <c r="F237" i="2"/>
  <c r="I243" i="5" l="1"/>
  <c r="K243" i="5" s="1"/>
  <c r="F243" i="5"/>
  <c r="I243" i="4"/>
  <c r="K243" i="4" s="1"/>
  <c r="F243" i="4"/>
  <c r="I243" i="3"/>
  <c r="K243" i="3" s="1"/>
  <c r="F243" i="3"/>
  <c r="G237" i="2"/>
  <c r="H237" i="2" s="1"/>
  <c r="J237" i="2" s="1"/>
  <c r="D238" i="2" s="1"/>
  <c r="G243" i="5" l="1"/>
  <c r="H243" i="5" s="1"/>
  <c r="J243" i="5" s="1"/>
  <c r="D244" i="5" s="1"/>
  <c r="G243" i="4"/>
  <c r="H243" i="4" s="1"/>
  <c r="J243" i="4" s="1"/>
  <c r="D244" i="4" s="1"/>
  <c r="G243" i="3"/>
  <c r="H243" i="3" s="1"/>
  <c r="J243" i="3" s="1"/>
  <c r="D244" i="3" s="1"/>
  <c r="I238" i="2"/>
  <c r="K238" i="2" s="1"/>
  <c r="F238" i="2"/>
  <c r="F244" i="5" l="1"/>
  <c r="I244" i="5"/>
  <c r="K244" i="5" s="1"/>
  <c r="I244" i="4"/>
  <c r="K244" i="4" s="1"/>
  <c r="F244" i="4"/>
  <c r="F244" i="3"/>
  <c r="I244" i="3"/>
  <c r="K244" i="3" s="1"/>
  <c r="G238" i="2"/>
  <c r="H238" i="2" s="1"/>
  <c r="J238" i="2" s="1"/>
  <c r="D239" i="2" s="1"/>
  <c r="G244" i="5" l="1"/>
  <c r="H244" i="5" s="1"/>
  <c r="J244" i="5" s="1"/>
  <c r="D245" i="5" s="1"/>
  <c r="G244" i="4"/>
  <c r="H244" i="4" s="1"/>
  <c r="J244" i="4" s="1"/>
  <c r="D245" i="4" s="1"/>
  <c r="G244" i="3"/>
  <c r="H244" i="3" s="1"/>
  <c r="J244" i="3" s="1"/>
  <c r="D245" i="3" s="1"/>
  <c r="I239" i="2"/>
  <c r="K239" i="2" s="1"/>
  <c r="F239" i="2"/>
  <c r="F245" i="5" l="1"/>
  <c r="I245" i="5"/>
  <c r="K245" i="5" s="1"/>
  <c r="I245" i="4"/>
  <c r="K245" i="4" s="1"/>
  <c r="F245" i="4"/>
  <c r="F245" i="3"/>
  <c r="I245" i="3"/>
  <c r="K245" i="3" s="1"/>
  <c r="G239" i="2"/>
  <c r="H239" i="2" s="1"/>
  <c r="J239" i="2" s="1"/>
  <c r="D240" i="2" s="1"/>
  <c r="G245" i="5" l="1"/>
  <c r="H245" i="5" s="1"/>
  <c r="J245" i="5" s="1"/>
  <c r="D246" i="5" s="1"/>
  <c r="G245" i="4"/>
  <c r="H245" i="4" s="1"/>
  <c r="J245" i="4" s="1"/>
  <c r="D246" i="4" s="1"/>
  <c r="G245" i="3"/>
  <c r="H245" i="3" s="1"/>
  <c r="J245" i="3" s="1"/>
  <c r="D246" i="3" s="1"/>
  <c r="I240" i="2"/>
  <c r="K240" i="2" s="1"/>
  <c r="F240" i="2"/>
  <c r="I246" i="5" l="1"/>
  <c r="K246" i="5" s="1"/>
  <c r="F246" i="5"/>
  <c r="I246" i="4"/>
  <c r="K246" i="4" s="1"/>
  <c r="F246" i="4"/>
  <c r="I246" i="3"/>
  <c r="K246" i="3" s="1"/>
  <c r="F246" i="3"/>
  <c r="G240" i="2"/>
  <c r="H240" i="2" s="1"/>
  <c r="J240" i="2" s="1"/>
  <c r="D241" i="2" s="1"/>
  <c r="G246" i="5" l="1"/>
  <c r="H246" i="5" s="1"/>
  <c r="J246" i="5" s="1"/>
  <c r="D247" i="5" s="1"/>
  <c r="G246" i="4"/>
  <c r="H246" i="4" s="1"/>
  <c r="J246" i="4" s="1"/>
  <c r="D247" i="4" s="1"/>
  <c r="G246" i="3"/>
  <c r="H246" i="3" s="1"/>
  <c r="J246" i="3" s="1"/>
  <c r="D247" i="3" s="1"/>
  <c r="I241" i="2"/>
  <c r="K241" i="2" s="1"/>
  <c r="F241" i="2"/>
  <c r="F247" i="5" l="1"/>
  <c r="I247" i="5"/>
  <c r="K247" i="5" s="1"/>
  <c r="I247" i="4"/>
  <c r="K247" i="4" s="1"/>
  <c r="F247" i="4"/>
  <c r="I247" i="3"/>
  <c r="K247" i="3" s="1"/>
  <c r="F247" i="3"/>
  <c r="G241" i="2"/>
  <c r="H241" i="2" s="1"/>
  <c r="J241" i="2" s="1"/>
  <c r="D242" i="2" s="1"/>
  <c r="G247" i="5" l="1"/>
  <c r="H247" i="5" s="1"/>
  <c r="J247" i="5" s="1"/>
  <c r="D248" i="5" s="1"/>
  <c r="G247" i="4"/>
  <c r="H247" i="4" s="1"/>
  <c r="J247" i="4" s="1"/>
  <c r="D248" i="4" s="1"/>
  <c r="G247" i="3"/>
  <c r="H247" i="3" s="1"/>
  <c r="J247" i="3" s="1"/>
  <c r="D248" i="3" s="1"/>
  <c r="I242" i="2"/>
  <c r="K242" i="2" s="1"/>
  <c r="F242" i="2"/>
  <c r="I248" i="5" l="1"/>
  <c r="K248" i="5" s="1"/>
  <c r="F248" i="5"/>
  <c r="I248" i="4"/>
  <c r="K248" i="4" s="1"/>
  <c r="F248" i="4"/>
  <c r="I248" i="3"/>
  <c r="K248" i="3" s="1"/>
  <c r="F248" i="3"/>
  <c r="G242" i="2"/>
  <c r="H242" i="2" s="1"/>
  <c r="J242" i="2" s="1"/>
  <c r="D243" i="2" s="1"/>
  <c r="G248" i="5" l="1"/>
  <c r="H248" i="5" s="1"/>
  <c r="J248" i="5" s="1"/>
  <c r="D249" i="5" s="1"/>
  <c r="G248" i="4"/>
  <c r="H248" i="4" s="1"/>
  <c r="J248" i="4" s="1"/>
  <c r="D249" i="4" s="1"/>
  <c r="G248" i="3"/>
  <c r="H248" i="3" s="1"/>
  <c r="J248" i="3" s="1"/>
  <c r="D249" i="3" s="1"/>
  <c r="I243" i="2"/>
  <c r="K243" i="2" s="1"/>
  <c r="F243" i="2"/>
  <c r="F249" i="5" l="1"/>
  <c r="I249" i="5"/>
  <c r="K249" i="5" s="1"/>
  <c r="I249" i="4"/>
  <c r="K249" i="4" s="1"/>
  <c r="F249" i="4"/>
  <c r="I249" i="3"/>
  <c r="K249" i="3" s="1"/>
  <c r="F249" i="3"/>
  <c r="G243" i="2"/>
  <c r="H243" i="2" s="1"/>
  <c r="J243" i="2" s="1"/>
  <c r="D244" i="2" s="1"/>
  <c r="G249" i="5" l="1"/>
  <c r="H249" i="5" s="1"/>
  <c r="J249" i="5" s="1"/>
  <c r="D250" i="5" s="1"/>
  <c r="G249" i="4"/>
  <c r="H249" i="4" s="1"/>
  <c r="J249" i="4" s="1"/>
  <c r="D250" i="4" s="1"/>
  <c r="G249" i="3"/>
  <c r="H249" i="3" s="1"/>
  <c r="J249" i="3" s="1"/>
  <c r="D250" i="3" s="1"/>
  <c r="I244" i="2"/>
  <c r="K244" i="2" s="1"/>
  <c r="F244" i="2"/>
  <c r="I250" i="5" l="1"/>
  <c r="K250" i="5" s="1"/>
  <c r="F250" i="5"/>
  <c r="I250" i="4"/>
  <c r="K250" i="4" s="1"/>
  <c r="F250" i="4"/>
  <c r="I250" i="3"/>
  <c r="K250" i="3" s="1"/>
  <c r="F250" i="3"/>
  <c r="G244" i="2"/>
  <c r="H244" i="2" s="1"/>
  <c r="J244" i="2" s="1"/>
  <c r="D245" i="2" s="1"/>
  <c r="G250" i="5" l="1"/>
  <c r="H250" i="5" s="1"/>
  <c r="J250" i="5" s="1"/>
  <c r="D251" i="5" s="1"/>
  <c r="G250" i="4"/>
  <c r="H250" i="4" s="1"/>
  <c r="J250" i="4" s="1"/>
  <c r="D251" i="4" s="1"/>
  <c r="G250" i="3"/>
  <c r="H250" i="3" s="1"/>
  <c r="J250" i="3" s="1"/>
  <c r="D251" i="3" s="1"/>
  <c r="I245" i="2"/>
  <c r="K245" i="2" s="1"/>
  <c r="F245" i="2"/>
  <c r="I251" i="5" l="1"/>
  <c r="K251" i="5" s="1"/>
  <c r="F251" i="5"/>
  <c r="I251" i="4"/>
  <c r="K251" i="4" s="1"/>
  <c r="F251" i="4"/>
  <c r="I251" i="3"/>
  <c r="K251" i="3" s="1"/>
  <c r="F251" i="3"/>
  <c r="G245" i="2"/>
  <c r="H245" i="2" s="1"/>
  <c r="J245" i="2" s="1"/>
  <c r="D246" i="2" s="1"/>
  <c r="G251" i="5" l="1"/>
  <c r="H251" i="5" s="1"/>
  <c r="J251" i="5" s="1"/>
  <c r="D252" i="5" s="1"/>
  <c r="G251" i="4"/>
  <c r="H251" i="4" s="1"/>
  <c r="J251" i="4" s="1"/>
  <c r="D252" i="4" s="1"/>
  <c r="G251" i="3"/>
  <c r="H251" i="3" s="1"/>
  <c r="J251" i="3" s="1"/>
  <c r="D252" i="3" s="1"/>
  <c r="I246" i="2"/>
  <c r="K246" i="2" s="1"/>
  <c r="F246" i="2"/>
  <c r="I252" i="5" l="1"/>
  <c r="K252" i="5" s="1"/>
  <c r="F252" i="5"/>
  <c r="I252" i="4"/>
  <c r="K252" i="4" s="1"/>
  <c r="F252" i="4"/>
  <c r="I252" i="3"/>
  <c r="K252" i="3" s="1"/>
  <c r="F252" i="3"/>
  <c r="G246" i="2"/>
  <c r="H246" i="2" s="1"/>
  <c r="J246" i="2" s="1"/>
  <c r="D247" i="2" s="1"/>
  <c r="G252" i="5" l="1"/>
  <c r="H252" i="5" s="1"/>
  <c r="J252" i="5" s="1"/>
  <c r="D253" i="5" s="1"/>
  <c r="G252" i="4"/>
  <c r="H252" i="4" s="1"/>
  <c r="J252" i="4" s="1"/>
  <c r="D253" i="4" s="1"/>
  <c r="G252" i="3"/>
  <c r="H252" i="3" s="1"/>
  <c r="J252" i="3" s="1"/>
  <c r="D253" i="3" s="1"/>
  <c r="I247" i="2"/>
  <c r="K247" i="2" s="1"/>
  <c r="F247" i="2"/>
  <c r="F253" i="5" l="1"/>
  <c r="I253" i="5"/>
  <c r="K253" i="5" s="1"/>
  <c r="I253" i="4"/>
  <c r="K253" i="4" s="1"/>
  <c r="F253" i="4"/>
  <c r="I253" i="3"/>
  <c r="K253" i="3" s="1"/>
  <c r="F253" i="3"/>
  <c r="G247" i="2"/>
  <c r="H247" i="2" s="1"/>
  <c r="J247" i="2" s="1"/>
  <c r="D248" i="2" s="1"/>
  <c r="G253" i="5" l="1"/>
  <c r="H253" i="5" s="1"/>
  <c r="J253" i="5" s="1"/>
  <c r="D254" i="5" s="1"/>
  <c r="G253" i="4"/>
  <c r="H253" i="4" s="1"/>
  <c r="J253" i="4" s="1"/>
  <c r="D254" i="4" s="1"/>
  <c r="G253" i="3"/>
  <c r="H253" i="3" s="1"/>
  <c r="J253" i="3" s="1"/>
  <c r="D254" i="3" s="1"/>
  <c r="I248" i="2"/>
  <c r="K248" i="2" s="1"/>
  <c r="F248" i="2"/>
  <c r="I254" i="5" l="1"/>
  <c r="K254" i="5" s="1"/>
  <c r="F254" i="5"/>
  <c r="I254" i="4"/>
  <c r="K254" i="4" s="1"/>
  <c r="F254" i="4"/>
  <c r="F254" i="3"/>
  <c r="I254" i="3"/>
  <c r="K254" i="3" s="1"/>
  <c r="G248" i="2"/>
  <c r="H248" i="2" s="1"/>
  <c r="J248" i="2" s="1"/>
  <c r="D249" i="2" s="1"/>
  <c r="G254" i="5" l="1"/>
  <c r="H254" i="5" s="1"/>
  <c r="J254" i="5" s="1"/>
  <c r="D255" i="5" s="1"/>
  <c r="G254" i="4"/>
  <c r="H254" i="4" s="1"/>
  <c r="J254" i="4" s="1"/>
  <c r="D255" i="4" s="1"/>
  <c r="G254" i="3"/>
  <c r="H254" i="3" s="1"/>
  <c r="J254" i="3" s="1"/>
  <c r="D255" i="3" s="1"/>
  <c r="I249" i="2"/>
  <c r="K249" i="2" s="1"/>
  <c r="F249" i="2"/>
  <c r="F255" i="5" l="1"/>
  <c r="I255" i="5"/>
  <c r="K255" i="5" s="1"/>
  <c r="I255" i="4"/>
  <c r="K255" i="4" s="1"/>
  <c r="F255" i="4"/>
  <c r="I255" i="3"/>
  <c r="K255" i="3" s="1"/>
  <c r="F255" i="3"/>
  <c r="G249" i="2"/>
  <c r="H249" i="2" s="1"/>
  <c r="J249" i="2" s="1"/>
  <c r="D250" i="2" s="1"/>
  <c r="G255" i="5" l="1"/>
  <c r="H255" i="5" s="1"/>
  <c r="J255" i="5" s="1"/>
  <c r="D256" i="5" s="1"/>
  <c r="G255" i="4"/>
  <c r="H255" i="4" s="1"/>
  <c r="J255" i="4" s="1"/>
  <c r="D256" i="4" s="1"/>
  <c r="G255" i="3"/>
  <c r="H255" i="3" s="1"/>
  <c r="J255" i="3" s="1"/>
  <c r="D256" i="3" s="1"/>
  <c r="I250" i="2"/>
  <c r="K250" i="2" s="1"/>
  <c r="F250" i="2"/>
  <c r="I256" i="5" l="1"/>
  <c r="K256" i="5" s="1"/>
  <c r="F256" i="5"/>
  <c r="I256" i="4"/>
  <c r="K256" i="4" s="1"/>
  <c r="F256" i="4"/>
  <c r="I256" i="3"/>
  <c r="K256" i="3" s="1"/>
  <c r="F256" i="3"/>
  <c r="G250" i="2"/>
  <c r="H250" i="2" s="1"/>
  <c r="J250" i="2" s="1"/>
  <c r="D251" i="2" s="1"/>
  <c r="G256" i="5" l="1"/>
  <c r="H256" i="5" s="1"/>
  <c r="J256" i="5" s="1"/>
  <c r="D257" i="5" s="1"/>
  <c r="G256" i="4"/>
  <c r="H256" i="4" s="1"/>
  <c r="J256" i="4" s="1"/>
  <c r="D257" i="4" s="1"/>
  <c r="G256" i="3"/>
  <c r="H256" i="3" s="1"/>
  <c r="J256" i="3" s="1"/>
  <c r="D257" i="3" s="1"/>
  <c r="I251" i="2"/>
  <c r="K251" i="2" s="1"/>
  <c r="F251" i="2"/>
  <c r="I257" i="5" l="1"/>
  <c r="K257" i="5" s="1"/>
  <c r="F257" i="5"/>
  <c r="F257" i="4"/>
  <c r="I257" i="4"/>
  <c r="K257" i="4" s="1"/>
  <c r="I257" i="3"/>
  <c r="K257" i="3" s="1"/>
  <c r="F257" i="3"/>
  <c r="G251" i="2"/>
  <c r="H251" i="2" s="1"/>
  <c r="J251" i="2" s="1"/>
  <c r="D252" i="2" s="1"/>
  <c r="G257" i="5" l="1"/>
  <c r="H257" i="5" s="1"/>
  <c r="J257" i="5" s="1"/>
  <c r="D258" i="5" s="1"/>
  <c r="G257" i="4"/>
  <c r="H257" i="4" s="1"/>
  <c r="J257" i="4" s="1"/>
  <c r="D258" i="4" s="1"/>
  <c r="G257" i="3"/>
  <c r="H257" i="3" s="1"/>
  <c r="J257" i="3" s="1"/>
  <c r="D258" i="3" s="1"/>
  <c r="I252" i="2"/>
  <c r="K252" i="2" s="1"/>
  <c r="F252" i="2"/>
  <c r="I258" i="5" l="1"/>
  <c r="K258" i="5" s="1"/>
  <c r="F258" i="5"/>
  <c r="I258" i="4"/>
  <c r="K258" i="4" s="1"/>
  <c r="F258" i="4"/>
  <c r="I258" i="3"/>
  <c r="K258" i="3" s="1"/>
  <c r="F258" i="3"/>
  <c r="G252" i="2"/>
  <c r="H252" i="2" s="1"/>
  <c r="J252" i="2" s="1"/>
  <c r="D253" i="2" s="1"/>
  <c r="G258" i="5" l="1"/>
  <c r="H258" i="5" s="1"/>
  <c r="J258" i="5" s="1"/>
  <c r="D259" i="5" s="1"/>
  <c r="G258" i="4"/>
  <c r="H258" i="4" s="1"/>
  <c r="J258" i="4" s="1"/>
  <c r="D259" i="4" s="1"/>
  <c r="G258" i="3"/>
  <c r="H258" i="3" s="1"/>
  <c r="J258" i="3" s="1"/>
  <c r="D259" i="3" s="1"/>
  <c r="I253" i="2"/>
  <c r="K253" i="2" s="1"/>
  <c r="F253" i="2"/>
  <c r="I259" i="5" l="1"/>
  <c r="K259" i="5" s="1"/>
  <c r="F259" i="5"/>
  <c r="F259" i="4"/>
  <c r="I259" i="4"/>
  <c r="K259" i="4" s="1"/>
  <c r="I259" i="3"/>
  <c r="K259" i="3" s="1"/>
  <c r="F259" i="3"/>
  <c r="G253" i="2"/>
  <c r="H253" i="2" s="1"/>
  <c r="J253" i="2" s="1"/>
  <c r="D254" i="2" s="1"/>
  <c r="G259" i="5" l="1"/>
  <c r="H259" i="5" s="1"/>
  <c r="J259" i="5" s="1"/>
  <c r="D260" i="5" s="1"/>
  <c r="G259" i="4"/>
  <c r="H259" i="4" s="1"/>
  <c r="J259" i="4" s="1"/>
  <c r="D260" i="4" s="1"/>
  <c r="G259" i="3"/>
  <c r="H259" i="3" s="1"/>
  <c r="J259" i="3" s="1"/>
  <c r="D260" i="3" s="1"/>
  <c r="I254" i="2"/>
  <c r="K254" i="2" s="1"/>
  <c r="F254" i="2"/>
  <c r="I260" i="5" l="1"/>
  <c r="K260" i="5" s="1"/>
  <c r="F260" i="5"/>
  <c r="I260" i="4"/>
  <c r="K260" i="4" s="1"/>
  <c r="F260" i="4"/>
  <c r="F260" i="3"/>
  <c r="I260" i="3"/>
  <c r="K260" i="3" s="1"/>
  <c r="G254" i="2"/>
  <c r="H254" i="2" s="1"/>
  <c r="J254" i="2" s="1"/>
  <c r="D255" i="2" s="1"/>
  <c r="G260" i="5" l="1"/>
  <c r="H260" i="5" s="1"/>
  <c r="J260" i="5" s="1"/>
  <c r="D261" i="5" s="1"/>
  <c r="G260" i="4"/>
  <c r="H260" i="4" s="1"/>
  <c r="J260" i="4" s="1"/>
  <c r="D261" i="4" s="1"/>
  <c r="G260" i="3"/>
  <c r="H260" i="3" s="1"/>
  <c r="J260" i="3" s="1"/>
  <c r="D261" i="3" s="1"/>
  <c r="I255" i="2"/>
  <c r="K255" i="2" s="1"/>
  <c r="F255" i="2"/>
  <c r="I261" i="5" l="1"/>
  <c r="K261" i="5" s="1"/>
  <c r="F261" i="5"/>
  <c r="F261" i="4"/>
  <c r="I261" i="4"/>
  <c r="K261" i="4" s="1"/>
  <c r="I261" i="3"/>
  <c r="K261" i="3" s="1"/>
  <c r="F261" i="3"/>
  <c r="G255" i="2"/>
  <c r="H255" i="2" s="1"/>
  <c r="J255" i="2" s="1"/>
  <c r="D256" i="2" s="1"/>
  <c r="G261" i="5" l="1"/>
  <c r="H261" i="5" s="1"/>
  <c r="J261" i="5" s="1"/>
  <c r="D262" i="5" s="1"/>
  <c r="G261" i="4"/>
  <c r="H261" i="4" s="1"/>
  <c r="J261" i="4" s="1"/>
  <c r="D262" i="4" s="1"/>
  <c r="G261" i="3"/>
  <c r="H261" i="3" s="1"/>
  <c r="J261" i="3" s="1"/>
  <c r="D262" i="3" s="1"/>
  <c r="I256" i="2"/>
  <c r="K256" i="2" s="1"/>
  <c r="F256" i="2"/>
  <c r="I262" i="5" l="1"/>
  <c r="K262" i="5" s="1"/>
  <c r="F262" i="5"/>
  <c r="I262" i="4"/>
  <c r="K262" i="4" s="1"/>
  <c r="F262" i="4"/>
  <c r="I262" i="3"/>
  <c r="K262" i="3" s="1"/>
  <c r="F262" i="3"/>
  <c r="G256" i="2"/>
  <c r="H256" i="2" s="1"/>
  <c r="J256" i="2" s="1"/>
  <c r="D257" i="2" s="1"/>
  <c r="G262" i="5" l="1"/>
  <c r="H262" i="5" s="1"/>
  <c r="J262" i="5" s="1"/>
  <c r="D263" i="5" s="1"/>
  <c r="G262" i="4"/>
  <c r="H262" i="4" s="1"/>
  <c r="J262" i="4" s="1"/>
  <c r="D263" i="4" s="1"/>
  <c r="G262" i="3"/>
  <c r="H262" i="3" s="1"/>
  <c r="J262" i="3" s="1"/>
  <c r="D263" i="3" s="1"/>
  <c r="I257" i="2"/>
  <c r="K257" i="2" s="1"/>
  <c r="F257" i="2"/>
  <c r="F263" i="5" l="1"/>
  <c r="I263" i="5"/>
  <c r="K263" i="5" s="1"/>
  <c r="I263" i="4"/>
  <c r="K263" i="4" s="1"/>
  <c r="F263" i="4"/>
  <c r="I263" i="3"/>
  <c r="K263" i="3" s="1"/>
  <c r="F263" i="3"/>
  <c r="G257" i="2"/>
  <c r="H257" i="2" s="1"/>
  <c r="J257" i="2" s="1"/>
  <c r="D258" i="2" s="1"/>
  <c r="G263" i="5" l="1"/>
  <c r="H263" i="5" s="1"/>
  <c r="J263" i="5" s="1"/>
  <c r="D264" i="5" s="1"/>
  <c r="G263" i="4"/>
  <c r="H263" i="4" s="1"/>
  <c r="J263" i="4" s="1"/>
  <c r="D264" i="4" s="1"/>
  <c r="G263" i="3"/>
  <c r="H263" i="3" s="1"/>
  <c r="J263" i="3" s="1"/>
  <c r="D264" i="3" s="1"/>
  <c r="I258" i="2"/>
  <c r="K258" i="2" s="1"/>
  <c r="F258" i="2"/>
  <c r="I264" i="5" l="1"/>
  <c r="K264" i="5" s="1"/>
  <c r="F264" i="5"/>
  <c r="I264" i="4"/>
  <c r="K264" i="4" s="1"/>
  <c r="F264" i="4"/>
  <c r="F264" i="3"/>
  <c r="I264" i="3"/>
  <c r="K264" i="3" s="1"/>
  <c r="G258" i="2"/>
  <c r="H258" i="2" s="1"/>
  <c r="J258" i="2" s="1"/>
  <c r="D259" i="2" s="1"/>
  <c r="G264" i="5" l="1"/>
  <c r="H264" i="5" s="1"/>
  <c r="J264" i="5" s="1"/>
  <c r="D265" i="5" s="1"/>
  <c r="G264" i="4"/>
  <c r="H264" i="4" s="1"/>
  <c r="J264" i="4" s="1"/>
  <c r="D265" i="4" s="1"/>
  <c r="G264" i="3"/>
  <c r="H264" i="3" s="1"/>
  <c r="J264" i="3" s="1"/>
  <c r="D265" i="3" s="1"/>
  <c r="I259" i="2"/>
  <c r="K259" i="2" s="1"/>
  <c r="F259" i="2"/>
  <c r="I265" i="5" l="1"/>
  <c r="K265" i="5" s="1"/>
  <c r="F265" i="5"/>
  <c r="I265" i="4"/>
  <c r="K265" i="4" s="1"/>
  <c r="F265" i="4"/>
  <c r="I265" i="3"/>
  <c r="K265" i="3" s="1"/>
  <c r="F265" i="3"/>
  <c r="G259" i="2"/>
  <c r="H259" i="2" s="1"/>
  <c r="J259" i="2" s="1"/>
  <c r="D260" i="2" s="1"/>
  <c r="G265" i="5" l="1"/>
  <c r="H265" i="5" s="1"/>
  <c r="J265" i="5" s="1"/>
  <c r="D266" i="5" s="1"/>
  <c r="G265" i="4"/>
  <c r="H265" i="4" s="1"/>
  <c r="J265" i="4" s="1"/>
  <c r="D266" i="4" s="1"/>
  <c r="G265" i="3"/>
  <c r="H265" i="3" s="1"/>
  <c r="J265" i="3" s="1"/>
  <c r="D266" i="3" s="1"/>
  <c r="I260" i="2"/>
  <c r="K260" i="2" s="1"/>
  <c r="F260" i="2"/>
  <c r="F266" i="5" l="1"/>
  <c r="I266" i="5"/>
  <c r="K266" i="5" s="1"/>
  <c r="I266" i="4"/>
  <c r="K266" i="4" s="1"/>
  <c r="F266" i="4"/>
  <c r="I266" i="3"/>
  <c r="K266" i="3" s="1"/>
  <c r="F266" i="3"/>
  <c r="G260" i="2"/>
  <c r="H260" i="2" s="1"/>
  <c r="J260" i="2" s="1"/>
  <c r="D261" i="2" s="1"/>
  <c r="G266" i="5" l="1"/>
  <c r="H266" i="5" s="1"/>
  <c r="J266" i="5" s="1"/>
  <c r="D267" i="5" s="1"/>
  <c r="G266" i="4"/>
  <c r="H266" i="4" s="1"/>
  <c r="J266" i="4" s="1"/>
  <c r="D267" i="4" s="1"/>
  <c r="G266" i="3"/>
  <c r="H266" i="3" s="1"/>
  <c r="J266" i="3" s="1"/>
  <c r="D267" i="3" s="1"/>
  <c r="I261" i="2"/>
  <c r="K261" i="2" s="1"/>
  <c r="F261" i="2"/>
  <c r="I267" i="5" l="1"/>
  <c r="K267" i="5" s="1"/>
  <c r="F267" i="5"/>
  <c r="I267" i="4"/>
  <c r="K267" i="4" s="1"/>
  <c r="F267" i="4"/>
  <c r="I267" i="3"/>
  <c r="K267" i="3" s="1"/>
  <c r="F267" i="3"/>
  <c r="G261" i="2"/>
  <c r="H261" i="2" s="1"/>
  <c r="J261" i="2" s="1"/>
  <c r="D262" i="2" s="1"/>
  <c r="G267" i="5" l="1"/>
  <c r="H267" i="5" s="1"/>
  <c r="J267" i="5" s="1"/>
  <c r="D268" i="5" s="1"/>
  <c r="G267" i="4"/>
  <c r="H267" i="4" s="1"/>
  <c r="J267" i="4" s="1"/>
  <c r="D268" i="4" s="1"/>
  <c r="G267" i="3"/>
  <c r="H267" i="3" s="1"/>
  <c r="J267" i="3" s="1"/>
  <c r="D268" i="3" s="1"/>
  <c r="I262" i="2"/>
  <c r="K262" i="2" s="1"/>
  <c r="F262" i="2"/>
  <c r="F268" i="5" l="1"/>
  <c r="I268" i="5"/>
  <c r="K268" i="5" s="1"/>
  <c r="I268" i="4"/>
  <c r="K268" i="4" s="1"/>
  <c r="F268" i="4"/>
  <c r="I268" i="3"/>
  <c r="K268" i="3" s="1"/>
  <c r="F268" i="3"/>
  <c r="G262" i="2"/>
  <c r="H262" i="2" s="1"/>
  <c r="J262" i="2" s="1"/>
  <c r="D263" i="2" s="1"/>
  <c r="G268" i="5" l="1"/>
  <c r="H268" i="5" s="1"/>
  <c r="J268" i="5" s="1"/>
  <c r="D269" i="5" s="1"/>
  <c r="G268" i="4"/>
  <c r="H268" i="4" s="1"/>
  <c r="J268" i="4" s="1"/>
  <c r="D269" i="4" s="1"/>
  <c r="G268" i="3"/>
  <c r="H268" i="3" s="1"/>
  <c r="J268" i="3" s="1"/>
  <c r="D269" i="3" s="1"/>
  <c r="I263" i="2"/>
  <c r="K263" i="2" s="1"/>
  <c r="F263" i="2"/>
  <c r="I269" i="5" l="1"/>
  <c r="K269" i="5" s="1"/>
  <c r="F269" i="5"/>
  <c r="F269" i="4"/>
  <c r="I269" i="4"/>
  <c r="K269" i="4" s="1"/>
  <c r="I269" i="3"/>
  <c r="K269" i="3" s="1"/>
  <c r="F269" i="3"/>
  <c r="G263" i="2"/>
  <c r="H263" i="2" s="1"/>
  <c r="J263" i="2" s="1"/>
  <c r="D264" i="2" s="1"/>
  <c r="G269" i="5" l="1"/>
  <c r="H269" i="5" s="1"/>
  <c r="J269" i="5" s="1"/>
  <c r="D270" i="5" s="1"/>
  <c r="G269" i="4"/>
  <c r="H269" i="4" s="1"/>
  <c r="J269" i="4" s="1"/>
  <c r="D270" i="4" s="1"/>
  <c r="G269" i="3"/>
  <c r="H269" i="3" s="1"/>
  <c r="J269" i="3" s="1"/>
  <c r="D270" i="3" s="1"/>
  <c r="I264" i="2"/>
  <c r="K264" i="2" s="1"/>
  <c r="F264" i="2"/>
  <c r="I270" i="5" l="1"/>
  <c r="K270" i="5" s="1"/>
  <c r="F270" i="5"/>
  <c r="I270" i="4"/>
  <c r="K270" i="4" s="1"/>
  <c r="F270" i="4"/>
  <c r="I270" i="3"/>
  <c r="K270" i="3" s="1"/>
  <c r="F270" i="3"/>
  <c r="G264" i="2"/>
  <c r="H264" i="2" s="1"/>
  <c r="J264" i="2" s="1"/>
  <c r="D265" i="2" s="1"/>
  <c r="G270" i="5" l="1"/>
  <c r="H270" i="5" s="1"/>
  <c r="J270" i="5" s="1"/>
  <c r="D271" i="5" s="1"/>
  <c r="G270" i="4"/>
  <c r="H270" i="4" s="1"/>
  <c r="J270" i="4" s="1"/>
  <c r="D271" i="4" s="1"/>
  <c r="G270" i="3"/>
  <c r="H270" i="3" s="1"/>
  <c r="J270" i="3" s="1"/>
  <c r="D271" i="3" s="1"/>
  <c r="I265" i="2"/>
  <c r="K265" i="2" s="1"/>
  <c r="F265" i="2"/>
  <c r="I271" i="5" l="1"/>
  <c r="K271" i="5" s="1"/>
  <c r="F271" i="5"/>
  <c r="I271" i="4"/>
  <c r="K271" i="4" s="1"/>
  <c r="F271" i="4"/>
  <c r="I271" i="3"/>
  <c r="K271" i="3" s="1"/>
  <c r="F271" i="3"/>
  <c r="G265" i="2"/>
  <c r="H265" i="2" s="1"/>
  <c r="J265" i="2" s="1"/>
  <c r="D266" i="2" s="1"/>
  <c r="G271" i="5" l="1"/>
  <c r="H271" i="5" s="1"/>
  <c r="J271" i="5" s="1"/>
  <c r="D272" i="5" s="1"/>
  <c r="G271" i="4"/>
  <c r="H271" i="4" s="1"/>
  <c r="J271" i="4" s="1"/>
  <c r="D272" i="4" s="1"/>
  <c r="G271" i="3"/>
  <c r="H271" i="3" s="1"/>
  <c r="J271" i="3" s="1"/>
  <c r="D272" i="3" s="1"/>
  <c r="I266" i="2"/>
  <c r="K266" i="2" s="1"/>
  <c r="F266" i="2"/>
  <c r="F272" i="5" l="1"/>
  <c r="I272" i="5"/>
  <c r="K272" i="5" s="1"/>
  <c r="I272" i="4"/>
  <c r="K272" i="4" s="1"/>
  <c r="F272" i="4"/>
  <c r="I272" i="3"/>
  <c r="K272" i="3" s="1"/>
  <c r="F272" i="3"/>
  <c r="G266" i="2"/>
  <c r="H266" i="2" s="1"/>
  <c r="J266" i="2" s="1"/>
  <c r="D267" i="2" s="1"/>
  <c r="G272" i="5" l="1"/>
  <c r="H272" i="5" s="1"/>
  <c r="J272" i="5" s="1"/>
  <c r="D273" i="5" s="1"/>
  <c r="G272" i="4"/>
  <c r="H272" i="4" s="1"/>
  <c r="J272" i="4" s="1"/>
  <c r="D273" i="4" s="1"/>
  <c r="G272" i="3"/>
  <c r="H272" i="3" s="1"/>
  <c r="J272" i="3" s="1"/>
  <c r="D273" i="3" s="1"/>
  <c r="I267" i="2"/>
  <c r="K267" i="2" s="1"/>
  <c r="F267" i="2"/>
  <c r="I273" i="5" l="1"/>
  <c r="K273" i="5" s="1"/>
  <c r="F273" i="5"/>
  <c r="I273" i="4"/>
  <c r="K273" i="4" s="1"/>
  <c r="F273" i="4"/>
  <c r="I273" i="3"/>
  <c r="K273" i="3" s="1"/>
  <c r="F273" i="3"/>
  <c r="G267" i="2"/>
  <c r="H267" i="2" s="1"/>
  <c r="J267" i="2" s="1"/>
  <c r="D268" i="2" s="1"/>
  <c r="G273" i="5" l="1"/>
  <c r="H273" i="5" s="1"/>
  <c r="J273" i="5" s="1"/>
  <c r="D274" i="5" s="1"/>
  <c r="G273" i="4"/>
  <c r="H273" i="4" s="1"/>
  <c r="J273" i="4" s="1"/>
  <c r="D274" i="4" s="1"/>
  <c r="G273" i="3"/>
  <c r="H273" i="3" s="1"/>
  <c r="J273" i="3" s="1"/>
  <c r="D274" i="3" s="1"/>
  <c r="I268" i="2"/>
  <c r="K268" i="2" s="1"/>
  <c r="F268" i="2"/>
  <c r="I274" i="5" l="1"/>
  <c r="K274" i="5" s="1"/>
  <c r="F274" i="5"/>
  <c r="I274" i="4"/>
  <c r="K274" i="4" s="1"/>
  <c r="F274" i="4"/>
  <c r="I274" i="3"/>
  <c r="K274" i="3" s="1"/>
  <c r="F274" i="3"/>
  <c r="G268" i="2"/>
  <c r="H268" i="2" s="1"/>
  <c r="J268" i="2" s="1"/>
  <c r="D269" i="2" s="1"/>
  <c r="G274" i="5" l="1"/>
  <c r="H274" i="5" s="1"/>
  <c r="J274" i="5" s="1"/>
  <c r="D275" i="5" s="1"/>
  <c r="G274" i="4"/>
  <c r="H274" i="4" s="1"/>
  <c r="J274" i="4" s="1"/>
  <c r="D275" i="4" s="1"/>
  <c r="G274" i="3"/>
  <c r="H274" i="3" s="1"/>
  <c r="J274" i="3" s="1"/>
  <c r="D275" i="3" s="1"/>
  <c r="I269" i="2"/>
  <c r="K269" i="2" s="1"/>
  <c r="F269" i="2"/>
  <c r="F275" i="5" l="1"/>
  <c r="I275" i="5"/>
  <c r="K275" i="5" s="1"/>
  <c r="I275" i="4"/>
  <c r="K275" i="4" s="1"/>
  <c r="F275" i="4"/>
  <c r="F275" i="3"/>
  <c r="I275" i="3"/>
  <c r="K275" i="3" s="1"/>
  <c r="G269" i="2"/>
  <c r="H269" i="2" s="1"/>
  <c r="J269" i="2" s="1"/>
  <c r="D270" i="2" s="1"/>
  <c r="G275" i="5" l="1"/>
  <c r="H275" i="5" s="1"/>
  <c r="J275" i="5" s="1"/>
  <c r="D276" i="5" s="1"/>
  <c r="G275" i="4"/>
  <c r="H275" i="4" s="1"/>
  <c r="J275" i="4" s="1"/>
  <c r="D276" i="4" s="1"/>
  <c r="G275" i="3"/>
  <c r="H275" i="3" s="1"/>
  <c r="J275" i="3" s="1"/>
  <c r="D276" i="3" s="1"/>
  <c r="I270" i="2"/>
  <c r="K270" i="2" s="1"/>
  <c r="F270" i="2"/>
  <c r="I276" i="5" l="1"/>
  <c r="K276" i="5" s="1"/>
  <c r="F276" i="5"/>
  <c r="F276" i="4"/>
  <c r="I276" i="4"/>
  <c r="K276" i="4" s="1"/>
  <c r="I276" i="3"/>
  <c r="K276" i="3" s="1"/>
  <c r="F276" i="3"/>
  <c r="G270" i="2"/>
  <c r="H270" i="2" s="1"/>
  <c r="J270" i="2" s="1"/>
  <c r="D271" i="2" s="1"/>
  <c r="G276" i="5" l="1"/>
  <c r="H276" i="5" s="1"/>
  <c r="J276" i="5" s="1"/>
  <c r="D277" i="5" s="1"/>
  <c r="G276" i="4"/>
  <c r="H276" i="4" s="1"/>
  <c r="J276" i="4" s="1"/>
  <c r="D277" i="4" s="1"/>
  <c r="G276" i="3"/>
  <c r="H276" i="3" s="1"/>
  <c r="J276" i="3" s="1"/>
  <c r="D277" i="3" s="1"/>
  <c r="I271" i="2"/>
  <c r="K271" i="2" s="1"/>
  <c r="F271" i="2"/>
  <c r="I277" i="5" l="1"/>
  <c r="K277" i="5" s="1"/>
  <c r="F277" i="5"/>
  <c r="I277" i="4"/>
  <c r="K277" i="4" s="1"/>
  <c r="F277" i="4"/>
  <c r="I277" i="3"/>
  <c r="K277" i="3" s="1"/>
  <c r="F277" i="3"/>
  <c r="G271" i="2"/>
  <c r="H271" i="2" s="1"/>
  <c r="J271" i="2" s="1"/>
  <c r="D272" i="2" s="1"/>
  <c r="G277" i="5" l="1"/>
  <c r="H277" i="5" s="1"/>
  <c r="J277" i="5" s="1"/>
  <c r="D278" i="5" s="1"/>
  <c r="G277" i="4"/>
  <c r="H277" i="4" s="1"/>
  <c r="J277" i="4" s="1"/>
  <c r="D278" i="4" s="1"/>
  <c r="G277" i="3"/>
  <c r="H277" i="3" s="1"/>
  <c r="J277" i="3" s="1"/>
  <c r="D278" i="3" s="1"/>
  <c r="I272" i="2"/>
  <c r="K272" i="2" s="1"/>
  <c r="F272" i="2"/>
  <c r="F278" i="5" l="1"/>
  <c r="I278" i="5"/>
  <c r="K278" i="5" s="1"/>
  <c r="I278" i="4"/>
  <c r="K278" i="4" s="1"/>
  <c r="F278" i="4"/>
  <c r="F278" i="3"/>
  <c r="I278" i="3"/>
  <c r="K278" i="3" s="1"/>
  <c r="G272" i="2"/>
  <c r="H272" i="2" s="1"/>
  <c r="J272" i="2" s="1"/>
  <c r="D273" i="2" s="1"/>
  <c r="G278" i="5" l="1"/>
  <c r="H278" i="5" s="1"/>
  <c r="J278" i="5" s="1"/>
  <c r="D279" i="5" s="1"/>
  <c r="G278" i="4"/>
  <c r="H278" i="4" s="1"/>
  <c r="J278" i="4" s="1"/>
  <c r="D279" i="4" s="1"/>
  <c r="G278" i="3"/>
  <c r="H278" i="3" s="1"/>
  <c r="J278" i="3" s="1"/>
  <c r="D279" i="3" s="1"/>
  <c r="I273" i="2"/>
  <c r="K273" i="2" s="1"/>
  <c r="F273" i="2"/>
  <c r="F279" i="5" l="1"/>
  <c r="I279" i="5"/>
  <c r="K279" i="5" s="1"/>
  <c r="I279" i="4"/>
  <c r="K279" i="4" s="1"/>
  <c r="F279" i="4"/>
  <c r="I279" i="3"/>
  <c r="K279" i="3" s="1"/>
  <c r="F279" i="3"/>
  <c r="G273" i="2"/>
  <c r="H273" i="2" s="1"/>
  <c r="J273" i="2" s="1"/>
  <c r="D274" i="2" s="1"/>
  <c r="G279" i="5" l="1"/>
  <c r="H279" i="5" s="1"/>
  <c r="J279" i="5" s="1"/>
  <c r="D280" i="5" s="1"/>
  <c r="G279" i="4"/>
  <c r="H279" i="4" s="1"/>
  <c r="J279" i="4" s="1"/>
  <c r="D280" i="4" s="1"/>
  <c r="G279" i="3"/>
  <c r="H279" i="3" s="1"/>
  <c r="J279" i="3" s="1"/>
  <c r="D280" i="3" s="1"/>
  <c r="I274" i="2"/>
  <c r="K274" i="2" s="1"/>
  <c r="F274" i="2"/>
  <c r="I280" i="5" l="1"/>
  <c r="K280" i="5" s="1"/>
  <c r="F280" i="5"/>
  <c r="F280" i="4"/>
  <c r="I280" i="4"/>
  <c r="K280" i="4" s="1"/>
  <c r="F280" i="3"/>
  <c r="I280" i="3"/>
  <c r="K280" i="3" s="1"/>
  <c r="G274" i="2"/>
  <c r="H274" i="2" s="1"/>
  <c r="J274" i="2" s="1"/>
  <c r="D275" i="2" s="1"/>
  <c r="G280" i="5" l="1"/>
  <c r="H280" i="5" s="1"/>
  <c r="J280" i="5" s="1"/>
  <c r="D281" i="5" s="1"/>
  <c r="G280" i="4"/>
  <c r="H280" i="4" s="1"/>
  <c r="J280" i="4" s="1"/>
  <c r="D281" i="4" s="1"/>
  <c r="G280" i="3"/>
  <c r="H280" i="3" s="1"/>
  <c r="J280" i="3" s="1"/>
  <c r="D281" i="3" s="1"/>
  <c r="I275" i="2"/>
  <c r="K275" i="2" s="1"/>
  <c r="F275" i="2"/>
  <c r="I281" i="5" l="1"/>
  <c r="K281" i="5" s="1"/>
  <c r="F281" i="5"/>
  <c r="I281" i="4"/>
  <c r="K281" i="4" s="1"/>
  <c r="F281" i="4"/>
  <c r="I281" i="3"/>
  <c r="K281" i="3" s="1"/>
  <c r="F281" i="3"/>
  <c r="G275" i="2"/>
  <c r="H275" i="2" s="1"/>
  <c r="J275" i="2" s="1"/>
  <c r="D276" i="2" s="1"/>
  <c r="G281" i="5" l="1"/>
  <c r="H281" i="5" s="1"/>
  <c r="J281" i="5" s="1"/>
  <c r="D282" i="5" s="1"/>
  <c r="G281" i="4"/>
  <c r="H281" i="4" s="1"/>
  <c r="J281" i="4" s="1"/>
  <c r="D282" i="4" s="1"/>
  <c r="G281" i="3"/>
  <c r="H281" i="3" s="1"/>
  <c r="J281" i="3" s="1"/>
  <c r="D282" i="3" s="1"/>
  <c r="I276" i="2"/>
  <c r="K276" i="2" s="1"/>
  <c r="F276" i="2"/>
  <c r="I282" i="5" l="1"/>
  <c r="K282" i="5" s="1"/>
  <c r="F282" i="5"/>
  <c r="I282" i="4"/>
  <c r="K282" i="4" s="1"/>
  <c r="F282" i="4"/>
  <c r="F282" i="3"/>
  <c r="I282" i="3"/>
  <c r="K282" i="3" s="1"/>
  <c r="G276" i="2"/>
  <c r="H276" i="2" s="1"/>
  <c r="J276" i="2" s="1"/>
  <c r="D277" i="2" s="1"/>
  <c r="G282" i="5" l="1"/>
  <c r="H282" i="5" s="1"/>
  <c r="J282" i="5" s="1"/>
  <c r="D283" i="5" s="1"/>
  <c r="G282" i="4"/>
  <c r="H282" i="4" s="1"/>
  <c r="J282" i="4" s="1"/>
  <c r="D283" i="4" s="1"/>
  <c r="G282" i="3"/>
  <c r="H282" i="3" s="1"/>
  <c r="J282" i="3" s="1"/>
  <c r="D283" i="3" s="1"/>
  <c r="I277" i="2"/>
  <c r="K277" i="2" s="1"/>
  <c r="F277" i="2"/>
  <c r="I283" i="5" l="1"/>
  <c r="K283" i="5" s="1"/>
  <c r="F283" i="5"/>
  <c r="F283" i="4"/>
  <c r="I283" i="4"/>
  <c r="K283" i="4" s="1"/>
  <c r="F283" i="3"/>
  <c r="I283" i="3"/>
  <c r="K283" i="3" s="1"/>
  <c r="G277" i="2"/>
  <c r="H277" i="2" s="1"/>
  <c r="J277" i="2" s="1"/>
  <c r="D278" i="2" s="1"/>
  <c r="G283" i="5" l="1"/>
  <c r="H283" i="5" s="1"/>
  <c r="J283" i="5" s="1"/>
  <c r="D284" i="5" s="1"/>
  <c r="G283" i="4"/>
  <c r="H283" i="4" s="1"/>
  <c r="J283" i="4" s="1"/>
  <c r="D284" i="4" s="1"/>
  <c r="G283" i="3"/>
  <c r="H283" i="3" s="1"/>
  <c r="J283" i="3" s="1"/>
  <c r="D284" i="3" s="1"/>
  <c r="I278" i="2"/>
  <c r="K278" i="2" s="1"/>
  <c r="F278" i="2"/>
  <c r="I284" i="5" l="1"/>
  <c r="K284" i="5" s="1"/>
  <c r="F284" i="5"/>
  <c r="I284" i="4"/>
  <c r="K284" i="4" s="1"/>
  <c r="F284" i="4"/>
  <c r="F284" i="3"/>
  <c r="I284" i="3"/>
  <c r="K284" i="3" s="1"/>
  <c r="G278" i="2"/>
  <c r="H278" i="2" s="1"/>
  <c r="J278" i="2" s="1"/>
  <c r="D279" i="2" s="1"/>
  <c r="G284" i="5" l="1"/>
  <c r="H284" i="5" s="1"/>
  <c r="J284" i="5" s="1"/>
  <c r="D285" i="5" s="1"/>
  <c r="G284" i="4"/>
  <c r="H284" i="4" s="1"/>
  <c r="J284" i="4" s="1"/>
  <c r="D285" i="4" s="1"/>
  <c r="G284" i="3"/>
  <c r="H284" i="3" s="1"/>
  <c r="J284" i="3" s="1"/>
  <c r="D285" i="3" s="1"/>
  <c r="I279" i="2"/>
  <c r="K279" i="2" s="1"/>
  <c r="F279" i="2"/>
  <c r="I285" i="5" l="1"/>
  <c r="K285" i="5" s="1"/>
  <c r="F285" i="5"/>
  <c r="I285" i="4"/>
  <c r="K285" i="4" s="1"/>
  <c r="F285" i="4"/>
  <c r="I285" i="3"/>
  <c r="K285" i="3" s="1"/>
  <c r="F285" i="3"/>
  <c r="G279" i="2"/>
  <c r="H279" i="2" s="1"/>
  <c r="J279" i="2" s="1"/>
  <c r="D280" i="2" s="1"/>
  <c r="G285" i="5" l="1"/>
  <c r="H285" i="5" s="1"/>
  <c r="J285" i="5" s="1"/>
  <c r="D286" i="5" s="1"/>
  <c r="G285" i="4"/>
  <c r="H285" i="4" s="1"/>
  <c r="J285" i="4"/>
  <c r="D286" i="4" s="1"/>
  <c r="G285" i="3"/>
  <c r="H285" i="3" s="1"/>
  <c r="J285" i="3" s="1"/>
  <c r="D286" i="3" s="1"/>
  <c r="I280" i="2"/>
  <c r="K280" i="2" s="1"/>
  <c r="F280" i="2"/>
  <c r="I286" i="5" l="1"/>
  <c r="K286" i="5" s="1"/>
  <c r="F286" i="5"/>
  <c r="I286" i="4"/>
  <c r="K286" i="4" s="1"/>
  <c r="F286" i="4"/>
  <c r="I286" i="3"/>
  <c r="K286" i="3" s="1"/>
  <c r="F286" i="3"/>
  <c r="G280" i="2"/>
  <c r="H280" i="2" s="1"/>
  <c r="J280" i="2" s="1"/>
  <c r="D281" i="2" s="1"/>
  <c r="G286" i="5" l="1"/>
  <c r="H286" i="5" s="1"/>
  <c r="J286" i="5" s="1"/>
  <c r="D287" i="5" s="1"/>
  <c r="G286" i="4"/>
  <c r="H286" i="4" s="1"/>
  <c r="J286" i="4" s="1"/>
  <c r="D287" i="4" s="1"/>
  <c r="G286" i="3"/>
  <c r="H286" i="3" s="1"/>
  <c r="J286" i="3" s="1"/>
  <c r="D287" i="3" s="1"/>
  <c r="I281" i="2"/>
  <c r="K281" i="2" s="1"/>
  <c r="F281" i="2"/>
  <c r="I287" i="5" l="1"/>
  <c r="K287" i="5" s="1"/>
  <c r="F287" i="5"/>
  <c r="F287" i="4"/>
  <c r="I287" i="4"/>
  <c r="K287" i="4" s="1"/>
  <c r="I287" i="3"/>
  <c r="K287" i="3" s="1"/>
  <c r="F287" i="3"/>
  <c r="G281" i="2"/>
  <c r="H281" i="2" s="1"/>
  <c r="J281" i="2" s="1"/>
  <c r="D282" i="2" s="1"/>
  <c r="G287" i="5" l="1"/>
  <c r="H287" i="5" s="1"/>
  <c r="J287" i="5" s="1"/>
  <c r="D288" i="5" s="1"/>
  <c r="G287" i="4"/>
  <c r="H287" i="4" s="1"/>
  <c r="J287" i="4" s="1"/>
  <c r="D288" i="4" s="1"/>
  <c r="G287" i="3"/>
  <c r="H287" i="3" s="1"/>
  <c r="J287" i="3" s="1"/>
  <c r="D288" i="3" s="1"/>
  <c r="I282" i="2"/>
  <c r="K282" i="2" s="1"/>
  <c r="F282" i="2"/>
  <c r="I288" i="5" l="1"/>
  <c r="K288" i="5" s="1"/>
  <c r="F288" i="5"/>
  <c r="I288" i="4"/>
  <c r="K288" i="4" s="1"/>
  <c r="F288" i="4"/>
  <c r="I288" i="3"/>
  <c r="K288" i="3" s="1"/>
  <c r="F288" i="3"/>
  <c r="G282" i="2"/>
  <c r="H282" i="2" s="1"/>
  <c r="J282" i="2" s="1"/>
  <c r="D283" i="2" s="1"/>
  <c r="G288" i="5" l="1"/>
  <c r="H288" i="5" s="1"/>
  <c r="J288" i="5" s="1"/>
  <c r="D289" i="5" s="1"/>
  <c r="G288" i="4"/>
  <c r="H288" i="4" s="1"/>
  <c r="J288" i="4" s="1"/>
  <c r="D289" i="4" s="1"/>
  <c r="G288" i="3"/>
  <c r="H288" i="3" s="1"/>
  <c r="J288" i="3" s="1"/>
  <c r="D289" i="3" s="1"/>
  <c r="I283" i="2"/>
  <c r="K283" i="2" s="1"/>
  <c r="F283" i="2"/>
  <c r="I289" i="5" l="1"/>
  <c r="K289" i="5" s="1"/>
  <c r="F289" i="5"/>
  <c r="I289" i="4"/>
  <c r="K289" i="4" s="1"/>
  <c r="F289" i="4"/>
  <c r="I289" i="3"/>
  <c r="K289" i="3" s="1"/>
  <c r="F289" i="3"/>
  <c r="G283" i="2"/>
  <c r="H283" i="2" s="1"/>
  <c r="J283" i="2" s="1"/>
  <c r="D284" i="2" s="1"/>
  <c r="G289" i="5" l="1"/>
  <c r="H289" i="5" s="1"/>
  <c r="J289" i="5" s="1"/>
  <c r="D290" i="5" s="1"/>
  <c r="G289" i="4"/>
  <c r="H289" i="4" s="1"/>
  <c r="J289" i="4" s="1"/>
  <c r="D290" i="4" s="1"/>
  <c r="G289" i="3"/>
  <c r="H289" i="3" s="1"/>
  <c r="J289" i="3" s="1"/>
  <c r="D290" i="3" s="1"/>
  <c r="I284" i="2"/>
  <c r="K284" i="2" s="1"/>
  <c r="F284" i="2"/>
  <c r="I290" i="5" l="1"/>
  <c r="K290" i="5" s="1"/>
  <c r="F290" i="5"/>
  <c r="I290" i="4"/>
  <c r="K290" i="4" s="1"/>
  <c r="F290" i="4"/>
  <c r="F290" i="3"/>
  <c r="I290" i="3"/>
  <c r="K290" i="3" s="1"/>
  <c r="G284" i="2"/>
  <c r="H284" i="2" s="1"/>
  <c r="J284" i="2" s="1"/>
  <c r="D285" i="2" s="1"/>
  <c r="G290" i="5" l="1"/>
  <c r="H290" i="5" s="1"/>
  <c r="J290" i="5" s="1"/>
  <c r="D291" i="5" s="1"/>
  <c r="G290" i="4"/>
  <c r="H290" i="4" s="1"/>
  <c r="J290" i="4" s="1"/>
  <c r="D291" i="4" s="1"/>
  <c r="G290" i="3"/>
  <c r="H290" i="3" s="1"/>
  <c r="J290" i="3" s="1"/>
  <c r="D291" i="3" s="1"/>
  <c r="I285" i="2"/>
  <c r="K285" i="2" s="1"/>
  <c r="F285" i="2"/>
  <c r="I291" i="5" l="1"/>
  <c r="K291" i="5" s="1"/>
  <c r="F291" i="5"/>
  <c r="F291" i="4"/>
  <c r="I291" i="4"/>
  <c r="K291" i="4" s="1"/>
  <c r="F291" i="3"/>
  <c r="I291" i="3"/>
  <c r="K291" i="3" s="1"/>
  <c r="G285" i="2"/>
  <c r="H285" i="2" s="1"/>
  <c r="J285" i="2" s="1"/>
  <c r="D286" i="2" s="1"/>
  <c r="G291" i="5" l="1"/>
  <c r="H291" i="5" s="1"/>
  <c r="J291" i="5" s="1"/>
  <c r="D292" i="5" s="1"/>
  <c r="G291" i="4"/>
  <c r="H291" i="4" s="1"/>
  <c r="J291" i="4" s="1"/>
  <c r="D292" i="4" s="1"/>
  <c r="G291" i="3"/>
  <c r="H291" i="3" s="1"/>
  <c r="J291" i="3" s="1"/>
  <c r="D292" i="3" s="1"/>
  <c r="I286" i="2"/>
  <c r="K286" i="2" s="1"/>
  <c r="F286" i="2"/>
  <c r="I292" i="5" l="1"/>
  <c r="K292" i="5" s="1"/>
  <c r="F292" i="5"/>
  <c r="F292" i="4"/>
  <c r="I292" i="4"/>
  <c r="K292" i="4" s="1"/>
  <c r="I292" i="3"/>
  <c r="K292" i="3" s="1"/>
  <c r="F292" i="3"/>
  <c r="G286" i="2"/>
  <c r="H286" i="2" s="1"/>
  <c r="J286" i="2" s="1"/>
  <c r="D287" i="2" s="1"/>
  <c r="G292" i="5" l="1"/>
  <c r="H292" i="5" s="1"/>
  <c r="J292" i="5" s="1"/>
  <c r="D293" i="5" s="1"/>
  <c r="G292" i="4"/>
  <c r="H292" i="4" s="1"/>
  <c r="J292" i="4" s="1"/>
  <c r="D293" i="4" s="1"/>
  <c r="G292" i="3"/>
  <c r="H292" i="3" s="1"/>
  <c r="J292" i="3" s="1"/>
  <c r="D293" i="3" s="1"/>
  <c r="I287" i="2"/>
  <c r="K287" i="2" s="1"/>
  <c r="F287" i="2"/>
  <c r="I293" i="5" l="1"/>
  <c r="K293" i="5" s="1"/>
  <c r="F293" i="5"/>
  <c r="F293" i="4"/>
  <c r="I293" i="4"/>
  <c r="K293" i="4" s="1"/>
  <c r="I293" i="3"/>
  <c r="K293" i="3" s="1"/>
  <c r="F293" i="3"/>
  <c r="G287" i="2"/>
  <c r="H287" i="2" s="1"/>
  <c r="J287" i="2" s="1"/>
  <c r="D288" i="2" s="1"/>
  <c r="G293" i="5" l="1"/>
  <c r="H293" i="5" s="1"/>
  <c r="J293" i="5" s="1"/>
  <c r="D294" i="5" s="1"/>
  <c r="G293" i="4"/>
  <c r="H293" i="4" s="1"/>
  <c r="J293" i="4" s="1"/>
  <c r="D294" i="4" s="1"/>
  <c r="G293" i="3"/>
  <c r="H293" i="3" s="1"/>
  <c r="J293" i="3" s="1"/>
  <c r="D294" i="3" s="1"/>
  <c r="I288" i="2"/>
  <c r="K288" i="2" s="1"/>
  <c r="F288" i="2"/>
  <c r="I294" i="5" l="1"/>
  <c r="K294" i="5" s="1"/>
  <c r="F294" i="5"/>
  <c r="I294" i="4"/>
  <c r="K294" i="4" s="1"/>
  <c r="F294" i="4"/>
  <c r="I294" i="3"/>
  <c r="K294" i="3" s="1"/>
  <c r="F294" i="3"/>
  <c r="G288" i="2"/>
  <c r="H288" i="2" s="1"/>
  <c r="J288" i="2" s="1"/>
  <c r="D289" i="2" s="1"/>
  <c r="G294" i="5" l="1"/>
  <c r="H294" i="5" s="1"/>
  <c r="J294" i="5" s="1"/>
  <c r="D295" i="5" s="1"/>
  <c r="G294" i="4"/>
  <c r="H294" i="4" s="1"/>
  <c r="J294" i="4" s="1"/>
  <c r="D295" i="4" s="1"/>
  <c r="G294" i="3"/>
  <c r="H294" i="3" s="1"/>
  <c r="J294" i="3" s="1"/>
  <c r="D295" i="3" s="1"/>
  <c r="I289" i="2"/>
  <c r="K289" i="2" s="1"/>
  <c r="F289" i="2"/>
  <c r="I295" i="5" l="1"/>
  <c r="K295" i="5" s="1"/>
  <c r="F295" i="5"/>
  <c r="I295" i="4"/>
  <c r="K295" i="4" s="1"/>
  <c r="F295" i="4"/>
  <c r="I295" i="3"/>
  <c r="K295" i="3" s="1"/>
  <c r="F295" i="3"/>
  <c r="G289" i="2"/>
  <c r="H289" i="2" s="1"/>
  <c r="J289" i="2" s="1"/>
  <c r="D290" i="2" s="1"/>
  <c r="G295" i="5" l="1"/>
  <c r="H295" i="5" s="1"/>
  <c r="J295" i="5" s="1"/>
  <c r="D296" i="5" s="1"/>
  <c r="G295" i="4"/>
  <c r="H295" i="4" s="1"/>
  <c r="J295" i="4" s="1"/>
  <c r="D296" i="4" s="1"/>
  <c r="G295" i="3"/>
  <c r="H295" i="3" s="1"/>
  <c r="J295" i="3" s="1"/>
  <c r="D296" i="3" s="1"/>
  <c r="I290" i="2"/>
  <c r="K290" i="2" s="1"/>
  <c r="F290" i="2"/>
  <c r="I296" i="5" l="1"/>
  <c r="K296" i="5" s="1"/>
  <c r="F296" i="5"/>
  <c r="I296" i="4"/>
  <c r="K296" i="4" s="1"/>
  <c r="F296" i="4"/>
  <c r="I296" i="3"/>
  <c r="K296" i="3" s="1"/>
  <c r="F296" i="3"/>
  <c r="G290" i="2"/>
  <c r="H290" i="2" s="1"/>
  <c r="J290" i="2" s="1"/>
  <c r="D291" i="2" s="1"/>
  <c r="G296" i="5" l="1"/>
  <c r="H296" i="5" s="1"/>
  <c r="J296" i="5" s="1"/>
  <c r="D297" i="5" s="1"/>
  <c r="G296" i="4"/>
  <c r="H296" i="4" s="1"/>
  <c r="J296" i="4" s="1"/>
  <c r="D297" i="4" s="1"/>
  <c r="G296" i="3"/>
  <c r="H296" i="3" s="1"/>
  <c r="J296" i="3" s="1"/>
  <c r="D297" i="3" s="1"/>
  <c r="I291" i="2"/>
  <c r="K291" i="2" s="1"/>
  <c r="F291" i="2"/>
  <c r="I297" i="5" l="1"/>
  <c r="K297" i="5" s="1"/>
  <c r="F297" i="5"/>
  <c r="I297" i="4"/>
  <c r="K297" i="4" s="1"/>
  <c r="F297" i="4"/>
  <c r="I297" i="3"/>
  <c r="K297" i="3" s="1"/>
  <c r="F297" i="3"/>
  <c r="G291" i="2"/>
  <c r="H291" i="2" s="1"/>
  <c r="J291" i="2" s="1"/>
  <c r="D292" i="2" s="1"/>
  <c r="G297" i="5" l="1"/>
  <c r="H297" i="5" s="1"/>
  <c r="J297" i="5" s="1"/>
  <c r="D298" i="5" s="1"/>
  <c r="G297" i="4"/>
  <c r="H297" i="4" s="1"/>
  <c r="J297" i="4" s="1"/>
  <c r="D298" i="4" s="1"/>
  <c r="G297" i="3"/>
  <c r="H297" i="3" s="1"/>
  <c r="J297" i="3" s="1"/>
  <c r="D298" i="3" s="1"/>
  <c r="I292" i="2"/>
  <c r="K292" i="2" s="1"/>
  <c r="F292" i="2"/>
  <c r="I298" i="5" l="1"/>
  <c r="K298" i="5" s="1"/>
  <c r="F298" i="5"/>
  <c r="I298" i="4"/>
  <c r="K298" i="4" s="1"/>
  <c r="F298" i="4"/>
  <c r="I298" i="3"/>
  <c r="K298" i="3" s="1"/>
  <c r="F298" i="3"/>
  <c r="G292" i="2"/>
  <c r="H292" i="2" s="1"/>
  <c r="J292" i="2" s="1"/>
  <c r="D293" i="2" s="1"/>
  <c r="G298" i="5" l="1"/>
  <c r="H298" i="5" s="1"/>
  <c r="J298" i="5" s="1"/>
  <c r="D299" i="5" s="1"/>
  <c r="G298" i="4"/>
  <c r="H298" i="4" s="1"/>
  <c r="J298" i="4" s="1"/>
  <c r="D299" i="4" s="1"/>
  <c r="G298" i="3"/>
  <c r="H298" i="3" s="1"/>
  <c r="J298" i="3" s="1"/>
  <c r="D299" i="3" s="1"/>
  <c r="I293" i="2"/>
  <c r="K293" i="2" s="1"/>
  <c r="F293" i="2"/>
  <c r="I299" i="5" l="1"/>
  <c r="K299" i="5" s="1"/>
  <c r="F299" i="5"/>
  <c r="I299" i="4"/>
  <c r="K299" i="4" s="1"/>
  <c r="F299" i="4"/>
  <c r="I299" i="3"/>
  <c r="K299" i="3" s="1"/>
  <c r="F299" i="3"/>
  <c r="G293" i="2"/>
  <c r="H293" i="2" s="1"/>
  <c r="J293" i="2" s="1"/>
  <c r="D294" i="2" s="1"/>
  <c r="G299" i="5" l="1"/>
  <c r="H299" i="5" s="1"/>
  <c r="J299" i="5" s="1"/>
  <c r="D300" i="5" s="1"/>
  <c r="G299" i="4"/>
  <c r="H299" i="4" s="1"/>
  <c r="J299" i="4" s="1"/>
  <c r="D300" i="4" s="1"/>
  <c r="G299" i="3"/>
  <c r="H299" i="3" s="1"/>
  <c r="J299" i="3" s="1"/>
  <c r="D300" i="3" s="1"/>
  <c r="I294" i="2"/>
  <c r="K294" i="2" s="1"/>
  <c r="F294" i="2"/>
  <c r="I300" i="5" l="1"/>
  <c r="K300" i="5" s="1"/>
  <c r="F300" i="5"/>
  <c r="F300" i="4"/>
  <c r="I300" i="4"/>
  <c r="K300" i="4" s="1"/>
  <c r="I300" i="3"/>
  <c r="K300" i="3" s="1"/>
  <c r="F300" i="3"/>
  <c r="G294" i="2"/>
  <c r="H294" i="2" s="1"/>
  <c r="J294" i="2" s="1"/>
  <c r="D295" i="2" s="1"/>
  <c r="G300" i="5" l="1"/>
  <c r="H300" i="5" s="1"/>
  <c r="J300" i="5" s="1"/>
  <c r="D301" i="5" s="1"/>
  <c r="G300" i="4"/>
  <c r="H300" i="4" s="1"/>
  <c r="J300" i="4" s="1"/>
  <c r="D301" i="4" s="1"/>
  <c r="G300" i="3"/>
  <c r="H300" i="3" s="1"/>
  <c r="J300" i="3" s="1"/>
  <c r="D301" i="3" s="1"/>
  <c r="I295" i="2"/>
  <c r="K295" i="2" s="1"/>
  <c r="F295" i="2"/>
  <c r="F301" i="5" l="1"/>
  <c r="I301" i="5"/>
  <c r="K301" i="5" s="1"/>
  <c r="I301" i="4"/>
  <c r="K301" i="4" s="1"/>
  <c r="F301" i="4"/>
  <c r="F301" i="3"/>
  <c r="I301" i="3"/>
  <c r="K301" i="3" s="1"/>
  <c r="G295" i="2"/>
  <c r="H295" i="2" s="1"/>
  <c r="J295" i="2" s="1"/>
  <c r="D296" i="2" s="1"/>
  <c r="G301" i="5" l="1"/>
  <c r="H301" i="5" s="1"/>
  <c r="J301" i="5" s="1"/>
  <c r="D302" i="5" s="1"/>
  <c r="G301" i="4"/>
  <c r="H301" i="4" s="1"/>
  <c r="J301" i="4" s="1"/>
  <c r="D302" i="4" s="1"/>
  <c r="G301" i="3"/>
  <c r="H301" i="3" s="1"/>
  <c r="J301" i="3" s="1"/>
  <c r="D302" i="3" s="1"/>
  <c r="I296" i="2"/>
  <c r="K296" i="2" s="1"/>
  <c r="F296" i="2"/>
  <c r="F302" i="5" l="1"/>
  <c r="I302" i="5"/>
  <c r="K302" i="5" s="1"/>
  <c r="F302" i="4"/>
  <c r="I302" i="4"/>
  <c r="K302" i="4" s="1"/>
  <c r="I302" i="3"/>
  <c r="K302" i="3" s="1"/>
  <c r="F302" i="3"/>
  <c r="G296" i="2"/>
  <c r="H296" i="2" s="1"/>
  <c r="J296" i="2" s="1"/>
  <c r="D297" i="2" s="1"/>
  <c r="G302" i="5" l="1"/>
  <c r="H302" i="5" s="1"/>
  <c r="J302" i="5" s="1"/>
  <c r="D303" i="5" s="1"/>
  <c r="G302" i="4"/>
  <c r="H302" i="4" s="1"/>
  <c r="J302" i="4" s="1"/>
  <c r="D303" i="4" s="1"/>
  <c r="G302" i="3"/>
  <c r="H302" i="3" s="1"/>
  <c r="J302" i="3" s="1"/>
  <c r="D303" i="3" s="1"/>
  <c r="I297" i="2"/>
  <c r="K297" i="2" s="1"/>
  <c r="F297" i="2"/>
  <c r="I303" i="5" l="1"/>
  <c r="K303" i="5" s="1"/>
  <c r="F303" i="5"/>
  <c r="I303" i="4"/>
  <c r="K303" i="4" s="1"/>
  <c r="F303" i="4"/>
  <c r="F303" i="3"/>
  <c r="I303" i="3"/>
  <c r="K303" i="3" s="1"/>
  <c r="G297" i="2"/>
  <c r="H297" i="2" s="1"/>
  <c r="J297" i="2" s="1"/>
  <c r="D298" i="2" s="1"/>
  <c r="G303" i="5" l="1"/>
  <c r="H303" i="5" s="1"/>
  <c r="J303" i="5" s="1"/>
  <c r="D304" i="5" s="1"/>
  <c r="G303" i="4"/>
  <c r="H303" i="4" s="1"/>
  <c r="J303" i="4" s="1"/>
  <c r="D304" i="4" s="1"/>
  <c r="G303" i="3"/>
  <c r="H303" i="3" s="1"/>
  <c r="J303" i="3" s="1"/>
  <c r="D304" i="3" s="1"/>
  <c r="I298" i="2"/>
  <c r="K298" i="2" s="1"/>
  <c r="F298" i="2"/>
  <c r="F304" i="5" l="1"/>
  <c r="I304" i="5"/>
  <c r="K304" i="5" s="1"/>
  <c r="I304" i="4"/>
  <c r="K304" i="4" s="1"/>
  <c r="F304" i="4"/>
  <c r="I304" i="3"/>
  <c r="K304" i="3" s="1"/>
  <c r="F304" i="3"/>
  <c r="G298" i="2"/>
  <c r="H298" i="2" s="1"/>
  <c r="J298" i="2" s="1"/>
  <c r="D299" i="2" s="1"/>
  <c r="G304" i="5" l="1"/>
  <c r="H304" i="5" s="1"/>
  <c r="J304" i="5" s="1"/>
  <c r="D305" i="5" s="1"/>
  <c r="G304" i="4"/>
  <c r="H304" i="4" s="1"/>
  <c r="J304" i="4" s="1"/>
  <c r="D305" i="4" s="1"/>
  <c r="G304" i="3"/>
  <c r="H304" i="3" s="1"/>
  <c r="J304" i="3" s="1"/>
  <c r="D305" i="3" s="1"/>
  <c r="I299" i="2"/>
  <c r="K299" i="2" s="1"/>
  <c r="F299" i="2"/>
  <c r="I305" i="5" l="1"/>
  <c r="K305" i="5" s="1"/>
  <c r="F305" i="5"/>
  <c r="I305" i="4"/>
  <c r="K305" i="4" s="1"/>
  <c r="F305" i="4"/>
  <c r="I305" i="3"/>
  <c r="K305" i="3" s="1"/>
  <c r="F305" i="3"/>
  <c r="G299" i="2"/>
  <c r="H299" i="2" s="1"/>
  <c r="J299" i="2" s="1"/>
  <c r="D300" i="2" s="1"/>
  <c r="G305" i="5" l="1"/>
  <c r="H305" i="5" s="1"/>
  <c r="J305" i="5" s="1"/>
  <c r="D306" i="5" s="1"/>
  <c r="G305" i="4"/>
  <c r="H305" i="4" s="1"/>
  <c r="J305" i="4" s="1"/>
  <c r="D306" i="4" s="1"/>
  <c r="G305" i="3"/>
  <c r="H305" i="3" s="1"/>
  <c r="J305" i="3" s="1"/>
  <c r="D306" i="3" s="1"/>
  <c r="I300" i="2"/>
  <c r="K300" i="2" s="1"/>
  <c r="F300" i="2"/>
  <c r="I306" i="5" l="1"/>
  <c r="K306" i="5" s="1"/>
  <c r="F306" i="5"/>
  <c r="I306" i="4"/>
  <c r="K306" i="4" s="1"/>
  <c r="F306" i="4"/>
  <c r="I306" i="3"/>
  <c r="K306" i="3" s="1"/>
  <c r="F306" i="3"/>
  <c r="G300" i="2"/>
  <c r="H300" i="2" s="1"/>
  <c r="J300" i="2" s="1"/>
  <c r="D301" i="2" s="1"/>
  <c r="G306" i="5" l="1"/>
  <c r="H306" i="5" s="1"/>
  <c r="J306" i="5" s="1"/>
  <c r="D307" i="5" s="1"/>
  <c r="G306" i="4"/>
  <c r="H306" i="4" s="1"/>
  <c r="J306" i="4" s="1"/>
  <c r="D307" i="4" s="1"/>
  <c r="G306" i="3"/>
  <c r="H306" i="3" s="1"/>
  <c r="J306" i="3" s="1"/>
  <c r="D307" i="3" s="1"/>
  <c r="I301" i="2"/>
  <c r="K301" i="2" s="1"/>
  <c r="F301" i="2"/>
  <c r="F307" i="5" l="1"/>
  <c r="I307" i="5"/>
  <c r="K307" i="5" s="1"/>
  <c r="F307" i="4"/>
  <c r="I307" i="4"/>
  <c r="K307" i="4" s="1"/>
  <c r="I307" i="3"/>
  <c r="K307" i="3" s="1"/>
  <c r="F307" i="3"/>
  <c r="G301" i="2"/>
  <c r="H301" i="2" s="1"/>
  <c r="J301" i="2" s="1"/>
  <c r="D302" i="2" s="1"/>
  <c r="G307" i="5" l="1"/>
  <c r="H307" i="5" s="1"/>
  <c r="J307" i="5" s="1"/>
  <c r="D308" i="5" s="1"/>
  <c r="G307" i="4"/>
  <c r="H307" i="4" s="1"/>
  <c r="J307" i="4" s="1"/>
  <c r="D308" i="4" s="1"/>
  <c r="G307" i="3"/>
  <c r="H307" i="3" s="1"/>
  <c r="J307" i="3" s="1"/>
  <c r="D308" i="3" s="1"/>
  <c r="I302" i="2"/>
  <c r="K302" i="2" s="1"/>
  <c r="F302" i="2"/>
  <c r="F308" i="5" l="1"/>
  <c r="I308" i="5"/>
  <c r="K308" i="5" s="1"/>
  <c r="I308" i="4"/>
  <c r="K308" i="4" s="1"/>
  <c r="F308" i="4"/>
  <c r="F308" i="3"/>
  <c r="I308" i="3"/>
  <c r="K308" i="3" s="1"/>
  <c r="G302" i="2"/>
  <c r="H302" i="2" s="1"/>
  <c r="J302" i="2" s="1"/>
  <c r="D303" i="2" s="1"/>
  <c r="G308" i="5" l="1"/>
  <c r="H308" i="5" s="1"/>
  <c r="J308" i="5" s="1"/>
  <c r="D309" i="5" s="1"/>
  <c r="G308" i="4"/>
  <c r="H308" i="4" s="1"/>
  <c r="J308" i="4" s="1"/>
  <c r="D309" i="4" s="1"/>
  <c r="G308" i="3"/>
  <c r="H308" i="3" s="1"/>
  <c r="J308" i="3" s="1"/>
  <c r="D309" i="3" s="1"/>
  <c r="I303" i="2"/>
  <c r="K303" i="2" s="1"/>
  <c r="F303" i="2"/>
  <c r="I309" i="5" l="1"/>
  <c r="K309" i="5" s="1"/>
  <c r="F309" i="5"/>
  <c r="F309" i="4"/>
  <c r="I309" i="4"/>
  <c r="K309" i="4" s="1"/>
  <c r="I309" i="3"/>
  <c r="K309" i="3" s="1"/>
  <c r="F309" i="3"/>
  <c r="G303" i="2"/>
  <c r="H303" i="2" s="1"/>
  <c r="J303" i="2" s="1"/>
  <c r="D304" i="2" s="1"/>
  <c r="G309" i="5" l="1"/>
  <c r="H309" i="5" s="1"/>
  <c r="J309" i="5" s="1"/>
  <c r="D310" i="5" s="1"/>
  <c r="G309" i="4"/>
  <c r="H309" i="4" s="1"/>
  <c r="J309" i="4" s="1"/>
  <c r="D310" i="4" s="1"/>
  <c r="G309" i="3"/>
  <c r="H309" i="3" s="1"/>
  <c r="J309" i="3" s="1"/>
  <c r="D310" i="3" s="1"/>
  <c r="I304" i="2"/>
  <c r="K304" i="2" s="1"/>
  <c r="F304" i="2"/>
  <c r="I310" i="5" l="1"/>
  <c r="K310" i="5" s="1"/>
  <c r="F310" i="5"/>
  <c r="F310" i="4"/>
  <c r="I310" i="4"/>
  <c r="K310" i="4" s="1"/>
  <c r="I310" i="3"/>
  <c r="K310" i="3" s="1"/>
  <c r="F310" i="3"/>
  <c r="G304" i="2"/>
  <c r="H304" i="2" s="1"/>
  <c r="J304" i="2" s="1"/>
  <c r="D305" i="2" s="1"/>
  <c r="G310" i="5" l="1"/>
  <c r="H310" i="5" s="1"/>
  <c r="J310" i="5" s="1"/>
  <c r="D311" i="5" s="1"/>
  <c r="G310" i="4"/>
  <c r="H310" i="4" s="1"/>
  <c r="J310" i="4" s="1"/>
  <c r="D311" i="4" s="1"/>
  <c r="G310" i="3"/>
  <c r="H310" i="3" s="1"/>
  <c r="J310" i="3" s="1"/>
  <c r="D311" i="3" s="1"/>
  <c r="I305" i="2"/>
  <c r="K305" i="2" s="1"/>
  <c r="F305" i="2"/>
  <c r="I311" i="5" l="1"/>
  <c r="K311" i="5" s="1"/>
  <c r="F311" i="5"/>
  <c r="I311" i="4"/>
  <c r="K311" i="4" s="1"/>
  <c r="F311" i="4"/>
  <c r="F311" i="3"/>
  <c r="I311" i="3"/>
  <c r="K311" i="3" s="1"/>
  <c r="G305" i="2"/>
  <c r="H305" i="2" s="1"/>
  <c r="J305" i="2" s="1"/>
  <c r="D306" i="2" s="1"/>
  <c r="G311" i="5" l="1"/>
  <c r="H311" i="5" s="1"/>
  <c r="J311" i="5" s="1"/>
  <c r="D312" i="5" s="1"/>
  <c r="G311" i="4"/>
  <c r="H311" i="4" s="1"/>
  <c r="J311" i="4" s="1"/>
  <c r="D312" i="4" s="1"/>
  <c r="G311" i="3"/>
  <c r="H311" i="3" s="1"/>
  <c r="J311" i="3" s="1"/>
  <c r="D312" i="3" s="1"/>
  <c r="I306" i="2"/>
  <c r="K306" i="2" s="1"/>
  <c r="F306" i="2"/>
  <c r="I312" i="5" l="1"/>
  <c r="K312" i="5" s="1"/>
  <c r="F312" i="5"/>
  <c r="I312" i="4"/>
  <c r="K312" i="4" s="1"/>
  <c r="F312" i="4"/>
  <c r="F312" i="3"/>
  <c r="I312" i="3"/>
  <c r="K312" i="3" s="1"/>
  <c r="G306" i="2"/>
  <c r="H306" i="2" s="1"/>
  <c r="J306" i="2" s="1"/>
  <c r="D307" i="2" s="1"/>
  <c r="G312" i="5" l="1"/>
  <c r="H312" i="5" s="1"/>
  <c r="J312" i="5" s="1"/>
  <c r="D313" i="5" s="1"/>
  <c r="G312" i="4"/>
  <c r="H312" i="4" s="1"/>
  <c r="J312" i="4" s="1"/>
  <c r="D313" i="4" s="1"/>
  <c r="G312" i="3"/>
  <c r="H312" i="3" s="1"/>
  <c r="J312" i="3" s="1"/>
  <c r="D313" i="3" s="1"/>
  <c r="I307" i="2"/>
  <c r="K307" i="2" s="1"/>
  <c r="F307" i="2"/>
  <c r="I313" i="5" l="1"/>
  <c r="K313" i="5" s="1"/>
  <c r="F313" i="5"/>
  <c r="I313" i="4"/>
  <c r="K313" i="4" s="1"/>
  <c r="F313" i="4"/>
  <c r="I313" i="3"/>
  <c r="K313" i="3" s="1"/>
  <c r="F313" i="3"/>
  <c r="G307" i="2"/>
  <c r="H307" i="2" s="1"/>
  <c r="J307" i="2" s="1"/>
  <c r="D308" i="2" s="1"/>
  <c r="G313" i="5" l="1"/>
  <c r="H313" i="5" s="1"/>
  <c r="J313" i="5" s="1"/>
  <c r="D314" i="5" s="1"/>
  <c r="G313" i="4"/>
  <c r="H313" i="4" s="1"/>
  <c r="J313" i="4" s="1"/>
  <c r="D314" i="4" s="1"/>
  <c r="G313" i="3"/>
  <c r="H313" i="3" s="1"/>
  <c r="J313" i="3" s="1"/>
  <c r="D314" i="3" s="1"/>
  <c r="I308" i="2"/>
  <c r="K308" i="2" s="1"/>
  <c r="F308" i="2"/>
  <c r="I314" i="5" l="1"/>
  <c r="K314" i="5" s="1"/>
  <c r="F314" i="5"/>
  <c r="F314" i="4"/>
  <c r="I314" i="4"/>
  <c r="K314" i="4" s="1"/>
  <c r="I314" i="3"/>
  <c r="K314" i="3" s="1"/>
  <c r="F314" i="3"/>
  <c r="G308" i="2"/>
  <c r="H308" i="2" s="1"/>
  <c r="J308" i="2" s="1"/>
  <c r="D309" i="2" s="1"/>
  <c r="G314" i="5" l="1"/>
  <c r="H314" i="5" s="1"/>
  <c r="J314" i="5" s="1"/>
  <c r="D315" i="5" s="1"/>
  <c r="G314" i="4"/>
  <c r="H314" i="4" s="1"/>
  <c r="J314" i="4" s="1"/>
  <c r="D315" i="4" s="1"/>
  <c r="G314" i="3"/>
  <c r="H314" i="3" s="1"/>
  <c r="J314" i="3" s="1"/>
  <c r="D315" i="3" s="1"/>
  <c r="I309" i="2"/>
  <c r="K309" i="2" s="1"/>
  <c r="F309" i="2"/>
  <c r="I315" i="5" l="1"/>
  <c r="K315" i="5" s="1"/>
  <c r="F315" i="5"/>
  <c r="I315" i="4"/>
  <c r="K315" i="4" s="1"/>
  <c r="F315" i="4"/>
  <c r="I315" i="3"/>
  <c r="K315" i="3" s="1"/>
  <c r="F315" i="3"/>
  <c r="G309" i="2"/>
  <c r="H309" i="2" s="1"/>
  <c r="J309" i="2" s="1"/>
  <c r="D310" i="2" s="1"/>
  <c r="G315" i="5" l="1"/>
  <c r="H315" i="5" s="1"/>
  <c r="J315" i="5" s="1"/>
  <c r="D316" i="5" s="1"/>
  <c r="G315" i="4"/>
  <c r="H315" i="4" s="1"/>
  <c r="J315" i="4" s="1"/>
  <c r="D316" i="4" s="1"/>
  <c r="G315" i="3"/>
  <c r="H315" i="3" s="1"/>
  <c r="J315" i="3" s="1"/>
  <c r="D316" i="3" s="1"/>
  <c r="I310" i="2"/>
  <c r="K310" i="2" s="1"/>
  <c r="F310" i="2"/>
  <c r="I316" i="5" l="1"/>
  <c r="K316" i="5" s="1"/>
  <c r="F316" i="5"/>
  <c r="I316" i="4"/>
  <c r="K316" i="4" s="1"/>
  <c r="F316" i="4"/>
  <c r="I316" i="3"/>
  <c r="K316" i="3" s="1"/>
  <c r="F316" i="3"/>
  <c r="G310" i="2"/>
  <c r="H310" i="2" s="1"/>
  <c r="J310" i="2" s="1"/>
  <c r="D311" i="2" s="1"/>
  <c r="G316" i="5" l="1"/>
  <c r="H316" i="5" s="1"/>
  <c r="J316" i="5" s="1"/>
  <c r="D317" i="5" s="1"/>
  <c r="G316" i="4"/>
  <c r="H316" i="4" s="1"/>
  <c r="J316" i="4" s="1"/>
  <c r="D317" i="4" s="1"/>
  <c r="G316" i="3"/>
  <c r="H316" i="3" s="1"/>
  <c r="J316" i="3" s="1"/>
  <c r="D317" i="3" s="1"/>
  <c r="I311" i="2"/>
  <c r="K311" i="2" s="1"/>
  <c r="F311" i="2"/>
  <c r="F317" i="5" l="1"/>
  <c r="I317" i="5"/>
  <c r="K317" i="5" s="1"/>
  <c r="I317" i="4"/>
  <c r="K317" i="4" s="1"/>
  <c r="F317" i="4"/>
  <c r="I317" i="3"/>
  <c r="K317" i="3" s="1"/>
  <c r="F317" i="3"/>
  <c r="G311" i="2"/>
  <c r="H311" i="2" s="1"/>
  <c r="J311" i="2" s="1"/>
  <c r="D312" i="2" s="1"/>
  <c r="G317" i="5" l="1"/>
  <c r="H317" i="5" s="1"/>
  <c r="J317" i="5" s="1"/>
  <c r="D318" i="5" s="1"/>
  <c r="G317" i="4"/>
  <c r="H317" i="4" s="1"/>
  <c r="J317" i="4" s="1"/>
  <c r="D318" i="4" s="1"/>
  <c r="G317" i="3"/>
  <c r="H317" i="3" s="1"/>
  <c r="J317" i="3" s="1"/>
  <c r="D318" i="3" s="1"/>
  <c r="I312" i="2"/>
  <c r="K312" i="2" s="1"/>
  <c r="F312" i="2"/>
  <c r="F318" i="5" l="1"/>
  <c r="I318" i="5"/>
  <c r="K318" i="5" s="1"/>
  <c r="I318" i="4"/>
  <c r="K318" i="4" s="1"/>
  <c r="F318" i="4"/>
  <c r="I318" i="3"/>
  <c r="K318" i="3" s="1"/>
  <c r="F318" i="3"/>
  <c r="G312" i="2"/>
  <c r="H312" i="2" s="1"/>
  <c r="J312" i="2" s="1"/>
  <c r="D313" i="2" s="1"/>
  <c r="G318" i="5" l="1"/>
  <c r="H318" i="5" s="1"/>
  <c r="J318" i="5" s="1"/>
  <c r="D319" i="5" s="1"/>
  <c r="G318" i="4"/>
  <c r="H318" i="4" s="1"/>
  <c r="J318" i="4" s="1"/>
  <c r="D319" i="4" s="1"/>
  <c r="G318" i="3"/>
  <c r="H318" i="3" s="1"/>
  <c r="J318" i="3" s="1"/>
  <c r="D319" i="3" s="1"/>
  <c r="I313" i="2"/>
  <c r="K313" i="2" s="1"/>
  <c r="F313" i="2"/>
  <c r="I319" i="5" l="1"/>
  <c r="K319" i="5" s="1"/>
  <c r="F319" i="5"/>
  <c r="I319" i="4"/>
  <c r="K319" i="4" s="1"/>
  <c r="F319" i="4"/>
  <c r="I319" i="3"/>
  <c r="K319" i="3" s="1"/>
  <c r="F319" i="3"/>
  <c r="G313" i="2"/>
  <c r="H313" i="2" s="1"/>
  <c r="J313" i="2" s="1"/>
  <c r="D314" i="2" s="1"/>
  <c r="G319" i="5" l="1"/>
  <c r="H319" i="5" s="1"/>
  <c r="J319" i="5" s="1"/>
  <c r="D320" i="5" s="1"/>
  <c r="G319" i="4"/>
  <c r="H319" i="4" s="1"/>
  <c r="J319" i="4" s="1"/>
  <c r="D320" i="4" s="1"/>
  <c r="G319" i="3"/>
  <c r="H319" i="3" s="1"/>
  <c r="J319" i="3" s="1"/>
  <c r="D320" i="3" s="1"/>
  <c r="I314" i="2"/>
  <c r="K314" i="2" s="1"/>
  <c r="F314" i="2"/>
  <c r="I320" i="5" l="1"/>
  <c r="K320" i="5" s="1"/>
  <c r="F320" i="5"/>
  <c r="I320" i="4"/>
  <c r="K320" i="4" s="1"/>
  <c r="F320" i="4"/>
  <c r="F320" i="3"/>
  <c r="I320" i="3"/>
  <c r="K320" i="3" s="1"/>
  <c r="G314" i="2"/>
  <c r="H314" i="2" s="1"/>
  <c r="J314" i="2" s="1"/>
  <c r="D315" i="2" s="1"/>
  <c r="G320" i="5" l="1"/>
  <c r="H320" i="5" s="1"/>
  <c r="J320" i="5" s="1"/>
  <c r="D321" i="5" s="1"/>
  <c r="G320" i="4"/>
  <c r="H320" i="4" s="1"/>
  <c r="J320" i="4" s="1"/>
  <c r="D321" i="4" s="1"/>
  <c r="G320" i="3"/>
  <c r="H320" i="3" s="1"/>
  <c r="J320" i="3" s="1"/>
  <c r="D321" i="3" s="1"/>
  <c r="I315" i="2"/>
  <c r="K315" i="2" s="1"/>
  <c r="F315" i="2"/>
  <c r="I321" i="5" l="1"/>
  <c r="K321" i="5" s="1"/>
  <c r="F321" i="5"/>
  <c r="F321" i="4"/>
  <c r="I321" i="4"/>
  <c r="K321" i="4" s="1"/>
  <c r="I321" i="3"/>
  <c r="K321" i="3" s="1"/>
  <c r="F321" i="3"/>
  <c r="G315" i="2"/>
  <c r="H315" i="2" s="1"/>
  <c r="J315" i="2" s="1"/>
  <c r="D316" i="2" s="1"/>
  <c r="G321" i="5" l="1"/>
  <c r="H321" i="5" s="1"/>
  <c r="J321" i="5" s="1"/>
  <c r="D322" i="5" s="1"/>
  <c r="G321" i="4"/>
  <c r="H321" i="4" s="1"/>
  <c r="J321" i="4" s="1"/>
  <c r="D322" i="4" s="1"/>
  <c r="G321" i="3"/>
  <c r="H321" i="3" s="1"/>
  <c r="J321" i="3" s="1"/>
  <c r="D322" i="3" s="1"/>
  <c r="I316" i="2"/>
  <c r="K316" i="2" s="1"/>
  <c r="F316" i="2"/>
  <c r="I322" i="5" l="1"/>
  <c r="K322" i="5" s="1"/>
  <c r="F322" i="5"/>
  <c r="I322" i="4"/>
  <c r="K322" i="4" s="1"/>
  <c r="F322" i="4"/>
  <c r="I322" i="3"/>
  <c r="K322" i="3" s="1"/>
  <c r="F322" i="3"/>
  <c r="G316" i="2"/>
  <c r="H316" i="2" s="1"/>
  <c r="J316" i="2" s="1"/>
  <c r="D317" i="2" s="1"/>
  <c r="G322" i="5" l="1"/>
  <c r="H322" i="5" s="1"/>
  <c r="J322" i="5" s="1"/>
  <c r="D323" i="5" s="1"/>
  <c r="G322" i="4"/>
  <c r="H322" i="4" s="1"/>
  <c r="J322" i="4" s="1"/>
  <c r="D323" i="4" s="1"/>
  <c r="G322" i="3"/>
  <c r="H322" i="3" s="1"/>
  <c r="J322" i="3" s="1"/>
  <c r="D323" i="3" s="1"/>
  <c r="I317" i="2"/>
  <c r="K317" i="2" s="1"/>
  <c r="F317" i="2"/>
  <c r="I323" i="5" l="1"/>
  <c r="K323" i="5" s="1"/>
  <c r="F323" i="5"/>
  <c r="I323" i="4"/>
  <c r="K323" i="4" s="1"/>
  <c r="F323" i="4"/>
  <c r="I323" i="3"/>
  <c r="K323" i="3" s="1"/>
  <c r="F323" i="3"/>
  <c r="G317" i="2"/>
  <c r="H317" i="2" s="1"/>
  <c r="J317" i="2" s="1"/>
  <c r="D318" i="2" s="1"/>
  <c r="G323" i="5" l="1"/>
  <c r="H323" i="5" s="1"/>
  <c r="J323" i="5" s="1"/>
  <c r="D324" i="5" s="1"/>
  <c r="G323" i="4"/>
  <c r="H323" i="4" s="1"/>
  <c r="J323" i="4" s="1"/>
  <c r="D324" i="4" s="1"/>
  <c r="G323" i="3"/>
  <c r="H323" i="3" s="1"/>
  <c r="J323" i="3" s="1"/>
  <c r="D324" i="3" s="1"/>
  <c r="I318" i="2"/>
  <c r="K318" i="2" s="1"/>
  <c r="F318" i="2"/>
  <c r="I324" i="5" l="1"/>
  <c r="K324" i="5" s="1"/>
  <c r="F324" i="5"/>
  <c r="I324" i="4"/>
  <c r="K324" i="4" s="1"/>
  <c r="F324" i="4"/>
  <c r="I324" i="3"/>
  <c r="K324" i="3" s="1"/>
  <c r="F324" i="3"/>
  <c r="G318" i="2"/>
  <c r="H318" i="2" s="1"/>
  <c r="J318" i="2" s="1"/>
  <c r="D319" i="2" s="1"/>
  <c r="G324" i="5" l="1"/>
  <c r="H324" i="5" s="1"/>
  <c r="J324" i="5" s="1"/>
  <c r="D325" i="5" s="1"/>
  <c r="G324" i="4"/>
  <c r="H324" i="4" s="1"/>
  <c r="J324" i="4" s="1"/>
  <c r="D325" i="4" s="1"/>
  <c r="G324" i="3"/>
  <c r="H324" i="3" s="1"/>
  <c r="J324" i="3" s="1"/>
  <c r="D325" i="3" s="1"/>
  <c r="I319" i="2"/>
  <c r="K319" i="2" s="1"/>
  <c r="F319" i="2"/>
  <c r="F325" i="5" l="1"/>
  <c r="I325" i="5"/>
  <c r="K325" i="5" s="1"/>
  <c r="I325" i="4"/>
  <c r="K325" i="4" s="1"/>
  <c r="F325" i="4"/>
  <c r="F325" i="3"/>
  <c r="I325" i="3"/>
  <c r="K325" i="3" s="1"/>
  <c r="G319" i="2"/>
  <c r="H319" i="2" s="1"/>
  <c r="J319" i="2" s="1"/>
  <c r="D320" i="2" s="1"/>
  <c r="G325" i="5" l="1"/>
  <c r="H325" i="5" s="1"/>
  <c r="J325" i="5" s="1"/>
  <c r="D326" i="5" s="1"/>
  <c r="G325" i="4"/>
  <c r="H325" i="4" s="1"/>
  <c r="J325" i="4" s="1"/>
  <c r="D326" i="4" s="1"/>
  <c r="G325" i="3"/>
  <c r="H325" i="3" s="1"/>
  <c r="J325" i="3" s="1"/>
  <c r="D326" i="3" s="1"/>
  <c r="I320" i="2"/>
  <c r="K320" i="2" s="1"/>
  <c r="F320" i="2"/>
  <c r="F326" i="5" l="1"/>
  <c r="I326" i="5"/>
  <c r="K326" i="5" s="1"/>
  <c r="I326" i="4"/>
  <c r="K326" i="4" s="1"/>
  <c r="F326" i="4"/>
  <c r="F326" i="3"/>
  <c r="I326" i="3"/>
  <c r="K326" i="3" s="1"/>
  <c r="G320" i="2"/>
  <c r="H320" i="2" s="1"/>
  <c r="J320" i="2" s="1"/>
  <c r="D321" i="2" s="1"/>
  <c r="G326" i="5" l="1"/>
  <c r="H326" i="5" s="1"/>
  <c r="J326" i="5" s="1"/>
  <c r="D327" i="5" s="1"/>
  <c r="G326" i="4"/>
  <c r="H326" i="4" s="1"/>
  <c r="J326" i="4" s="1"/>
  <c r="D327" i="4" s="1"/>
  <c r="G326" i="3"/>
  <c r="H326" i="3" s="1"/>
  <c r="J326" i="3" s="1"/>
  <c r="D327" i="3" s="1"/>
  <c r="I321" i="2"/>
  <c r="K321" i="2" s="1"/>
  <c r="F321" i="2"/>
  <c r="F327" i="5" l="1"/>
  <c r="I327" i="5"/>
  <c r="K327" i="5" s="1"/>
  <c r="I327" i="4"/>
  <c r="K327" i="4" s="1"/>
  <c r="F327" i="4"/>
  <c r="I327" i="3"/>
  <c r="K327" i="3" s="1"/>
  <c r="F327" i="3"/>
  <c r="G321" i="2"/>
  <c r="H321" i="2" s="1"/>
  <c r="J321" i="2" s="1"/>
  <c r="D322" i="2" s="1"/>
  <c r="G327" i="5" l="1"/>
  <c r="H327" i="5" s="1"/>
  <c r="J327" i="5" s="1"/>
  <c r="D328" i="5" s="1"/>
  <c r="G327" i="4"/>
  <c r="H327" i="4" s="1"/>
  <c r="J327" i="4" s="1"/>
  <c r="D328" i="4" s="1"/>
  <c r="G327" i="3"/>
  <c r="H327" i="3" s="1"/>
  <c r="J327" i="3" s="1"/>
  <c r="D328" i="3" s="1"/>
  <c r="F322" i="2"/>
  <c r="I322" i="2"/>
  <c r="K322" i="2" s="1"/>
  <c r="I328" i="5" l="1"/>
  <c r="K328" i="5" s="1"/>
  <c r="F328" i="5"/>
  <c r="I328" i="4"/>
  <c r="K328" i="4" s="1"/>
  <c r="F328" i="4"/>
  <c r="I328" i="3"/>
  <c r="K328" i="3" s="1"/>
  <c r="F328" i="3"/>
  <c r="G322" i="2"/>
  <c r="H322" i="2" s="1"/>
  <c r="J322" i="2" s="1"/>
  <c r="D323" i="2" s="1"/>
  <c r="G328" i="5" l="1"/>
  <c r="H328" i="5" s="1"/>
  <c r="J328" i="5" s="1"/>
  <c r="D329" i="5" s="1"/>
  <c r="G328" i="4"/>
  <c r="H328" i="4" s="1"/>
  <c r="J328" i="4" s="1"/>
  <c r="D329" i="4" s="1"/>
  <c r="G328" i="3"/>
  <c r="H328" i="3" s="1"/>
  <c r="J328" i="3" s="1"/>
  <c r="D329" i="3" s="1"/>
  <c r="I323" i="2"/>
  <c r="K323" i="2" s="1"/>
  <c r="F323" i="2"/>
  <c r="I329" i="5" l="1"/>
  <c r="K329" i="5" s="1"/>
  <c r="F329" i="5"/>
  <c r="I329" i="4"/>
  <c r="K329" i="4" s="1"/>
  <c r="F329" i="4"/>
  <c r="I329" i="3"/>
  <c r="K329" i="3" s="1"/>
  <c r="F329" i="3"/>
  <c r="G323" i="2"/>
  <c r="H323" i="2" s="1"/>
  <c r="J323" i="2" s="1"/>
  <c r="D324" i="2" s="1"/>
  <c r="G329" i="5" l="1"/>
  <c r="H329" i="5" s="1"/>
  <c r="J329" i="5" s="1"/>
  <c r="D330" i="5" s="1"/>
  <c r="G329" i="4"/>
  <c r="H329" i="4" s="1"/>
  <c r="J329" i="4" s="1"/>
  <c r="D330" i="4" s="1"/>
  <c r="G329" i="3"/>
  <c r="H329" i="3" s="1"/>
  <c r="J329" i="3" s="1"/>
  <c r="D330" i="3" s="1"/>
  <c r="I324" i="2"/>
  <c r="K324" i="2" s="1"/>
  <c r="F324" i="2"/>
  <c r="I330" i="5" l="1"/>
  <c r="K330" i="5" s="1"/>
  <c r="F330" i="5"/>
  <c r="I330" i="4"/>
  <c r="K330" i="4" s="1"/>
  <c r="F330" i="4"/>
  <c r="I330" i="3"/>
  <c r="K330" i="3" s="1"/>
  <c r="F330" i="3"/>
  <c r="G324" i="2"/>
  <c r="H324" i="2" s="1"/>
  <c r="J324" i="2" s="1"/>
  <c r="D325" i="2" s="1"/>
  <c r="G330" i="5" l="1"/>
  <c r="H330" i="5" s="1"/>
  <c r="J330" i="5" s="1"/>
  <c r="D331" i="5" s="1"/>
  <c r="G330" i="4"/>
  <c r="H330" i="4" s="1"/>
  <c r="J330" i="4" s="1"/>
  <c r="D331" i="4" s="1"/>
  <c r="G330" i="3"/>
  <c r="H330" i="3" s="1"/>
  <c r="J330" i="3" s="1"/>
  <c r="D331" i="3" s="1"/>
  <c r="I325" i="2"/>
  <c r="K325" i="2" s="1"/>
  <c r="F325" i="2"/>
  <c r="F331" i="5" l="1"/>
  <c r="I331" i="5"/>
  <c r="K331" i="5" s="1"/>
  <c r="I331" i="4"/>
  <c r="K331" i="4" s="1"/>
  <c r="F331" i="4"/>
  <c r="I331" i="3"/>
  <c r="K331" i="3" s="1"/>
  <c r="F331" i="3"/>
  <c r="G325" i="2"/>
  <c r="H325" i="2" s="1"/>
  <c r="J325" i="2" s="1"/>
  <c r="D326" i="2" s="1"/>
  <c r="G331" i="5" l="1"/>
  <c r="H331" i="5" s="1"/>
  <c r="J331" i="5" s="1"/>
  <c r="D332" i="5" s="1"/>
  <c r="G331" i="4"/>
  <c r="H331" i="4" s="1"/>
  <c r="J331" i="4" s="1"/>
  <c r="D332" i="4" s="1"/>
  <c r="G331" i="3"/>
  <c r="H331" i="3" s="1"/>
  <c r="J331" i="3" s="1"/>
  <c r="D332" i="3" s="1"/>
  <c r="I326" i="2"/>
  <c r="K326" i="2" s="1"/>
  <c r="F326" i="2"/>
  <c r="I332" i="5" l="1"/>
  <c r="K332" i="5" s="1"/>
  <c r="F332" i="5"/>
  <c r="F332" i="4"/>
  <c r="I332" i="4"/>
  <c r="K332" i="4" s="1"/>
  <c r="I332" i="3"/>
  <c r="K332" i="3" s="1"/>
  <c r="F332" i="3"/>
  <c r="G326" i="2"/>
  <c r="H326" i="2" s="1"/>
  <c r="J326" i="2" s="1"/>
  <c r="D327" i="2" s="1"/>
  <c r="G332" i="5" l="1"/>
  <c r="H332" i="5" s="1"/>
  <c r="J332" i="5" s="1"/>
  <c r="D333" i="5" s="1"/>
  <c r="G332" i="4"/>
  <c r="H332" i="4" s="1"/>
  <c r="J332" i="4" s="1"/>
  <c r="D333" i="4" s="1"/>
  <c r="G332" i="3"/>
  <c r="H332" i="3" s="1"/>
  <c r="J332" i="3" s="1"/>
  <c r="D333" i="3" s="1"/>
  <c r="I327" i="2"/>
  <c r="K327" i="2" s="1"/>
  <c r="F327" i="2"/>
  <c r="I333" i="5" l="1"/>
  <c r="K333" i="5" s="1"/>
  <c r="F333" i="5"/>
  <c r="I333" i="4"/>
  <c r="K333" i="4" s="1"/>
  <c r="F333" i="4"/>
  <c r="F333" i="3"/>
  <c r="I333" i="3"/>
  <c r="K333" i="3" s="1"/>
  <c r="G327" i="2"/>
  <c r="H327" i="2" s="1"/>
  <c r="J327" i="2" s="1"/>
  <c r="D328" i="2" s="1"/>
  <c r="G333" i="5" l="1"/>
  <c r="H333" i="5" s="1"/>
  <c r="J333" i="5" s="1"/>
  <c r="D334" i="5" s="1"/>
  <c r="G333" i="4"/>
  <c r="H333" i="4" s="1"/>
  <c r="J333" i="4" s="1"/>
  <c r="D334" i="4" s="1"/>
  <c r="G333" i="3"/>
  <c r="H333" i="3" s="1"/>
  <c r="J333" i="3" s="1"/>
  <c r="D334" i="3" s="1"/>
  <c r="I328" i="2"/>
  <c r="K328" i="2" s="1"/>
  <c r="F328" i="2"/>
  <c r="I334" i="5" l="1"/>
  <c r="K334" i="5" s="1"/>
  <c r="F334" i="5"/>
  <c r="I334" i="4"/>
  <c r="K334" i="4" s="1"/>
  <c r="F334" i="4"/>
  <c r="I334" i="3"/>
  <c r="K334" i="3" s="1"/>
  <c r="F334" i="3"/>
  <c r="G328" i="2"/>
  <c r="H328" i="2" s="1"/>
  <c r="J328" i="2" s="1"/>
  <c r="D329" i="2" s="1"/>
  <c r="G334" i="5" l="1"/>
  <c r="H334" i="5" s="1"/>
  <c r="J334" i="5" s="1"/>
  <c r="D335" i="5" s="1"/>
  <c r="G334" i="4"/>
  <c r="H334" i="4" s="1"/>
  <c r="J334" i="4" s="1"/>
  <c r="D335" i="4" s="1"/>
  <c r="G334" i="3"/>
  <c r="H334" i="3" s="1"/>
  <c r="J334" i="3" s="1"/>
  <c r="D335" i="3" s="1"/>
  <c r="I329" i="2"/>
  <c r="K329" i="2" s="1"/>
  <c r="F329" i="2"/>
  <c r="I335" i="5" l="1"/>
  <c r="K335" i="5" s="1"/>
  <c r="F335" i="5"/>
  <c r="F335" i="4"/>
  <c r="I335" i="4"/>
  <c r="K335" i="4" s="1"/>
  <c r="I335" i="3"/>
  <c r="K335" i="3" s="1"/>
  <c r="F335" i="3"/>
  <c r="G329" i="2"/>
  <c r="H329" i="2" s="1"/>
  <c r="J329" i="2" s="1"/>
  <c r="D330" i="2" s="1"/>
  <c r="G335" i="5" l="1"/>
  <c r="H335" i="5" s="1"/>
  <c r="J335" i="5" s="1"/>
  <c r="D336" i="5" s="1"/>
  <c r="G335" i="4"/>
  <c r="H335" i="4" s="1"/>
  <c r="J335" i="4" s="1"/>
  <c r="D336" i="4" s="1"/>
  <c r="G335" i="3"/>
  <c r="H335" i="3" s="1"/>
  <c r="J335" i="3" s="1"/>
  <c r="D336" i="3" s="1"/>
  <c r="F330" i="2"/>
  <c r="I330" i="2"/>
  <c r="K330" i="2" s="1"/>
  <c r="I336" i="5" l="1"/>
  <c r="K336" i="5" s="1"/>
  <c r="F336" i="5"/>
  <c r="F336" i="4"/>
  <c r="I336" i="4"/>
  <c r="K336" i="4" s="1"/>
  <c r="F336" i="3"/>
  <c r="I336" i="3"/>
  <c r="K336" i="3" s="1"/>
  <c r="G330" i="2"/>
  <c r="H330" i="2" s="1"/>
  <c r="J330" i="2" s="1"/>
  <c r="D331" i="2" s="1"/>
  <c r="G336" i="5" l="1"/>
  <c r="H336" i="5" s="1"/>
  <c r="J336" i="5" s="1"/>
  <c r="D337" i="5" s="1"/>
  <c r="G336" i="4"/>
  <c r="H336" i="4" s="1"/>
  <c r="J336" i="4" s="1"/>
  <c r="D337" i="4" s="1"/>
  <c r="G336" i="3"/>
  <c r="H336" i="3" s="1"/>
  <c r="J336" i="3" s="1"/>
  <c r="D337" i="3" s="1"/>
  <c r="I331" i="2"/>
  <c r="K331" i="2" s="1"/>
  <c r="F331" i="2"/>
  <c r="F337" i="5" l="1"/>
  <c r="I337" i="5"/>
  <c r="K337" i="5" s="1"/>
  <c r="F337" i="4"/>
  <c r="I337" i="4"/>
  <c r="K337" i="4" s="1"/>
  <c r="I337" i="3"/>
  <c r="K337" i="3" s="1"/>
  <c r="F337" i="3"/>
  <c r="G331" i="2"/>
  <c r="H331" i="2" s="1"/>
  <c r="J331" i="2" s="1"/>
  <c r="D332" i="2" s="1"/>
  <c r="G337" i="5" l="1"/>
  <c r="H337" i="5" s="1"/>
  <c r="J337" i="5" s="1"/>
  <c r="D338" i="5" s="1"/>
  <c r="G337" i="4"/>
  <c r="H337" i="4" s="1"/>
  <c r="J337" i="4" s="1"/>
  <c r="D338" i="4" s="1"/>
  <c r="G337" i="3"/>
  <c r="H337" i="3" s="1"/>
  <c r="J337" i="3" s="1"/>
  <c r="D338" i="3" s="1"/>
  <c r="I332" i="2"/>
  <c r="K332" i="2" s="1"/>
  <c r="F332" i="2"/>
  <c r="I338" i="5" l="1"/>
  <c r="K338" i="5" s="1"/>
  <c r="F338" i="5"/>
  <c r="I338" i="4"/>
  <c r="K338" i="4" s="1"/>
  <c r="F338" i="4"/>
  <c r="F338" i="3"/>
  <c r="I338" i="3"/>
  <c r="K338" i="3" s="1"/>
  <c r="G332" i="2"/>
  <c r="H332" i="2" s="1"/>
  <c r="J332" i="2" s="1"/>
  <c r="D333" i="2" s="1"/>
  <c r="G338" i="5" l="1"/>
  <c r="H338" i="5" s="1"/>
  <c r="J338" i="5" s="1"/>
  <c r="D339" i="5" s="1"/>
  <c r="G338" i="4"/>
  <c r="H338" i="4" s="1"/>
  <c r="J338" i="4" s="1"/>
  <c r="D339" i="4" s="1"/>
  <c r="G338" i="3"/>
  <c r="H338" i="3" s="1"/>
  <c r="J338" i="3" s="1"/>
  <c r="D339" i="3" s="1"/>
  <c r="I333" i="2"/>
  <c r="K333" i="2" s="1"/>
  <c r="F333" i="2"/>
  <c r="I339" i="5" l="1"/>
  <c r="K339" i="5" s="1"/>
  <c r="F339" i="5"/>
  <c r="I339" i="4"/>
  <c r="K339" i="4" s="1"/>
  <c r="F339" i="4"/>
  <c r="I339" i="3"/>
  <c r="K339" i="3" s="1"/>
  <c r="F339" i="3"/>
  <c r="G333" i="2"/>
  <c r="H333" i="2" s="1"/>
  <c r="J333" i="2" s="1"/>
  <c r="D334" i="2" s="1"/>
  <c r="G339" i="5" l="1"/>
  <c r="H339" i="5" s="1"/>
  <c r="J339" i="5" s="1"/>
  <c r="D340" i="5" s="1"/>
  <c r="G339" i="4"/>
  <c r="H339" i="4" s="1"/>
  <c r="J339" i="4" s="1"/>
  <c r="D340" i="4" s="1"/>
  <c r="G339" i="3"/>
  <c r="H339" i="3" s="1"/>
  <c r="J339" i="3" s="1"/>
  <c r="D340" i="3" s="1"/>
  <c r="I334" i="2"/>
  <c r="K334" i="2" s="1"/>
  <c r="F334" i="2"/>
  <c r="I340" i="5" l="1"/>
  <c r="K340" i="5" s="1"/>
  <c r="F340" i="5"/>
  <c r="I340" i="4"/>
  <c r="K340" i="4" s="1"/>
  <c r="F340" i="4"/>
  <c r="I340" i="3"/>
  <c r="K340" i="3" s="1"/>
  <c r="F340" i="3"/>
  <c r="G334" i="2"/>
  <c r="H334" i="2" s="1"/>
  <c r="J334" i="2" s="1"/>
  <c r="D335" i="2" s="1"/>
  <c r="G340" i="5" l="1"/>
  <c r="H340" i="5" s="1"/>
  <c r="J340" i="5" s="1"/>
  <c r="D341" i="5" s="1"/>
  <c r="G340" i="4"/>
  <c r="H340" i="4" s="1"/>
  <c r="J340" i="4" s="1"/>
  <c r="D341" i="4" s="1"/>
  <c r="G340" i="3"/>
  <c r="H340" i="3" s="1"/>
  <c r="J340" i="3" s="1"/>
  <c r="D341" i="3" s="1"/>
  <c r="I335" i="2"/>
  <c r="K335" i="2" s="1"/>
  <c r="F335" i="2"/>
  <c r="I341" i="5" l="1"/>
  <c r="K341" i="5" s="1"/>
  <c r="F341" i="5"/>
  <c r="I341" i="4"/>
  <c r="K341" i="4" s="1"/>
  <c r="F341" i="4"/>
  <c r="I341" i="3"/>
  <c r="K341" i="3" s="1"/>
  <c r="F341" i="3"/>
  <c r="G335" i="2"/>
  <c r="H335" i="2" s="1"/>
  <c r="J335" i="2" s="1"/>
  <c r="D336" i="2" s="1"/>
  <c r="G341" i="5" l="1"/>
  <c r="H341" i="5" s="1"/>
  <c r="J341" i="5" s="1"/>
  <c r="D342" i="5" s="1"/>
  <c r="G341" i="4"/>
  <c r="H341" i="4" s="1"/>
  <c r="J341" i="4" s="1"/>
  <c r="D342" i="4" s="1"/>
  <c r="G341" i="3"/>
  <c r="H341" i="3" s="1"/>
  <c r="J341" i="3" s="1"/>
  <c r="D342" i="3" s="1"/>
  <c r="I336" i="2"/>
  <c r="K336" i="2" s="1"/>
  <c r="F336" i="2"/>
  <c r="I342" i="5" l="1"/>
  <c r="K342" i="5" s="1"/>
  <c r="F342" i="5"/>
  <c r="I342" i="4"/>
  <c r="K342" i="4" s="1"/>
  <c r="F342" i="4"/>
  <c r="I342" i="3"/>
  <c r="K342" i="3" s="1"/>
  <c r="F342" i="3"/>
  <c r="G336" i="2"/>
  <c r="H336" i="2" s="1"/>
  <c r="J336" i="2" s="1"/>
  <c r="D337" i="2" s="1"/>
  <c r="G342" i="5" l="1"/>
  <c r="H342" i="5" s="1"/>
  <c r="J342" i="5" s="1"/>
  <c r="D343" i="5" s="1"/>
  <c r="G342" i="4"/>
  <c r="H342" i="4" s="1"/>
  <c r="J342" i="4" s="1"/>
  <c r="D343" i="4" s="1"/>
  <c r="G342" i="3"/>
  <c r="H342" i="3" s="1"/>
  <c r="J342" i="3" s="1"/>
  <c r="D343" i="3" s="1"/>
  <c r="I337" i="2"/>
  <c r="K337" i="2" s="1"/>
  <c r="F337" i="2"/>
  <c r="I343" i="5" l="1"/>
  <c r="K343" i="5" s="1"/>
  <c r="F343" i="5"/>
  <c r="I343" i="4"/>
  <c r="K343" i="4" s="1"/>
  <c r="F343" i="4"/>
  <c r="F343" i="3"/>
  <c r="I343" i="3"/>
  <c r="K343" i="3" s="1"/>
  <c r="G337" i="2"/>
  <c r="H337" i="2" s="1"/>
  <c r="J337" i="2" s="1"/>
  <c r="D338" i="2" s="1"/>
  <c r="G343" i="5" l="1"/>
  <c r="H343" i="5" s="1"/>
  <c r="J343" i="5" s="1"/>
  <c r="D344" i="5" s="1"/>
  <c r="G343" i="4"/>
  <c r="H343" i="4" s="1"/>
  <c r="J343" i="4" s="1"/>
  <c r="D344" i="4" s="1"/>
  <c r="G343" i="3"/>
  <c r="H343" i="3" s="1"/>
  <c r="J343" i="3" s="1"/>
  <c r="D344" i="3" s="1"/>
  <c r="I338" i="2"/>
  <c r="K338" i="2" s="1"/>
  <c r="F338" i="2"/>
  <c r="I344" i="5" l="1"/>
  <c r="K344" i="5" s="1"/>
  <c r="F344" i="5"/>
  <c r="I344" i="4"/>
  <c r="K344" i="4" s="1"/>
  <c r="F344" i="4"/>
  <c r="I344" i="3"/>
  <c r="K344" i="3" s="1"/>
  <c r="F344" i="3"/>
  <c r="G338" i="2"/>
  <c r="H338" i="2" s="1"/>
  <c r="J338" i="2" s="1"/>
  <c r="D339" i="2" s="1"/>
  <c r="G344" i="5" l="1"/>
  <c r="H344" i="5" s="1"/>
  <c r="J344" i="5" s="1"/>
  <c r="D345" i="5" s="1"/>
  <c r="G344" i="4"/>
  <c r="H344" i="4" s="1"/>
  <c r="J344" i="4" s="1"/>
  <c r="D345" i="4" s="1"/>
  <c r="G344" i="3"/>
  <c r="H344" i="3" s="1"/>
  <c r="J344" i="3" s="1"/>
  <c r="D345" i="3" s="1"/>
  <c r="I339" i="2"/>
  <c r="K339" i="2" s="1"/>
  <c r="F339" i="2"/>
  <c r="I345" i="5" l="1"/>
  <c r="K345" i="5" s="1"/>
  <c r="F345" i="5"/>
  <c r="I345" i="4"/>
  <c r="K345" i="4" s="1"/>
  <c r="F345" i="4"/>
  <c r="F345" i="3"/>
  <c r="I345" i="3"/>
  <c r="K345" i="3" s="1"/>
  <c r="G339" i="2"/>
  <c r="H339" i="2" s="1"/>
  <c r="J339" i="2" s="1"/>
  <c r="D340" i="2" s="1"/>
  <c r="G345" i="5" l="1"/>
  <c r="H345" i="5" s="1"/>
  <c r="J345" i="5" s="1"/>
  <c r="D346" i="5" s="1"/>
  <c r="G345" i="4"/>
  <c r="H345" i="4" s="1"/>
  <c r="J345" i="4" s="1"/>
  <c r="D346" i="4" s="1"/>
  <c r="G345" i="3"/>
  <c r="H345" i="3" s="1"/>
  <c r="J345" i="3" s="1"/>
  <c r="D346" i="3" s="1"/>
  <c r="I340" i="2"/>
  <c r="K340" i="2" s="1"/>
  <c r="F340" i="2"/>
  <c r="I346" i="5" l="1"/>
  <c r="K346" i="5" s="1"/>
  <c r="F346" i="5"/>
  <c r="I346" i="4"/>
  <c r="K346" i="4" s="1"/>
  <c r="F346" i="4"/>
  <c r="F346" i="3"/>
  <c r="I346" i="3"/>
  <c r="K346" i="3" s="1"/>
  <c r="G340" i="2"/>
  <c r="H340" i="2" s="1"/>
  <c r="J340" i="2" s="1"/>
  <c r="D341" i="2" s="1"/>
  <c r="G346" i="5" l="1"/>
  <c r="H346" i="5" s="1"/>
  <c r="J346" i="5" s="1"/>
  <c r="D347" i="5" s="1"/>
  <c r="G346" i="4"/>
  <c r="H346" i="4" s="1"/>
  <c r="J346" i="4" s="1"/>
  <c r="D347" i="4" s="1"/>
  <c r="G346" i="3"/>
  <c r="H346" i="3" s="1"/>
  <c r="J346" i="3" s="1"/>
  <c r="D347" i="3" s="1"/>
  <c r="I341" i="2"/>
  <c r="K341" i="2" s="1"/>
  <c r="F341" i="2"/>
  <c r="I347" i="5" l="1"/>
  <c r="K347" i="5" s="1"/>
  <c r="F347" i="5"/>
  <c r="I347" i="4"/>
  <c r="K347" i="4" s="1"/>
  <c r="F347" i="4"/>
  <c r="I347" i="3"/>
  <c r="K347" i="3" s="1"/>
  <c r="F347" i="3"/>
  <c r="G341" i="2"/>
  <c r="H341" i="2" s="1"/>
  <c r="J341" i="2" s="1"/>
  <c r="D342" i="2" s="1"/>
  <c r="G347" i="5" l="1"/>
  <c r="H347" i="5" s="1"/>
  <c r="J347" i="5" s="1"/>
  <c r="D348" i="5" s="1"/>
  <c r="G347" i="4"/>
  <c r="H347" i="4" s="1"/>
  <c r="J347" i="4" s="1"/>
  <c r="D348" i="4" s="1"/>
  <c r="G347" i="3"/>
  <c r="H347" i="3" s="1"/>
  <c r="J347" i="3" s="1"/>
  <c r="D348" i="3" s="1"/>
  <c r="I342" i="2"/>
  <c r="K342" i="2" s="1"/>
  <c r="F342" i="2"/>
  <c r="I348" i="5" l="1"/>
  <c r="K348" i="5" s="1"/>
  <c r="F348" i="5"/>
  <c r="I348" i="4"/>
  <c r="K348" i="4" s="1"/>
  <c r="F348" i="4"/>
  <c r="F348" i="3"/>
  <c r="I348" i="3"/>
  <c r="K348" i="3" s="1"/>
  <c r="G342" i="2"/>
  <c r="H342" i="2" s="1"/>
  <c r="J342" i="2" s="1"/>
  <c r="D343" i="2" s="1"/>
  <c r="G348" i="5" l="1"/>
  <c r="H348" i="5" s="1"/>
  <c r="J348" i="5" s="1"/>
  <c r="D349" i="5" s="1"/>
  <c r="G348" i="4"/>
  <c r="H348" i="4" s="1"/>
  <c r="J348" i="4" s="1"/>
  <c r="D349" i="4" s="1"/>
  <c r="G348" i="3"/>
  <c r="H348" i="3" s="1"/>
  <c r="J348" i="3" s="1"/>
  <c r="D349" i="3" s="1"/>
  <c r="I343" i="2"/>
  <c r="K343" i="2" s="1"/>
  <c r="F343" i="2"/>
  <c r="I349" i="5" l="1"/>
  <c r="K349" i="5" s="1"/>
  <c r="F349" i="5"/>
  <c r="I349" i="4"/>
  <c r="K349" i="4" s="1"/>
  <c r="F349" i="4"/>
  <c r="F349" i="3"/>
  <c r="I349" i="3"/>
  <c r="K349" i="3" s="1"/>
  <c r="G343" i="2"/>
  <c r="H343" i="2" s="1"/>
  <c r="J343" i="2" s="1"/>
  <c r="D344" i="2" s="1"/>
  <c r="G349" i="5" l="1"/>
  <c r="H349" i="5" s="1"/>
  <c r="J349" i="5" s="1"/>
  <c r="D350" i="5" s="1"/>
  <c r="G349" i="4"/>
  <c r="H349" i="4" s="1"/>
  <c r="J349" i="4" s="1"/>
  <c r="D350" i="4" s="1"/>
  <c r="G349" i="3"/>
  <c r="H349" i="3" s="1"/>
  <c r="J349" i="3" s="1"/>
  <c r="D350" i="3" s="1"/>
  <c r="I344" i="2"/>
  <c r="K344" i="2" s="1"/>
  <c r="F344" i="2"/>
  <c r="I350" i="5" l="1"/>
  <c r="K350" i="5" s="1"/>
  <c r="F350" i="5"/>
  <c r="I350" i="4"/>
  <c r="K350" i="4" s="1"/>
  <c r="F350" i="4"/>
  <c r="F350" i="3"/>
  <c r="I350" i="3"/>
  <c r="K350" i="3" s="1"/>
  <c r="G344" i="2"/>
  <c r="H344" i="2" s="1"/>
  <c r="J344" i="2" s="1"/>
  <c r="D345" i="2" s="1"/>
  <c r="G350" i="5" l="1"/>
  <c r="H350" i="5" s="1"/>
  <c r="J350" i="5" s="1"/>
  <c r="D351" i="5" s="1"/>
  <c r="G350" i="4"/>
  <c r="H350" i="4" s="1"/>
  <c r="J350" i="4" s="1"/>
  <c r="D351" i="4" s="1"/>
  <c r="G350" i="3"/>
  <c r="H350" i="3" s="1"/>
  <c r="J350" i="3" s="1"/>
  <c r="D351" i="3" s="1"/>
  <c r="I345" i="2"/>
  <c r="K345" i="2" s="1"/>
  <c r="F345" i="2"/>
  <c r="I351" i="5" l="1"/>
  <c r="K351" i="5" s="1"/>
  <c r="F351" i="5"/>
  <c r="I351" i="4"/>
  <c r="K351" i="4" s="1"/>
  <c r="F351" i="4"/>
  <c r="F351" i="3"/>
  <c r="I351" i="3"/>
  <c r="K351" i="3" s="1"/>
  <c r="G345" i="2"/>
  <c r="H345" i="2" s="1"/>
  <c r="J345" i="2" s="1"/>
  <c r="D346" i="2" s="1"/>
  <c r="G351" i="5" l="1"/>
  <c r="H351" i="5" s="1"/>
  <c r="J351" i="5" s="1"/>
  <c r="D352" i="5" s="1"/>
  <c r="G351" i="4"/>
  <c r="H351" i="4" s="1"/>
  <c r="J351" i="4" s="1"/>
  <c r="D352" i="4" s="1"/>
  <c r="G351" i="3"/>
  <c r="H351" i="3" s="1"/>
  <c r="J351" i="3" s="1"/>
  <c r="D352" i="3" s="1"/>
  <c r="I346" i="2"/>
  <c r="K346" i="2" s="1"/>
  <c r="F346" i="2"/>
  <c r="I352" i="5" l="1"/>
  <c r="K352" i="5" s="1"/>
  <c r="F352" i="5"/>
  <c r="I352" i="4"/>
  <c r="K352" i="4" s="1"/>
  <c r="F352" i="4"/>
  <c r="I352" i="3"/>
  <c r="K352" i="3" s="1"/>
  <c r="F352" i="3"/>
  <c r="G346" i="2"/>
  <c r="H346" i="2" s="1"/>
  <c r="J346" i="2" s="1"/>
  <c r="D347" i="2" s="1"/>
  <c r="G352" i="5" l="1"/>
  <c r="H352" i="5" s="1"/>
  <c r="J352" i="5" s="1"/>
  <c r="D353" i="5" s="1"/>
  <c r="G352" i="4"/>
  <c r="H352" i="4" s="1"/>
  <c r="J352" i="4" s="1"/>
  <c r="D353" i="4" s="1"/>
  <c r="G352" i="3"/>
  <c r="H352" i="3" s="1"/>
  <c r="J352" i="3" s="1"/>
  <c r="D353" i="3" s="1"/>
  <c r="I347" i="2"/>
  <c r="K347" i="2" s="1"/>
  <c r="F347" i="2"/>
  <c r="F353" i="5" l="1"/>
  <c r="I353" i="5"/>
  <c r="K353" i="5" s="1"/>
  <c r="F353" i="4"/>
  <c r="I353" i="4"/>
  <c r="K353" i="4" s="1"/>
  <c r="I353" i="3"/>
  <c r="K353" i="3" s="1"/>
  <c r="F353" i="3"/>
  <c r="G347" i="2"/>
  <c r="H347" i="2" s="1"/>
  <c r="J347" i="2" s="1"/>
  <c r="D348" i="2" s="1"/>
  <c r="G353" i="5" l="1"/>
  <c r="H353" i="5" s="1"/>
  <c r="J353" i="5" s="1"/>
  <c r="D354" i="5" s="1"/>
  <c r="G353" i="4"/>
  <c r="H353" i="4" s="1"/>
  <c r="J353" i="4" s="1"/>
  <c r="D354" i="4" s="1"/>
  <c r="G353" i="3"/>
  <c r="H353" i="3" s="1"/>
  <c r="J353" i="3" s="1"/>
  <c r="D354" i="3" s="1"/>
  <c r="I348" i="2"/>
  <c r="K348" i="2" s="1"/>
  <c r="F348" i="2"/>
  <c r="I354" i="5" l="1"/>
  <c r="K354" i="5" s="1"/>
  <c r="F354" i="5"/>
  <c r="I354" i="4"/>
  <c r="K354" i="4" s="1"/>
  <c r="F354" i="4"/>
  <c r="I354" i="3"/>
  <c r="K354" i="3" s="1"/>
  <c r="F354" i="3"/>
  <c r="G348" i="2"/>
  <c r="H348" i="2" s="1"/>
  <c r="J348" i="2" s="1"/>
  <c r="D349" i="2" s="1"/>
  <c r="G354" i="5" l="1"/>
  <c r="H354" i="5" s="1"/>
  <c r="J354" i="5" s="1"/>
  <c r="D355" i="5" s="1"/>
  <c r="G354" i="4"/>
  <c r="H354" i="4" s="1"/>
  <c r="J354" i="4" s="1"/>
  <c r="D355" i="4" s="1"/>
  <c r="G354" i="3"/>
  <c r="H354" i="3" s="1"/>
  <c r="J354" i="3" s="1"/>
  <c r="D355" i="3" s="1"/>
  <c r="I349" i="2"/>
  <c r="K349" i="2" s="1"/>
  <c r="F349" i="2"/>
  <c r="I355" i="5" l="1"/>
  <c r="K355" i="5" s="1"/>
  <c r="F355" i="5"/>
  <c r="F355" i="4"/>
  <c r="I355" i="4"/>
  <c r="K355" i="4" s="1"/>
  <c r="F355" i="3"/>
  <c r="I355" i="3"/>
  <c r="K355" i="3" s="1"/>
  <c r="G349" i="2"/>
  <c r="H349" i="2" s="1"/>
  <c r="J349" i="2" s="1"/>
  <c r="D350" i="2" s="1"/>
  <c r="G355" i="5" l="1"/>
  <c r="H355" i="5" s="1"/>
  <c r="J355" i="5" s="1"/>
  <c r="D356" i="5" s="1"/>
  <c r="G355" i="4"/>
  <c r="H355" i="4" s="1"/>
  <c r="J355" i="4" s="1"/>
  <c r="D356" i="4" s="1"/>
  <c r="G355" i="3"/>
  <c r="H355" i="3" s="1"/>
  <c r="J355" i="3" s="1"/>
  <c r="D356" i="3" s="1"/>
  <c r="I350" i="2"/>
  <c r="K350" i="2" s="1"/>
  <c r="F350" i="2"/>
  <c r="I356" i="5" l="1"/>
  <c r="K356" i="5" s="1"/>
  <c r="F356" i="5"/>
  <c r="F356" i="4"/>
  <c r="I356" i="4"/>
  <c r="K356" i="4" s="1"/>
  <c r="I356" i="3"/>
  <c r="K356" i="3" s="1"/>
  <c r="F356" i="3"/>
  <c r="G350" i="2"/>
  <c r="H350" i="2" s="1"/>
  <c r="J350" i="2" s="1"/>
  <c r="D351" i="2" s="1"/>
  <c r="G356" i="5" l="1"/>
  <c r="H356" i="5" s="1"/>
  <c r="J356" i="5" s="1"/>
  <c r="D357" i="5" s="1"/>
  <c r="G356" i="4"/>
  <c r="H356" i="4" s="1"/>
  <c r="J356" i="4" s="1"/>
  <c r="D357" i="4" s="1"/>
  <c r="G356" i="3"/>
  <c r="H356" i="3" s="1"/>
  <c r="J356" i="3" s="1"/>
  <c r="D357" i="3" s="1"/>
  <c r="I351" i="2"/>
  <c r="K351" i="2" s="1"/>
  <c r="F351" i="2"/>
  <c r="I357" i="5" l="1"/>
  <c r="K357" i="5" s="1"/>
  <c r="F357" i="5"/>
  <c r="F357" i="4"/>
  <c r="I357" i="4"/>
  <c r="K357" i="4" s="1"/>
  <c r="I357" i="3"/>
  <c r="K357" i="3" s="1"/>
  <c r="F357" i="3"/>
  <c r="G351" i="2"/>
  <c r="H351" i="2" s="1"/>
  <c r="J351" i="2" s="1"/>
  <c r="D352" i="2" s="1"/>
  <c r="G357" i="5" l="1"/>
  <c r="H357" i="5" s="1"/>
  <c r="J357" i="5" s="1"/>
  <c r="D358" i="5" s="1"/>
  <c r="G357" i="4"/>
  <c r="H357" i="4" s="1"/>
  <c r="J357" i="4" s="1"/>
  <c r="D358" i="4" s="1"/>
  <c r="G357" i="3"/>
  <c r="H357" i="3" s="1"/>
  <c r="J357" i="3" s="1"/>
  <c r="D358" i="3" s="1"/>
  <c r="I352" i="2"/>
  <c r="K352" i="2" s="1"/>
  <c r="F352" i="2"/>
  <c r="I358" i="5" l="1"/>
  <c r="K358" i="5" s="1"/>
  <c r="F358" i="5"/>
  <c r="I358" i="4"/>
  <c r="K358" i="4" s="1"/>
  <c r="F358" i="4"/>
  <c r="I358" i="3"/>
  <c r="K358" i="3" s="1"/>
  <c r="F358" i="3"/>
  <c r="G352" i="2"/>
  <c r="H352" i="2" s="1"/>
  <c r="J352" i="2" s="1"/>
  <c r="D353" i="2" s="1"/>
  <c r="G358" i="5" l="1"/>
  <c r="H358" i="5" s="1"/>
  <c r="J358" i="5" s="1"/>
  <c r="D359" i="5" s="1"/>
  <c r="G358" i="4"/>
  <c r="H358" i="4" s="1"/>
  <c r="J358" i="4" s="1"/>
  <c r="D359" i="4" s="1"/>
  <c r="G358" i="3"/>
  <c r="H358" i="3" s="1"/>
  <c r="J358" i="3" s="1"/>
  <c r="D359" i="3" s="1"/>
  <c r="I353" i="2"/>
  <c r="K353" i="2" s="1"/>
  <c r="F353" i="2"/>
  <c r="F359" i="5" l="1"/>
  <c r="I359" i="5"/>
  <c r="K359" i="5" s="1"/>
  <c r="I359" i="4"/>
  <c r="K359" i="4" s="1"/>
  <c r="F359" i="4"/>
  <c r="F359" i="3"/>
  <c r="I359" i="3"/>
  <c r="K359" i="3" s="1"/>
  <c r="G353" i="2"/>
  <c r="H353" i="2" s="1"/>
  <c r="J353" i="2" s="1"/>
  <c r="D354" i="2" s="1"/>
  <c r="G359" i="5" l="1"/>
  <c r="H359" i="5" s="1"/>
  <c r="J359" i="5" s="1"/>
  <c r="D360" i="5" s="1"/>
  <c r="G359" i="4"/>
  <c r="H359" i="4" s="1"/>
  <c r="J359" i="4" s="1"/>
  <c r="D360" i="4" s="1"/>
  <c r="G359" i="3"/>
  <c r="H359" i="3" s="1"/>
  <c r="J359" i="3" s="1"/>
  <c r="D360" i="3" s="1"/>
  <c r="I354" i="2"/>
  <c r="K354" i="2" s="1"/>
  <c r="F354" i="2"/>
  <c r="I360" i="5" l="1"/>
  <c r="K360" i="5" s="1"/>
  <c r="F360" i="5"/>
  <c r="I360" i="4"/>
  <c r="K360" i="4" s="1"/>
  <c r="F360" i="4"/>
  <c r="F360" i="3"/>
  <c r="I360" i="3"/>
  <c r="K360" i="3" s="1"/>
  <c r="G354" i="2"/>
  <c r="H354" i="2" s="1"/>
  <c r="J354" i="2" s="1"/>
  <c r="D355" i="2" s="1"/>
  <c r="G360" i="5" l="1"/>
  <c r="H360" i="5" s="1"/>
  <c r="J360" i="5" s="1"/>
  <c r="D361" i="5" s="1"/>
  <c r="G360" i="4"/>
  <c r="H360" i="4" s="1"/>
  <c r="J360" i="4" s="1"/>
  <c r="D361" i="4" s="1"/>
  <c r="G360" i="3"/>
  <c r="H360" i="3" s="1"/>
  <c r="J360" i="3" s="1"/>
  <c r="D361" i="3" s="1"/>
  <c r="I355" i="2"/>
  <c r="K355" i="2" s="1"/>
  <c r="F355" i="2"/>
  <c r="I361" i="5" l="1"/>
  <c r="K361" i="5" s="1"/>
  <c r="F361" i="5"/>
  <c r="I361" i="4"/>
  <c r="K361" i="4" s="1"/>
  <c r="F361" i="4"/>
  <c r="F361" i="3"/>
  <c r="I361" i="3"/>
  <c r="K361" i="3" s="1"/>
  <c r="G355" i="2"/>
  <c r="H355" i="2" s="1"/>
  <c r="J355" i="2" s="1"/>
  <c r="D356" i="2" s="1"/>
  <c r="G361" i="5" l="1"/>
  <c r="H361" i="5" s="1"/>
  <c r="J361" i="5" s="1"/>
  <c r="D362" i="5" s="1"/>
  <c r="G361" i="4"/>
  <c r="H361" i="4" s="1"/>
  <c r="J361" i="4" s="1"/>
  <c r="D362" i="4" s="1"/>
  <c r="G361" i="3"/>
  <c r="H361" i="3" s="1"/>
  <c r="J361" i="3" s="1"/>
  <c r="D362" i="3" s="1"/>
  <c r="I356" i="2"/>
  <c r="K356" i="2" s="1"/>
  <c r="F356" i="2"/>
  <c r="I362" i="5" l="1"/>
  <c r="K362" i="5" s="1"/>
  <c r="F362" i="5"/>
  <c r="I362" i="4"/>
  <c r="K362" i="4" s="1"/>
  <c r="F362" i="4"/>
  <c r="I362" i="3"/>
  <c r="K362" i="3" s="1"/>
  <c r="F362" i="3"/>
  <c r="G356" i="2"/>
  <c r="H356" i="2" s="1"/>
  <c r="J356" i="2" s="1"/>
  <c r="D357" i="2" s="1"/>
  <c r="G362" i="5" l="1"/>
  <c r="H362" i="5" s="1"/>
  <c r="J362" i="5" s="1"/>
  <c r="D363" i="5" s="1"/>
  <c r="G362" i="4"/>
  <c r="H362" i="4" s="1"/>
  <c r="J362" i="4" s="1"/>
  <c r="D363" i="4" s="1"/>
  <c r="G362" i="3"/>
  <c r="H362" i="3" s="1"/>
  <c r="J362" i="3" s="1"/>
  <c r="D363" i="3" s="1"/>
  <c r="I357" i="2"/>
  <c r="K357" i="2" s="1"/>
  <c r="F357" i="2"/>
  <c r="I363" i="5" l="1"/>
  <c r="K363" i="5" s="1"/>
  <c r="F363" i="5"/>
  <c r="F363" i="4"/>
  <c r="I363" i="4"/>
  <c r="K363" i="4" s="1"/>
  <c r="F363" i="3"/>
  <c r="I363" i="3"/>
  <c r="K363" i="3" s="1"/>
  <c r="G357" i="2"/>
  <c r="H357" i="2" s="1"/>
  <c r="J357" i="2" s="1"/>
  <c r="D358" i="2" s="1"/>
  <c r="G363" i="5" l="1"/>
  <c r="H363" i="5" s="1"/>
  <c r="J363" i="5" s="1"/>
  <c r="D364" i="5" s="1"/>
  <c r="G363" i="4"/>
  <c r="H363" i="4" s="1"/>
  <c r="J363" i="4" s="1"/>
  <c r="D364" i="4" s="1"/>
  <c r="G363" i="3"/>
  <c r="H363" i="3" s="1"/>
  <c r="J363" i="3" s="1"/>
  <c r="D364" i="3" s="1"/>
  <c r="I358" i="2"/>
  <c r="K358" i="2" s="1"/>
  <c r="F358" i="2"/>
  <c r="I364" i="5" l="1"/>
  <c r="K364" i="5" s="1"/>
  <c r="F364" i="5"/>
  <c r="F364" i="4"/>
  <c r="I364" i="4"/>
  <c r="K364" i="4" s="1"/>
  <c r="I364" i="3"/>
  <c r="K364" i="3" s="1"/>
  <c r="F364" i="3"/>
  <c r="G358" i="2"/>
  <c r="H358" i="2" s="1"/>
  <c r="J358" i="2" s="1"/>
  <c r="D359" i="2" s="1"/>
  <c r="G364" i="5" l="1"/>
  <c r="H364" i="5" s="1"/>
  <c r="J364" i="5" s="1"/>
  <c r="D365" i="5" s="1"/>
  <c r="G364" i="4"/>
  <c r="H364" i="4" s="1"/>
  <c r="J364" i="4" s="1"/>
  <c r="D365" i="4" s="1"/>
  <c r="G364" i="3"/>
  <c r="H364" i="3" s="1"/>
  <c r="J364" i="3" s="1"/>
  <c r="D365" i="3" s="1"/>
  <c r="I359" i="2"/>
  <c r="K359" i="2" s="1"/>
  <c r="F359" i="2"/>
  <c r="F365" i="5" l="1"/>
  <c r="I365" i="5"/>
  <c r="K365" i="5" s="1"/>
  <c r="I365" i="4"/>
  <c r="K365" i="4" s="1"/>
  <c r="F365" i="4"/>
  <c r="I365" i="3"/>
  <c r="K365" i="3" s="1"/>
  <c r="F365" i="3"/>
  <c r="G359" i="2"/>
  <c r="H359" i="2" s="1"/>
  <c r="J359" i="2" s="1"/>
  <c r="D360" i="2" s="1"/>
  <c r="G365" i="5" l="1"/>
  <c r="H365" i="5" s="1"/>
  <c r="J365" i="5" s="1"/>
  <c r="D366" i="5" s="1"/>
  <c r="G365" i="4"/>
  <c r="H365" i="4" s="1"/>
  <c r="J365" i="4" s="1"/>
  <c r="D366" i="4" s="1"/>
  <c r="G365" i="3"/>
  <c r="H365" i="3" s="1"/>
  <c r="J365" i="3" s="1"/>
  <c r="D366" i="3" s="1"/>
  <c r="I360" i="2"/>
  <c r="K360" i="2" s="1"/>
  <c r="F360" i="2"/>
  <c r="I366" i="5" l="1"/>
  <c r="K366" i="5" s="1"/>
  <c r="F366" i="5"/>
  <c r="I366" i="4"/>
  <c r="K366" i="4" s="1"/>
  <c r="F366" i="4"/>
  <c r="I366" i="3"/>
  <c r="K366" i="3" s="1"/>
  <c r="F366" i="3"/>
  <c r="G360" i="2"/>
  <c r="H360" i="2" s="1"/>
  <c r="J360" i="2" s="1"/>
  <c r="D361" i="2" s="1"/>
  <c r="G366" i="5" l="1"/>
  <c r="H366" i="5" s="1"/>
  <c r="J366" i="5"/>
  <c r="D367" i="5" s="1"/>
  <c r="G366" i="4"/>
  <c r="H366" i="4" s="1"/>
  <c r="J366" i="4" s="1"/>
  <c r="D367" i="4" s="1"/>
  <c r="G366" i="3"/>
  <c r="H366" i="3" s="1"/>
  <c r="J366" i="3" s="1"/>
  <c r="D367" i="3" s="1"/>
  <c r="I361" i="2"/>
  <c r="K361" i="2" s="1"/>
  <c r="F361" i="2"/>
  <c r="I367" i="5" l="1"/>
  <c r="K367" i="5" s="1"/>
  <c r="F367" i="5"/>
  <c r="I367" i="4"/>
  <c r="K367" i="4" s="1"/>
  <c r="F367" i="4"/>
  <c r="I367" i="3"/>
  <c r="K367" i="3" s="1"/>
  <c r="F367" i="3"/>
  <c r="G361" i="2"/>
  <c r="H361" i="2" s="1"/>
  <c r="J361" i="2" s="1"/>
  <c r="D362" i="2" s="1"/>
  <c r="G367" i="5" l="1"/>
  <c r="H367" i="5" s="1"/>
  <c r="J367" i="5" s="1"/>
  <c r="D368" i="5" s="1"/>
  <c r="G367" i="4"/>
  <c r="H367" i="4" s="1"/>
  <c r="J367" i="4" s="1"/>
  <c r="D368" i="4" s="1"/>
  <c r="G367" i="3"/>
  <c r="H367" i="3" s="1"/>
  <c r="J367" i="3" s="1"/>
  <c r="D368" i="3" s="1"/>
  <c r="I362" i="2"/>
  <c r="K362" i="2" s="1"/>
  <c r="F362" i="2"/>
  <c r="I368" i="5" l="1"/>
  <c r="K368" i="5" s="1"/>
  <c r="F368" i="5"/>
  <c r="I368" i="4"/>
  <c r="K368" i="4" s="1"/>
  <c r="F368" i="4"/>
  <c r="F368" i="3"/>
  <c r="I368" i="3"/>
  <c r="K368" i="3" s="1"/>
  <c r="G362" i="2"/>
  <c r="H362" i="2" s="1"/>
  <c r="J362" i="2" s="1"/>
  <c r="D363" i="2" s="1"/>
  <c r="G368" i="5" l="1"/>
  <c r="H368" i="5" s="1"/>
  <c r="J368" i="5" s="1"/>
  <c r="D369" i="5" s="1"/>
  <c r="G368" i="4"/>
  <c r="H368" i="4" s="1"/>
  <c r="J368" i="4" s="1"/>
  <c r="D369" i="4" s="1"/>
  <c r="G368" i="3"/>
  <c r="H368" i="3" s="1"/>
  <c r="J368" i="3" s="1"/>
  <c r="D369" i="3" s="1"/>
  <c r="I363" i="2"/>
  <c r="K363" i="2" s="1"/>
  <c r="F363" i="2"/>
  <c r="I369" i="5" l="1"/>
  <c r="K369" i="5" s="1"/>
  <c r="F369" i="5"/>
  <c r="F369" i="4"/>
  <c r="I369" i="4"/>
  <c r="K369" i="4" s="1"/>
  <c r="I369" i="3"/>
  <c r="K369" i="3" s="1"/>
  <c r="F369" i="3"/>
  <c r="G363" i="2"/>
  <c r="H363" i="2" s="1"/>
  <c r="J363" i="2" s="1"/>
  <c r="D364" i="2" s="1"/>
  <c r="G369" i="5" l="1"/>
  <c r="H369" i="5" s="1"/>
  <c r="J369" i="5" s="1"/>
  <c r="D370" i="5" s="1"/>
  <c r="G369" i="4"/>
  <c r="H369" i="4" s="1"/>
  <c r="J369" i="4" s="1"/>
  <c r="D370" i="4" s="1"/>
  <c r="G369" i="3"/>
  <c r="H369" i="3" s="1"/>
  <c r="J369" i="3" s="1"/>
  <c r="D370" i="3" s="1"/>
  <c r="I364" i="2"/>
  <c r="K364" i="2" s="1"/>
  <c r="F364" i="2"/>
  <c r="I370" i="5" l="1"/>
  <c r="K370" i="5" s="1"/>
  <c r="F370" i="5"/>
  <c r="I370" i="4"/>
  <c r="K370" i="4" s="1"/>
  <c r="F370" i="4"/>
  <c r="I370" i="3"/>
  <c r="K370" i="3" s="1"/>
  <c r="F370" i="3"/>
  <c r="G364" i="2"/>
  <c r="H364" i="2" s="1"/>
  <c r="J364" i="2" s="1"/>
  <c r="D365" i="2" s="1"/>
  <c r="G370" i="5" l="1"/>
  <c r="H370" i="5" s="1"/>
  <c r="J370" i="5" s="1"/>
  <c r="D371" i="5" s="1"/>
  <c r="G370" i="4"/>
  <c r="H370" i="4" s="1"/>
  <c r="J370" i="4" s="1"/>
  <c r="D371" i="4" s="1"/>
  <c r="G370" i="3"/>
  <c r="H370" i="3" s="1"/>
  <c r="J370" i="3" s="1"/>
  <c r="D371" i="3" s="1"/>
  <c r="I365" i="2"/>
  <c r="K365" i="2" s="1"/>
  <c r="F365" i="2"/>
  <c r="F371" i="5" l="1"/>
  <c r="I6" i="5" s="1"/>
  <c r="I371" i="5"/>
  <c r="F371" i="4"/>
  <c r="I6" i="4" s="1"/>
  <c r="I371" i="4"/>
  <c r="F371" i="3"/>
  <c r="I6" i="3" s="1"/>
  <c r="I371" i="3"/>
  <c r="G365" i="2"/>
  <c r="H365" i="2" s="1"/>
  <c r="J365" i="2" s="1"/>
  <c r="D366" i="2" s="1"/>
  <c r="K371" i="5" l="1"/>
  <c r="I7" i="5"/>
  <c r="G371" i="5"/>
  <c r="H371" i="5" s="1"/>
  <c r="J371" i="5" s="1"/>
  <c r="I5" i="5" s="1"/>
  <c r="K371" i="4"/>
  <c r="I7" i="4"/>
  <c r="G371" i="4"/>
  <c r="H371" i="4" s="1"/>
  <c r="J371" i="4" s="1"/>
  <c r="I5" i="4" s="1"/>
  <c r="K371" i="3"/>
  <c r="I7" i="3"/>
  <c r="G371" i="3"/>
  <c r="H371" i="3" s="1"/>
  <c r="J371" i="3" s="1"/>
  <c r="I5" i="3" s="1"/>
  <c r="I366" i="2"/>
  <c r="K366" i="2" s="1"/>
  <c r="F366" i="2"/>
  <c r="G366" i="2" l="1"/>
  <c r="H366" i="2" s="1"/>
  <c r="J366" i="2" s="1"/>
  <c r="D367" i="2" s="1"/>
  <c r="I367" i="2" l="1"/>
  <c r="K367" i="2" s="1"/>
  <c r="F367" i="2"/>
  <c r="G367" i="2" l="1"/>
  <c r="H367" i="2" s="1"/>
  <c r="J367" i="2" s="1"/>
  <c r="D368" i="2" s="1"/>
  <c r="I368" i="2" l="1"/>
  <c r="K368" i="2" s="1"/>
  <c r="F368" i="2"/>
  <c r="G368" i="2" l="1"/>
  <c r="H368" i="2" s="1"/>
  <c r="J368" i="2" s="1"/>
  <c r="D369" i="2" s="1"/>
  <c r="I369" i="2" l="1"/>
  <c r="K369" i="2" s="1"/>
  <c r="F369" i="2"/>
  <c r="G369" i="2" l="1"/>
  <c r="H369" i="2" s="1"/>
  <c r="J369" i="2" s="1"/>
  <c r="D370" i="2" s="1"/>
  <c r="I370" i="2" l="1"/>
  <c r="K370" i="2" s="1"/>
  <c r="F370" i="2"/>
  <c r="G370" i="2" l="1"/>
  <c r="H370" i="2" s="1"/>
  <c r="J370" i="2" s="1"/>
  <c r="D371" i="2" s="1"/>
  <c r="I371" i="2" l="1"/>
  <c r="F371" i="2"/>
  <c r="G371" i="2" l="1"/>
  <c r="H371" i="2" s="1"/>
  <c r="J371" i="2" s="1"/>
  <c r="I5" i="2" s="1"/>
  <c r="I6" i="2"/>
  <c r="K371" i="2"/>
  <c r="I7" i="2"/>
</calcChain>
</file>

<file path=xl/sharedStrings.xml><?xml version="1.0" encoding="utf-8"?>
<sst xmlns="http://schemas.openxmlformats.org/spreadsheetml/2006/main" count="227" uniqueCount="106">
  <si>
    <t>Florida River Estates Homeowners Association Inc</t>
  </si>
  <si>
    <t>Profit &amp; Loss</t>
  </si>
  <si>
    <t>Annual Budget with Loan repayment</t>
  </si>
  <si>
    <t>Accrual Basis</t>
  </si>
  <si>
    <t>Ordinary Income/Expense</t>
  </si>
  <si>
    <t>Income</t>
  </si>
  <si>
    <t>40000 · Sales - Water Usage &lt;10,000</t>
  </si>
  <si>
    <t>40010 · Sales - Water Usage 10k to 15k</t>
  </si>
  <si>
    <t>40015 · Sales - Water Usage 15k to 20k</t>
  </si>
  <si>
    <t>40021 · Sales - Water Usage 20K to 50K</t>
  </si>
  <si>
    <t>40022 · Sales - Water Usage &gt;50,000</t>
  </si>
  <si>
    <t>40100 · Sales - Operation account fee</t>
  </si>
  <si>
    <t>40250 · Sales - Capital Account</t>
  </si>
  <si>
    <t>40900 · Interest Income</t>
  </si>
  <si>
    <t>Total Income</t>
  </si>
  <si>
    <t>Cost of Goods Sold</t>
  </si>
  <si>
    <t>50100 · Cost of Sales Chemicals</t>
  </si>
  <si>
    <t>50200 · Cost of Sales Electricity</t>
  </si>
  <si>
    <t>50250 · Cost of Sales Filters</t>
  </si>
  <si>
    <t>50300 · Cost of Sales Operator</t>
  </si>
  <si>
    <t>50400 · Cost of Sales Repairs &amp; Maint</t>
  </si>
  <si>
    <t>50500.1 · Cost of Sales Supplies Heading</t>
  </si>
  <si>
    <t>50600 · Cost of Sales Testing</t>
  </si>
  <si>
    <t>Total COGS</t>
  </si>
  <si>
    <t>Gross Profit</t>
  </si>
  <si>
    <t>Expense</t>
  </si>
  <si>
    <t>60500 · Administrator Expense</t>
  </si>
  <si>
    <t>64000 · Depreciation Expense</t>
  </si>
  <si>
    <t>64500 · Dues and Subscriptions Exp</t>
  </si>
  <si>
    <t>67000 · Insurance Expense</t>
  </si>
  <si>
    <t>68500 · Legal and Professional Expense</t>
  </si>
  <si>
    <t>69100 · Line Locates Expense</t>
  </si>
  <si>
    <t>70000 · Maintenance Expense</t>
  </si>
  <si>
    <t>71000 · Office Expense</t>
  </si>
  <si>
    <t>73500 · Postage &amp; Shipping Expense</t>
  </si>
  <si>
    <t>74000 · Rent or Lease Expense</t>
  </si>
  <si>
    <t>75200 · Small Equipment</t>
  </si>
  <si>
    <t>76000 · Telephone Expense</t>
  </si>
  <si>
    <t>78000 · Website</t>
  </si>
  <si>
    <t>Total Expense</t>
  </si>
  <si>
    <t>Net Ordinary Income</t>
  </si>
  <si>
    <t>Capital Account Set aside</t>
  </si>
  <si>
    <t>Proposed Budget after system replacement</t>
  </si>
  <si>
    <t># of Water Taps</t>
  </si>
  <si>
    <t xml:space="preserve">     Operating Account</t>
  </si>
  <si>
    <t>$58 per tap per month</t>
  </si>
  <si>
    <t xml:space="preserve">     Recreation Fee</t>
  </si>
  <si>
    <t>$5 per tap per month</t>
  </si>
  <si>
    <t>$40 per tap per month</t>
  </si>
  <si>
    <t>$40 per month</t>
  </si>
  <si>
    <t># of Vacant Lots on Ready to Serve</t>
  </si>
  <si>
    <t>$70 per tap per month</t>
  </si>
  <si>
    <t>$28 per tap per month</t>
  </si>
  <si>
    <t>Total Base Rate for Tap Users</t>
  </si>
  <si>
    <t>Total Base Rate for Vacant Lots</t>
  </si>
  <si>
    <t>Current Rate Structure - Revenue</t>
  </si>
  <si>
    <t>New Rate Structure - Revenue</t>
  </si>
  <si>
    <t xml:space="preserve">     Loan for System Replacement</t>
  </si>
  <si>
    <t xml:space="preserve">This does not include usage </t>
  </si>
  <si>
    <t>Savings for Fixed Assets</t>
  </si>
  <si>
    <t>Income from Additional Loan Fee</t>
  </si>
  <si>
    <t>CUMULATIVE INTEREST</t>
  </si>
  <si>
    <t>ENDING BALANCE</t>
  </si>
  <si>
    <t>INTEREST</t>
  </si>
  <si>
    <t>PRINCIPAL</t>
  </si>
  <si>
    <t>TOTAL PAYMENT</t>
  </si>
  <si>
    <t>EXTRA PAYMENT</t>
  </si>
  <si>
    <t>SCHEDULED PAYMENT</t>
  </si>
  <si>
    <t>BEGINNING BALANCE</t>
  </si>
  <si>
    <t>PAYMENT DATE</t>
  </si>
  <si>
    <t>PMT NO</t>
  </si>
  <si>
    <t>LENDER NAME</t>
  </si>
  <si>
    <t>Optional extra payments</t>
  </si>
  <si>
    <t>Total interest</t>
  </si>
  <si>
    <t>Start date of loan</t>
  </si>
  <si>
    <t>Total early payments</t>
  </si>
  <si>
    <t>Number of payments per year</t>
  </si>
  <si>
    <t>Actual number of payments</t>
  </si>
  <si>
    <t>Loan period in years</t>
  </si>
  <si>
    <t>Scheduled number of payments</t>
  </si>
  <si>
    <t>Annual interest rate</t>
  </si>
  <si>
    <t>Scheduled payment</t>
  </si>
  <si>
    <t>Loan amount</t>
  </si>
  <si>
    <t>LOAN SUMMARY</t>
  </si>
  <si>
    <t>ENTER VALUES</t>
  </si>
  <si>
    <t>LOAN AMORTIZATION SCHEDULE</t>
  </si>
  <si>
    <t>USDA</t>
  </si>
  <si>
    <t>Loan payments yearly @ 3.75%</t>
  </si>
  <si>
    <t>Loan payments yearly @ 4.00%</t>
  </si>
  <si>
    <t>Loan payments yearly @ 4.25%</t>
  </si>
  <si>
    <t>Loan payments yearly @ 4.5%</t>
  </si>
  <si>
    <t>Per Account</t>
  </si>
  <si>
    <t>FY July 2019-June 2020</t>
  </si>
  <si>
    <t>Based on prior year</t>
  </si>
  <si>
    <t>Based on new rate structure</t>
  </si>
  <si>
    <t xml:space="preserve">     40250 · Sales - Recreation Fee</t>
  </si>
  <si>
    <t xml:space="preserve">     40250 · Sales - Capital Fees for Taps</t>
  </si>
  <si>
    <t>80000 · Interest Expense</t>
  </si>
  <si>
    <t>40300 · Loan Income</t>
  </si>
  <si>
    <t xml:space="preserve">     40200 · Sales - Ready to serve</t>
  </si>
  <si>
    <t>Based on USDA loan and rate acquired, 4% assumed
but may be as high as 4.5% depending on rate market</t>
  </si>
  <si>
    <t xml:space="preserve">     Tapped Capital Account</t>
  </si>
  <si>
    <t xml:space="preserve">     Ready to Serve Capital Account</t>
  </si>
  <si>
    <t>$75-$85 per month, estimated here at $80</t>
  </si>
  <si>
    <t>$80 per account per month estimate</t>
  </si>
  <si>
    <t>Based on prior year
Increases significantly as we work through project
Cannot estimate until we have bids and project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</si>
</sst>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#,##0.00;\-#,##0.00"/>
    <numFmt numFmtId="165" formatCode="_(* #,##0_);_(* \(#,##0\);_(* &quot;-&quot;??_);_(@_)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323232"/>
      <name val="Arial"/>
      <family val="2"/>
    </font>
    <font>
      <b/>
      <sz val="8"/>
      <color rgb="FF323232"/>
      <name val="Arial"/>
      <family val="2"/>
    </font>
    <font>
      <b/>
      <sz val="14"/>
      <color rgb="FF323232"/>
      <name val="Arial"/>
      <family val="2"/>
    </font>
    <font>
      <b/>
      <sz val="10"/>
      <color rgb="FF323232"/>
      <name val="Arial"/>
      <family val="2"/>
    </font>
    <font>
      <sz val="8"/>
      <color rgb="FF32323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0"/>
      <color rgb="FF323232"/>
      <name val="Arial"/>
      <family val="2"/>
    </font>
    <font>
      <sz val="10"/>
      <color rgb="FF323232"/>
      <name val="Arial"/>
      <family val="2"/>
    </font>
    <font>
      <sz val="9"/>
      <color rgb="FF323232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11"/>
      <color theme="1" tint="0.24994659260841701"/>
      <name val="Calibri Light"/>
      <family val="2"/>
      <scheme val="major"/>
    </font>
    <font>
      <b/>
      <sz val="16"/>
      <color theme="1" tint="0.2499465926084170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theme="4" tint="-0.499984740745262"/>
      </top>
      <bottom style="thin">
        <color theme="1" tint="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166" fontId="14" fillId="3" borderId="0" applyFont="0" applyFill="0" applyBorder="0" applyProtection="0">
      <alignment horizontal="right" indent="2"/>
    </xf>
    <xf numFmtId="14" fontId="14" fillId="0" borderId="0" applyFont="0" applyFill="0" applyBorder="0" applyAlignment="0"/>
    <xf numFmtId="1" fontId="14" fillId="2" borderId="0" applyFont="0" applyFill="0" applyBorder="0" applyAlignment="0"/>
    <xf numFmtId="0" fontId="8" fillId="4" borderId="0" applyBorder="0" applyProtection="0">
      <alignment horizontal="right" vertical="center" wrapText="1" indent="2"/>
    </xf>
    <xf numFmtId="0" fontId="8" fillId="4" borderId="0" applyNumberFormat="0" applyBorder="0" applyProtection="0">
      <alignment vertical="center" wrapText="1"/>
    </xf>
    <xf numFmtId="0" fontId="14" fillId="3" borderId="3" applyNumberFormat="0" applyProtection="0">
      <alignment horizontal="right"/>
    </xf>
    <xf numFmtId="0" fontId="7" fillId="0" borderId="4" applyNumberFormat="0" applyFill="0" applyProtection="0">
      <alignment vertical="center"/>
    </xf>
    <xf numFmtId="166" fontId="14" fillId="3" borderId="0" applyFont="0" applyFill="0" applyBorder="0" applyAlignment="0" applyProtection="0"/>
    <xf numFmtId="0" fontId="15" fillId="0" borderId="3" applyNumberFormat="0" applyProtection="0">
      <alignment vertical="center"/>
    </xf>
    <xf numFmtId="0" fontId="14" fillId="2" borderId="0" applyNumberFormat="0" applyFont="0" applyAlignment="0">
      <alignment horizontal="center" vertical="center" wrapText="1"/>
    </xf>
    <xf numFmtId="10" fontId="13" fillId="0" borderId="0" applyFont="0" applyFill="0" applyBorder="0" applyAlignment="0" applyProtection="0"/>
    <xf numFmtId="0" fontId="16" fillId="0" borderId="6" applyNumberFormat="0" applyFill="0" applyProtection="0">
      <alignment vertical="center"/>
    </xf>
    <xf numFmtId="0" fontId="17" fillId="0" borderId="7" applyNumberFormat="0" applyFill="0" applyProtection="0">
      <alignment vertical="center"/>
    </xf>
  </cellStyleXfs>
  <cellXfs count="73">
    <xf numFmtId="0" fontId="0" fillId="0" borderId="0" xfId="0"/>
    <xf numFmtId="49" fontId="2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4" fillId="0" borderId="0" xfId="0" applyNumberFormat="1" applyFont="1"/>
    <xf numFmtId="49" fontId="5" fillId="0" borderId="0" xfId="0" applyNumberFormat="1" applyFont="1"/>
    <xf numFmtId="0" fontId="3" fillId="0" borderId="0" xfId="0" applyFont="1"/>
    <xf numFmtId="49" fontId="5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/>
    <xf numFmtId="43" fontId="0" fillId="0" borderId="0" xfId="1" applyFont="1"/>
    <xf numFmtId="0" fontId="3" fillId="0" borderId="0" xfId="0" applyFont="1" applyAlignment="1">
      <alignment wrapText="1"/>
    </xf>
    <xf numFmtId="43" fontId="0" fillId="0" borderId="0" xfId="0" applyNumberFormat="1"/>
    <xf numFmtId="165" fontId="0" fillId="0" borderId="0" xfId="1" applyNumberFormat="1" applyFont="1"/>
    <xf numFmtId="164" fontId="3" fillId="0" borderId="0" xfId="0" applyNumberFormat="1" applyFont="1"/>
    <xf numFmtId="164" fontId="10" fillId="0" borderId="0" xfId="0" applyNumberFormat="1" applyFont="1"/>
    <xf numFmtId="0" fontId="13" fillId="0" borderId="0" xfId="2"/>
    <xf numFmtId="166" fontId="0" fillId="0" borderId="0" xfId="3" applyFont="1" applyFill="1">
      <alignment horizontal="right" indent="2"/>
    </xf>
    <xf numFmtId="14" fontId="0" fillId="0" borderId="0" xfId="4" applyFont="1" applyAlignment="1">
      <alignment horizontal="left"/>
    </xf>
    <xf numFmtId="1" fontId="0" fillId="0" borderId="0" xfId="5" applyFont="1" applyFill="1" applyAlignment="1">
      <alignment horizontal="left"/>
    </xf>
    <xf numFmtId="0" fontId="8" fillId="4" borderId="0" xfId="6">
      <alignment horizontal="right" vertical="center" wrapText="1" indent="2"/>
    </xf>
    <xf numFmtId="0" fontId="8" fillId="4" borderId="0" xfId="7">
      <alignment vertical="center" wrapText="1"/>
    </xf>
    <xf numFmtId="0" fontId="7" fillId="0" borderId="4" xfId="9">
      <alignment vertical="center"/>
    </xf>
    <xf numFmtId="166" fontId="14" fillId="3" borderId="3" xfId="10" applyBorder="1"/>
    <xf numFmtId="166" fontId="14" fillId="2" borderId="3" xfId="12" applyNumberFormat="1" applyBorder="1" applyAlignment="1"/>
    <xf numFmtId="14" fontId="14" fillId="3" borderId="3" xfId="4" applyFill="1" applyBorder="1"/>
    <xf numFmtId="1" fontId="14" fillId="3" borderId="3" xfId="5" applyFill="1" applyBorder="1"/>
    <xf numFmtId="1" fontId="14" fillId="2" borderId="3" xfId="5" applyBorder="1"/>
    <xf numFmtId="1" fontId="14" fillId="3" borderId="0" xfId="5" applyFill="1"/>
    <xf numFmtId="10" fontId="14" fillId="3" borderId="3" xfId="13" applyFont="1" applyFill="1" applyBorder="1" applyAlignment="1">
      <alignment horizontal="right"/>
    </xf>
    <xf numFmtId="166" fontId="14" fillId="2" borderId="0" xfId="12" applyNumberFormat="1" applyAlignment="1"/>
    <xf numFmtId="166" fontId="14" fillId="3" borderId="0" xfId="10"/>
    <xf numFmtId="0" fontId="16" fillId="0" borderId="6" xfId="14">
      <alignment vertical="center"/>
    </xf>
    <xf numFmtId="0" fontId="17" fillId="0" borderId="7" xfId="15">
      <alignment vertical="center"/>
    </xf>
    <xf numFmtId="164" fontId="3" fillId="0" borderId="2" xfId="0" applyNumberFormat="1" applyFont="1" applyBorder="1"/>
    <xf numFmtId="0" fontId="3" fillId="5" borderId="15" xfId="0" applyFont="1" applyFill="1" applyBorder="1" applyAlignment="1">
      <alignment wrapText="1"/>
    </xf>
    <xf numFmtId="0" fontId="0" fillId="5" borderId="2" xfId="0" applyFill="1" applyBorder="1"/>
    <xf numFmtId="43" fontId="0" fillId="5" borderId="2" xfId="1" applyFont="1" applyFill="1" applyBorder="1"/>
    <xf numFmtId="43" fontId="0" fillId="5" borderId="0" xfId="1" applyFont="1" applyFill="1"/>
    <xf numFmtId="49" fontId="3" fillId="5" borderId="0" xfId="0" applyNumberFormat="1" applyFont="1" applyFill="1"/>
    <xf numFmtId="164" fontId="3" fillId="0" borderId="14" xfId="0" applyNumberFormat="1" applyFont="1" applyBorder="1"/>
    <xf numFmtId="49" fontId="3" fillId="5" borderId="15" xfId="0" applyNumberFormat="1" applyFont="1" applyFill="1" applyBorder="1"/>
    <xf numFmtId="49" fontId="3" fillId="5" borderId="2" xfId="0" applyNumberFormat="1" applyFont="1" applyFill="1" applyBorder="1"/>
    <xf numFmtId="164" fontId="3" fillId="5" borderId="2" xfId="0" applyNumberFormat="1" applyFont="1" applyFill="1" applyBorder="1"/>
    <xf numFmtId="164" fontId="6" fillId="5" borderId="2" xfId="0" applyNumberFormat="1" applyFont="1" applyFill="1" applyBorder="1"/>
    <xf numFmtId="49" fontId="9" fillId="5" borderId="0" xfId="0" applyNumberFormat="1" applyFont="1" applyFill="1"/>
    <xf numFmtId="49" fontId="5" fillId="5" borderId="9" xfId="0" applyNumberFormat="1" applyFont="1" applyFill="1" applyBorder="1"/>
    <xf numFmtId="43" fontId="12" fillId="5" borderId="10" xfId="1" applyFont="1" applyFill="1" applyBorder="1"/>
    <xf numFmtId="49" fontId="5" fillId="5" borderId="11" xfId="0" applyNumberFormat="1" applyFont="1" applyFill="1" applyBorder="1"/>
    <xf numFmtId="43" fontId="12" fillId="5" borderId="12" xfId="1" applyFont="1" applyFill="1" applyBorder="1"/>
    <xf numFmtId="43" fontId="12" fillId="5" borderId="13" xfId="1" applyFont="1" applyFill="1" applyBorder="1"/>
    <xf numFmtId="43" fontId="12" fillId="5" borderId="14" xfId="1" applyFont="1" applyFill="1" applyBorder="1"/>
    <xf numFmtId="0" fontId="11" fillId="5" borderId="16" xfId="0" applyFont="1" applyFill="1" applyBorder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5" borderId="16" xfId="0" applyFill="1" applyBorder="1" applyAlignment="1">
      <alignment horizontal="left" wrapText="1"/>
    </xf>
    <xf numFmtId="164" fontId="6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164" fontId="6" fillId="5" borderId="0" xfId="0" applyNumberFormat="1" applyFont="1" applyFill="1" applyAlignment="1">
      <alignment horizontal="left"/>
    </xf>
    <xf numFmtId="164" fontId="10" fillId="5" borderId="10" xfId="0" applyNumberFormat="1" applyFont="1" applyFill="1" applyBorder="1" applyAlignment="1">
      <alignment horizontal="left"/>
    </xf>
    <xf numFmtId="164" fontId="5" fillId="5" borderId="12" xfId="0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left"/>
    </xf>
    <xf numFmtId="39" fontId="0" fillId="0" borderId="0" xfId="0" applyNumberFormat="1" applyAlignment="1">
      <alignment horizontal="left"/>
    </xf>
    <xf numFmtId="39" fontId="0" fillId="5" borderId="16" xfId="0" applyNumberFormat="1" applyFill="1" applyBorder="1" applyAlignment="1">
      <alignment horizontal="left"/>
    </xf>
    <xf numFmtId="164" fontId="11" fillId="5" borderId="8" xfId="0" applyNumberFormat="1" applyFont="1" applyFill="1" applyBorder="1" applyAlignment="1">
      <alignment horizontal="left"/>
    </xf>
    <xf numFmtId="49" fontId="4" fillId="0" borderId="0" xfId="0" applyNumberFormat="1" applyFont="1" applyAlignment="1">
      <alignment horizontal="left" wrapText="1"/>
    </xf>
    <xf numFmtId="0" fontId="15" fillId="0" borderId="3" xfId="11">
      <alignment vertical="center"/>
    </xf>
    <xf numFmtId="0" fontId="15" fillId="0" borderId="5" xfId="11" applyBorder="1">
      <alignment vertical="center"/>
    </xf>
    <xf numFmtId="0" fontId="14" fillId="3" borderId="3" xfId="8">
      <alignment horizontal="right"/>
    </xf>
  </cellXfs>
  <cellStyles count="16">
    <cellStyle name="Amount" xfId="10" xr:uid="{59AD5261-1F68-4F80-B63F-6903CCFA1B63}"/>
    <cellStyle name="Comma" xfId="1" builtinId="3"/>
    <cellStyle name="Date" xfId="4" xr:uid="{8CB00624-A15E-4433-B1AA-7C6F8C2A9AD7}"/>
    <cellStyle name="Explanatory Text 2" xfId="11" xr:uid="{04A9BC8F-C951-4D17-8091-F35AD5E71AA5}"/>
    <cellStyle name="Heading 1 2" xfId="15" xr:uid="{75573537-7830-43C1-B13B-74B4BBA12B3C}"/>
    <cellStyle name="Heading 2 2" xfId="14" xr:uid="{78AF7E68-096B-4DB9-A089-B943D722C521}"/>
    <cellStyle name="Heading 3 2" xfId="9" xr:uid="{8545162F-FC1F-431D-9187-6E002B5F3552}"/>
    <cellStyle name="Heading 4 2" xfId="7" xr:uid="{58D01FDC-C569-424D-B341-09A0C6FFB588}"/>
    <cellStyle name="Heading 4 Right aligned" xfId="6" xr:uid="{F82582BE-AABE-4585-85F4-A6F345CABB51}"/>
    <cellStyle name="Input 2" xfId="8" xr:uid="{47F51864-518B-474C-95BE-8A164FBD2BA5}"/>
    <cellStyle name="Loan Summary" xfId="12" xr:uid="{A517707A-7B04-49FA-A656-C83FD3B19F51}"/>
    <cellStyle name="Normal" xfId="0" builtinId="0"/>
    <cellStyle name="Normal 2" xfId="2" xr:uid="{9046E7F8-C9C8-4272-BCAF-1A35E08205B8}"/>
    <cellStyle name="Number" xfId="5" xr:uid="{F7EEF189-356D-481C-BA7E-37AC5CA1DBC4}"/>
    <cellStyle name="Percent 2" xfId="13" xr:uid="{320EC547-27DF-487A-AC12-85516D4EFB79}"/>
    <cellStyle name="Table Amount" xfId="3" xr:uid="{B793729D-8269-4E1E-88AA-B281A3F64C16}"/>
  </cellStyles>
  <dxfs count="11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 xr9:uid="{AEA2D6AD-53EA-4414-97B0-552A68F42C07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0E2528-E19D-42BC-8790-A20AF449B4CC}" name="PaymentSchedule" displayName="PaymentSchedule" ref="B11:K371" totalsRowShown="0" headerRowCellStyle="Amount">
  <tableColumns count="10">
    <tableColumn id="1" xr3:uid="{00000000-0010-0000-0000-000001000000}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00000000-0010-0000-0000-000002000000}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00000000-0010-0000-0000-000003000000}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00000000-0010-0000-0000-000004000000}" name="SCHEDULED PAYMENT" dataCellStyle="Table Amount">
      <calculatedColumnFormula>IF(PaymentSchedule[[#This Row],[PMT NO]]&lt;&gt;"",ScheduledPayment,"")</calculatedColumnFormula>
    </tableColumn>
    <tableColumn id="5" xr3:uid="{00000000-0010-0000-0000-000005000000}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00000000-0010-0000-0000-000006000000}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0000000-0010-0000-0000-000007000000}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00000000-0010-0000-0000-000008000000}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xr3:uid="{00000000-0010-0000-0000-000009000000}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00000000-0010-0000-0000-00000A000000}" name="CUMULATIVE INTEREST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Loan Amortization Schedule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86E42A-957E-4FE4-A60A-5D9391F597CA}" name="PaymentSchedule3" displayName="PaymentSchedule3" ref="B11:K371" totalsRowShown="0" headerRowCellStyle="Amount">
  <tableColumns count="10">
    <tableColumn id="1" xr3:uid="{7DC1C391-F8AE-4612-BFCA-B67757930BB7}" name="PMT NO" dataCellStyle="Number">
      <calculatedColumnFormula>IF(LoanIsGood,IF(ROW()-ROW(PaymentSchedule3[[#Headers],[PMT NO]])&gt;ScheduledNumberOfPayments,"",ROW()-ROW(PaymentSchedule3[[#Headers],[PMT NO]])),"")</calculatedColumnFormula>
    </tableColumn>
    <tableColumn id="2" xr3:uid="{D44A8069-99A9-4178-BC0F-19AD4B0C48B0}" name="PAYMENT DATE" dataCellStyle="Date">
      <calculatedColumnFormula>IF(PaymentSchedule3[[#This Row],[PMT NO]]&lt;&gt;"",EOMONTH(LoanStartDate,ROW(PaymentSchedule3[[#This Row],[PMT NO]])-ROW(PaymentSchedule3[[#Headers],[PMT NO]])-2)+DAY(LoanStartDate),"")</calculatedColumnFormula>
    </tableColumn>
    <tableColumn id="3" xr3:uid="{24867265-562E-408C-A01E-9365840965A0}" name="BEGINNING BALANCE" dataCellStyle="Table Amount">
      <calculatedColumnFormula>IF(PaymentSchedule3[[#This Row],[PMT NO]]&lt;&gt;"",IF(ROW()-ROW(PaymentSchedule3[[#Headers],[BEGINNING BALANCE]])=1,LoanAmount,INDEX(PaymentSchedule3[ENDING BALANCE],ROW()-ROW(PaymentSchedule3[[#Headers],[BEGINNING BALANCE]])-1)),"")</calculatedColumnFormula>
    </tableColumn>
    <tableColumn id="4" xr3:uid="{D6F9EA01-B74C-41C9-AB66-0F95B5CE94BB}" name="SCHEDULED PAYMENT" dataCellStyle="Table Amount">
      <calculatedColumnFormula>IF(PaymentSchedule3[[#This Row],[PMT NO]]&lt;&gt;"",ScheduledPayment,"")</calculatedColumnFormula>
    </tableColumn>
    <tableColumn id="5" xr3:uid="{505BCE00-FD2B-445A-8905-3756C0179B8A}" name="EXTRA PAYMENT" dataCellStyle="Table Amount">
      <calculatedColumnFormula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calculatedColumnFormula>
    </tableColumn>
    <tableColumn id="6" xr3:uid="{ADBA4797-0CF2-4047-94E4-22F0FB0EE993}" name="TOTAL PAYMENT" dataCellStyle="Table Amount">
      <calculatedColumnFormula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calculatedColumnFormula>
    </tableColumn>
    <tableColumn id="7" xr3:uid="{6C11FA12-2DED-43A4-ABE6-C7109504AC75}" name="PRINCIPAL" dataCellStyle="Table Amount">
      <calculatedColumnFormula>IF(PaymentSchedule3[[#This Row],[PMT NO]]&lt;&gt;"",PaymentSchedule3[[#This Row],[TOTAL PAYMENT]]-PaymentSchedule3[[#This Row],[INTEREST]],"")</calculatedColumnFormula>
    </tableColumn>
    <tableColumn id="8" xr3:uid="{3B19227E-AF4D-45C2-9BCC-4165CBEE8D97}" name="INTEREST" dataCellStyle="Table Amount">
      <calculatedColumnFormula>IF(PaymentSchedule3[[#This Row],[PMT NO]]&lt;&gt;"",PaymentSchedule3[[#This Row],[BEGINNING BALANCE]]*(InterestRate/PaymentsPerYear),"")</calculatedColumnFormula>
    </tableColumn>
    <tableColumn id="9" xr3:uid="{096A204F-848D-43DA-8545-87909FA9E88A}" name="ENDING BALANCE" dataCellStyle="Table Amount">
      <calculatedColumnFormula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calculatedColumnFormula>
    </tableColumn>
    <tableColumn id="10" xr3:uid="{8C251754-0C4B-4BE3-B1FC-36DF3B79E078}" name="CUMULATIVE INTEREST" dataCellStyle="Table Amount">
      <calculatedColumnFormula>IF(PaymentSchedule3[[#This Row],[PMT NO]]&lt;&gt;"",SUM(INDEX(PaymentSchedule3[INTEREST],1,1):PaymentSchedule3[[#This Row],[INTEREST]]),"")</calculatedColumnFormula>
    </tableColumn>
  </tableColumns>
  <tableStyleInfo name="Loan Amortization Schedule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21870E-7979-4451-81DD-96ABE7214F4B}" name="PaymentSchedule34" displayName="PaymentSchedule34" ref="B11:K371" totalsRowShown="0" headerRowCellStyle="Amount">
  <tableColumns count="10">
    <tableColumn id="1" xr3:uid="{13C688B6-CD04-45A5-A3A1-971BE76926D4}" name="PMT NO" dataCellStyle="Number">
      <calculatedColumnFormula>IF(LoanIsGood,IF(ROW()-ROW(PaymentSchedule34[[#Headers],[PMT NO]])&gt;ScheduledNumberOfPayments,"",ROW()-ROW(PaymentSchedule34[[#Headers],[PMT NO]])),"")</calculatedColumnFormula>
    </tableColumn>
    <tableColumn id="2" xr3:uid="{D081E021-39C4-4393-82A2-9C63D591F41F}" name="PAYMENT DATE" dataCellStyle="Date">
      <calculatedColumnFormula>IF(PaymentSchedule34[[#This Row],[PMT NO]]&lt;&gt;"",EOMONTH(LoanStartDate,ROW(PaymentSchedule34[[#This Row],[PMT NO]])-ROW(PaymentSchedule34[[#Headers],[PMT NO]])-2)+DAY(LoanStartDate),"")</calculatedColumnFormula>
    </tableColumn>
    <tableColumn id="3" xr3:uid="{68247561-BC6D-4663-80BA-63BC633B1CA4}" name="BEGINNING BALANCE" dataCellStyle="Table Amount">
      <calculatedColumnFormula>IF(PaymentSchedule34[[#This Row],[PMT NO]]&lt;&gt;"",IF(ROW()-ROW(PaymentSchedule34[[#Headers],[BEGINNING BALANCE]])=1,LoanAmount,INDEX(PaymentSchedule34[ENDING BALANCE],ROW()-ROW(PaymentSchedule34[[#Headers],[BEGINNING BALANCE]])-1)),"")</calculatedColumnFormula>
    </tableColumn>
    <tableColumn id="4" xr3:uid="{D35196FF-5403-470C-8595-D019DBE08B17}" name="SCHEDULED PAYMENT" dataCellStyle="Table Amount">
      <calculatedColumnFormula>IF(PaymentSchedule34[[#This Row],[PMT NO]]&lt;&gt;"",ScheduledPayment,"")</calculatedColumnFormula>
    </tableColumn>
    <tableColumn id="5" xr3:uid="{B14AB156-F090-4824-BDD5-5E44FB5F95D7}" name="EXTRA PAYMENT" dataCellStyle="Table Amount">
      <calculatedColumnFormula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calculatedColumnFormula>
    </tableColumn>
    <tableColumn id="6" xr3:uid="{EE25B462-BC62-461C-903C-7A3367127B9B}" name="TOTAL PAYMENT" dataCellStyle="Table Amount">
      <calculatedColumnFormula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calculatedColumnFormula>
    </tableColumn>
    <tableColumn id="7" xr3:uid="{8B31FEB2-BB1F-4FE2-A31D-2987EE79AFC6}" name="PRINCIPAL" dataCellStyle="Table Amount">
      <calculatedColumnFormula>IF(PaymentSchedule34[[#This Row],[PMT NO]]&lt;&gt;"",PaymentSchedule34[[#This Row],[TOTAL PAYMENT]]-PaymentSchedule34[[#This Row],[INTEREST]],"")</calculatedColumnFormula>
    </tableColumn>
    <tableColumn id="8" xr3:uid="{A4FCE6D4-DB1F-42DB-9E4A-78657F112980}" name="INTEREST" dataCellStyle="Table Amount">
      <calculatedColumnFormula>IF(PaymentSchedule34[[#This Row],[PMT NO]]&lt;&gt;"",PaymentSchedule34[[#This Row],[BEGINNING BALANCE]]*(InterestRate/PaymentsPerYear),"")</calculatedColumnFormula>
    </tableColumn>
    <tableColumn id="9" xr3:uid="{9556A0AB-92FC-4ED6-A891-12C92981B4DA}" name="ENDING BALANCE" dataCellStyle="Table Amount">
      <calculatedColumnFormula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calculatedColumnFormula>
    </tableColumn>
    <tableColumn id="10" xr3:uid="{BA8827B1-8C13-4F51-8EA3-489C47EE59D5}" name="CUMULATIVE INTEREST" dataCellStyle="Table Amount">
      <calculatedColumnFormula>IF(PaymentSchedule34[[#This Row],[PMT NO]]&lt;&gt;"",SUM(INDEX(PaymentSchedule34[INTEREST],1,1):PaymentSchedule34[[#This Row],[INTEREST]]),"")</calculatedColumnFormula>
    </tableColumn>
  </tableColumns>
  <tableStyleInfo name="Loan Amortization Schedule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3D19FB-6BED-4F6F-8659-FDE8B9CF48A9}" name="PaymentSchedule345" displayName="PaymentSchedule345" ref="B11:K371" totalsRowShown="0" headerRowCellStyle="Amount">
  <tableColumns count="10">
    <tableColumn id="1" xr3:uid="{5A4817EC-4C01-4C18-B5FB-A6F6738898E0}" name="PMT NO" dataCellStyle="Number">
      <calculatedColumnFormula>IF(LoanIsGood,IF(ROW()-ROW(PaymentSchedule345[[#Headers],[PMT NO]])&gt;ScheduledNumberOfPayments,"",ROW()-ROW(PaymentSchedule345[[#Headers],[PMT NO]])),"")</calculatedColumnFormula>
    </tableColumn>
    <tableColumn id="2" xr3:uid="{B83002DE-F9B6-4D40-8538-0D09936019D7}" name="PAYMENT DATE" dataCellStyle="Date">
      <calculatedColumnFormula>IF(PaymentSchedule345[[#This Row],[PMT NO]]&lt;&gt;"",EOMONTH(LoanStartDate,ROW(PaymentSchedule345[[#This Row],[PMT NO]])-ROW(PaymentSchedule345[[#Headers],[PMT NO]])-2)+DAY(LoanStartDate),"")</calculatedColumnFormula>
    </tableColumn>
    <tableColumn id="3" xr3:uid="{B6157507-5E3E-4C1D-B46C-9549D0F7CED6}" name="BEGINNING BALANCE" dataCellStyle="Table Amount">
      <calculatedColumnFormula>IF(PaymentSchedule345[[#This Row],[PMT NO]]&lt;&gt;"",IF(ROW()-ROW(PaymentSchedule345[[#Headers],[BEGINNING BALANCE]])=1,LoanAmount,INDEX(PaymentSchedule345[ENDING BALANCE],ROW()-ROW(PaymentSchedule345[[#Headers],[BEGINNING BALANCE]])-1)),"")</calculatedColumnFormula>
    </tableColumn>
    <tableColumn id="4" xr3:uid="{87D4D8C1-CE8D-4F9A-890D-793D79F9D693}" name="SCHEDULED PAYMENT" dataCellStyle="Table Amount">
      <calculatedColumnFormula>IF(PaymentSchedule345[[#This Row],[PMT NO]]&lt;&gt;"",ScheduledPayment,"")</calculatedColumnFormula>
    </tableColumn>
    <tableColumn id="5" xr3:uid="{7B2F41E0-009A-49A8-BF54-299FA0C5AEED}" name="EXTRA PAYMENT" dataCellStyle="Table Amount">
      <calculatedColumnFormula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calculatedColumnFormula>
    </tableColumn>
    <tableColumn id="6" xr3:uid="{02CD9848-AF28-400F-8D8D-5656B7F78936}" name="TOTAL PAYMENT" dataCellStyle="Table Amount">
      <calculatedColumnFormula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calculatedColumnFormula>
    </tableColumn>
    <tableColumn id="7" xr3:uid="{012F6A07-7E00-4823-ADD4-410E4FEFD8C5}" name="PRINCIPAL" dataCellStyle="Table Amount">
      <calculatedColumnFormula>IF(PaymentSchedule345[[#This Row],[PMT NO]]&lt;&gt;"",PaymentSchedule345[[#This Row],[TOTAL PAYMENT]]-PaymentSchedule345[[#This Row],[INTEREST]],"")</calculatedColumnFormula>
    </tableColumn>
    <tableColumn id="8" xr3:uid="{584185CC-15FB-4A0F-BFB5-C10B0E775515}" name="INTEREST" dataCellStyle="Table Amount">
      <calculatedColumnFormula>IF(PaymentSchedule345[[#This Row],[PMT NO]]&lt;&gt;"",PaymentSchedule345[[#This Row],[BEGINNING BALANCE]]*(InterestRate/PaymentsPerYear),"")</calculatedColumnFormula>
    </tableColumn>
    <tableColumn id="9" xr3:uid="{2B8001B6-4105-4D25-A968-C18BA572AB5D}" name="ENDING BALANCE" dataCellStyle="Table Amount">
      <calculatedColumnFormula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calculatedColumnFormula>
    </tableColumn>
    <tableColumn id="10" xr3:uid="{36794DC1-5F33-4B7B-BA95-910B093D8BD8}" name="CUMULATIVE INTEREST" dataCellStyle="Table Amount">
      <calculatedColumnFormula>IF(PaymentSchedule345[[#This Row],[PMT NO]]&lt;&gt;"",SUM(INDEX(PaymentSchedule345[INTEREST],1,1):PaymentSchedule345[[#This Row],[INTEREST]]),"")</calculatedColumnFormula>
    </tableColumn>
  </tableColumns>
  <tableStyleInfo name="Loan Amortization Schedule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workbookViewId="0"/>
  </sheetViews>
  <sheetFormatPr defaultRowHeight="14.4" x14ac:dyDescent="0.3"/>
  <cols>
    <col min="1" max="4" width="1.6640625" style="6" customWidth="1"/>
    <col min="5" max="5" width="3" style="6" customWidth="1"/>
    <col min="6" max="6" width="28.88671875" style="6" customWidth="1"/>
    <col min="7" max="7" width="17.109375" bestFit="1" customWidth="1"/>
    <col min="8" max="8" width="1.5546875" customWidth="1"/>
    <col min="9" max="9" width="51.6640625" style="56" customWidth="1"/>
    <col min="10" max="10" width="3.33203125" customWidth="1"/>
    <col min="11" max="11" width="10.109375" bestFit="1" customWidth="1"/>
    <col min="13" max="13" width="16.33203125" customWidth="1"/>
  </cols>
  <sheetData>
    <row r="1" spans="1:9" ht="15.6" x14ac:dyDescent="0.3">
      <c r="A1" s="1" t="s">
        <v>0</v>
      </c>
      <c r="B1" s="2"/>
      <c r="C1" s="2"/>
      <c r="D1" s="2"/>
      <c r="E1" s="2"/>
      <c r="F1" s="2"/>
      <c r="G1" s="3"/>
      <c r="H1" s="3"/>
      <c r="I1" s="55"/>
    </row>
    <row r="2" spans="1:9" ht="17.399999999999999" x14ac:dyDescent="0.3">
      <c r="A2" s="4" t="s">
        <v>1</v>
      </c>
      <c r="B2" s="2"/>
      <c r="C2" s="2"/>
      <c r="D2" s="2"/>
      <c r="E2" s="2"/>
      <c r="F2" s="2"/>
      <c r="G2" s="69" t="s">
        <v>42</v>
      </c>
      <c r="H2" s="69"/>
      <c r="I2" s="69"/>
    </row>
    <row r="3" spans="1:9" x14ac:dyDescent="0.3">
      <c r="A3" s="5" t="s">
        <v>2</v>
      </c>
      <c r="B3" s="2"/>
      <c r="C3" s="2"/>
      <c r="D3" s="2"/>
      <c r="E3" s="2"/>
      <c r="F3" s="2"/>
      <c r="G3" s="8" t="s">
        <v>3</v>
      </c>
      <c r="H3" s="3"/>
    </row>
    <row r="4" spans="1:9" ht="10.8" customHeight="1" x14ac:dyDescent="0.3">
      <c r="A4" s="5"/>
      <c r="B4" s="2"/>
      <c r="C4" s="2"/>
      <c r="D4" s="2"/>
      <c r="E4" s="2"/>
      <c r="G4" s="7"/>
      <c r="H4" s="3"/>
    </row>
    <row r="5" spans="1:9" s="10" customFormat="1" ht="15" thickBot="1" x14ac:dyDescent="0.35">
      <c r="A5" s="8"/>
      <c r="B5" s="8"/>
      <c r="C5" s="8"/>
      <c r="D5" s="8"/>
      <c r="E5" s="8"/>
      <c r="F5" s="8"/>
      <c r="G5" s="9" t="s">
        <v>92</v>
      </c>
      <c r="H5" s="8"/>
      <c r="I5" s="56"/>
    </row>
    <row r="6" spans="1:9" ht="15" thickTop="1" x14ac:dyDescent="0.3">
      <c r="A6" s="2"/>
      <c r="B6" s="2" t="s">
        <v>4</v>
      </c>
      <c r="C6" s="2"/>
      <c r="D6" s="2"/>
      <c r="E6" s="2"/>
      <c r="F6" s="2"/>
      <c r="G6" s="11"/>
      <c r="H6" s="11"/>
    </row>
    <row r="7" spans="1:9" x14ac:dyDescent="0.3">
      <c r="A7" s="2"/>
      <c r="B7" s="2"/>
      <c r="C7" s="2"/>
      <c r="D7" s="2" t="s">
        <v>5</v>
      </c>
      <c r="E7" s="2"/>
      <c r="F7" s="2"/>
      <c r="G7" s="11"/>
      <c r="H7" s="11"/>
    </row>
    <row r="8" spans="1:9" x14ac:dyDescent="0.3">
      <c r="A8" s="2"/>
      <c r="B8" s="2"/>
      <c r="C8" s="2"/>
      <c r="D8" s="2"/>
      <c r="E8" s="2" t="s">
        <v>6</v>
      </c>
      <c r="F8" s="2"/>
      <c r="G8" s="16">
        <v>8800</v>
      </c>
      <c r="H8" s="11"/>
      <c r="I8" s="56" t="s">
        <v>93</v>
      </c>
    </row>
    <row r="9" spans="1:9" x14ac:dyDescent="0.3">
      <c r="A9" s="2"/>
      <c r="B9" s="2"/>
      <c r="C9" s="2"/>
      <c r="D9" s="2"/>
      <c r="E9" s="2" t="s">
        <v>7</v>
      </c>
      <c r="F9" s="2"/>
      <c r="G9" s="16">
        <v>1600</v>
      </c>
      <c r="H9" s="11"/>
      <c r="I9" s="56" t="s">
        <v>93</v>
      </c>
    </row>
    <row r="10" spans="1:9" x14ac:dyDescent="0.3">
      <c r="A10" s="2"/>
      <c r="B10" s="2"/>
      <c r="C10" s="2"/>
      <c r="D10" s="2"/>
      <c r="E10" s="2" t="s">
        <v>8</v>
      </c>
      <c r="F10" s="2"/>
      <c r="G10" s="16">
        <v>1500</v>
      </c>
      <c r="H10" s="11"/>
      <c r="I10" s="56" t="s">
        <v>93</v>
      </c>
    </row>
    <row r="11" spans="1:9" x14ac:dyDescent="0.3">
      <c r="A11" s="2"/>
      <c r="B11" s="2"/>
      <c r="C11" s="2"/>
      <c r="D11" s="2"/>
      <c r="E11" s="2" t="s">
        <v>9</v>
      </c>
      <c r="F11" s="2"/>
      <c r="G11" s="16">
        <v>7000</v>
      </c>
      <c r="H11" s="11"/>
      <c r="I11" s="56" t="s">
        <v>93</v>
      </c>
    </row>
    <row r="12" spans="1:9" x14ac:dyDescent="0.3">
      <c r="A12" s="2"/>
      <c r="B12" s="2"/>
      <c r="C12" s="2"/>
      <c r="D12" s="2"/>
      <c r="E12" s="2" t="s">
        <v>10</v>
      </c>
      <c r="F12" s="2"/>
      <c r="G12" s="16">
        <v>5500</v>
      </c>
      <c r="H12" s="11"/>
      <c r="I12" s="56" t="s">
        <v>93</v>
      </c>
    </row>
    <row r="13" spans="1:9" x14ac:dyDescent="0.3">
      <c r="A13" s="2"/>
      <c r="B13" s="2"/>
      <c r="C13" s="2"/>
      <c r="D13" s="2"/>
      <c r="E13" s="2" t="s">
        <v>11</v>
      </c>
      <c r="F13" s="2"/>
      <c r="G13" s="16">
        <f>G65</f>
        <v>63336</v>
      </c>
      <c r="H13" s="11"/>
      <c r="I13" s="56" t="s">
        <v>94</v>
      </c>
    </row>
    <row r="14" spans="1:9" x14ac:dyDescent="0.3">
      <c r="A14" s="2"/>
      <c r="B14" s="2"/>
      <c r="C14" s="2"/>
      <c r="D14" s="2"/>
      <c r="E14" s="2" t="s">
        <v>95</v>
      </c>
      <c r="F14" s="2"/>
      <c r="G14" s="11">
        <f>G68</f>
        <v>5460</v>
      </c>
      <c r="H14" s="11"/>
      <c r="I14" s="56" t="s">
        <v>94</v>
      </c>
    </row>
    <row r="15" spans="1:9" x14ac:dyDescent="0.3">
      <c r="A15" s="2"/>
      <c r="B15" s="2"/>
      <c r="C15" s="2"/>
      <c r="D15" s="2"/>
      <c r="E15" s="2" t="s">
        <v>12</v>
      </c>
      <c r="F15" s="2"/>
      <c r="G15" s="16">
        <f>SUM(G16:G17)</f>
        <v>50400</v>
      </c>
      <c r="H15" s="11"/>
      <c r="I15" s="56" t="s">
        <v>94</v>
      </c>
    </row>
    <row r="16" spans="1:9" x14ac:dyDescent="0.3">
      <c r="A16" s="2"/>
      <c r="B16" s="2"/>
      <c r="C16" s="2"/>
      <c r="D16" s="2"/>
      <c r="E16" s="2" t="s">
        <v>99</v>
      </c>
      <c r="F16" s="2"/>
      <c r="G16" s="11">
        <f>G67</f>
        <v>6720</v>
      </c>
      <c r="H16" s="11"/>
      <c r="I16" s="56" t="s">
        <v>94</v>
      </c>
    </row>
    <row r="17" spans="1:9" ht="15" thickBot="1" x14ac:dyDescent="0.35">
      <c r="A17" s="2"/>
      <c r="B17" s="2"/>
      <c r="C17" s="2"/>
      <c r="D17" s="2"/>
      <c r="E17" s="2" t="s">
        <v>96</v>
      </c>
      <c r="F17" s="2"/>
      <c r="G17" s="11">
        <f>G66</f>
        <v>43680</v>
      </c>
      <c r="H17" s="11"/>
      <c r="I17" s="56" t="s">
        <v>94</v>
      </c>
    </row>
    <row r="18" spans="1:9" ht="29.4" thickBot="1" x14ac:dyDescent="0.35">
      <c r="A18" s="2"/>
      <c r="B18" s="2"/>
      <c r="C18" s="2"/>
      <c r="D18" s="2"/>
      <c r="E18" s="43" t="s">
        <v>98</v>
      </c>
      <c r="F18" s="44"/>
      <c r="G18" s="45">
        <f>G75</f>
        <v>100800</v>
      </c>
      <c r="H18" s="46"/>
      <c r="I18" s="57" t="s">
        <v>100</v>
      </c>
    </row>
    <row r="19" spans="1:9" x14ac:dyDescent="0.3">
      <c r="A19" s="2"/>
      <c r="B19" s="2"/>
      <c r="C19" s="2"/>
      <c r="D19" s="2"/>
      <c r="E19" s="2" t="s">
        <v>13</v>
      </c>
      <c r="F19" s="2"/>
      <c r="G19" s="16">
        <v>150</v>
      </c>
      <c r="H19" s="11"/>
      <c r="I19" s="56" t="s">
        <v>93</v>
      </c>
    </row>
    <row r="20" spans="1:9" x14ac:dyDescent="0.3">
      <c r="A20" s="2"/>
      <c r="B20" s="2"/>
      <c r="C20" s="2"/>
      <c r="D20" s="2" t="s">
        <v>14</v>
      </c>
      <c r="E20" s="2"/>
      <c r="F20" s="2"/>
      <c r="G20" s="16">
        <f>ROUND((SUM(G7:G15)+SUM(G18:G19)),5)</f>
        <v>244546</v>
      </c>
      <c r="H20" s="11"/>
    </row>
    <row r="21" spans="1:9" x14ac:dyDescent="0.3">
      <c r="A21" s="2"/>
      <c r="B21" s="2"/>
      <c r="C21" s="2"/>
      <c r="D21" s="2" t="s">
        <v>15</v>
      </c>
      <c r="E21" s="2"/>
      <c r="F21" s="2"/>
      <c r="G21" s="11"/>
      <c r="H21" s="11"/>
    </row>
    <row r="22" spans="1:9" x14ac:dyDescent="0.3">
      <c r="A22" s="2"/>
      <c r="B22" s="2"/>
      <c r="C22" s="2"/>
      <c r="D22" s="2"/>
      <c r="E22" s="2" t="s">
        <v>16</v>
      </c>
      <c r="F22" s="2"/>
      <c r="G22" s="16">
        <v>1900</v>
      </c>
      <c r="H22" s="11"/>
      <c r="I22" s="56" t="s">
        <v>93</v>
      </c>
    </row>
    <row r="23" spans="1:9" x14ac:dyDescent="0.3">
      <c r="A23" s="2"/>
      <c r="B23" s="2"/>
      <c r="C23" s="2"/>
      <c r="D23" s="2"/>
      <c r="E23" s="2" t="s">
        <v>17</v>
      </c>
      <c r="F23" s="2"/>
      <c r="G23" s="16">
        <v>4300</v>
      </c>
      <c r="H23" s="11"/>
      <c r="I23" s="56" t="s">
        <v>93</v>
      </c>
    </row>
    <row r="24" spans="1:9" x14ac:dyDescent="0.3">
      <c r="A24" s="2"/>
      <c r="B24" s="2"/>
      <c r="C24" s="2"/>
      <c r="D24" s="2"/>
      <c r="E24" s="2" t="s">
        <v>18</v>
      </c>
      <c r="F24" s="2"/>
      <c r="G24" s="16">
        <v>12500</v>
      </c>
      <c r="H24" s="11"/>
      <c r="I24" s="56" t="s">
        <v>93</v>
      </c>
    </row>
    <row r="25" spans="1:9" x14ac:dyDescent="0.3">
      <c r="A25" s="2"/>
      <c r="B25" s="2"/>
      <c r="C25" s="2"/>
      <c r="D25" s="2"/>
      <c r="E25" s="2" t="s">
        <v>19</v>
      </c>
      <c r="F25" s="2"/>
      <c r="G25" s="16">
        <v>18500</v>
      </c>
      <c r="H25" s="11"/>
      <c r="I25" s="56" t="s">
        <v>93</v>
      </c>
    </row>
    <row r="26" spans="1:9" x14ac:dyDescent="0.3">
      <c r="A26" s="2"/>
      <c r="B26" s="2"/>
      <c r="C26" s="2"/>
      <c r="D26" s="2"/>
      <c r="E26" s="2" t="s">
        <v>20</v>
      </c>
      <c r="F26" s="2"/>
      <c r="G26" s="16">
        <v>10000</v>
      </c>
      <c r="H26" s="11"/>
      <c r="I26" s="56" t="s">
        <v>93</v>
      </c>
    </row>
    <row r="27" spans="1:9" x14ac:dyDescent="0.3">
      <c r="A27" s="2"/>
      <c r="B27" s="2"/>
      <c r="C27" s="2"/>
      <c r="D27" s="2"/>
      <c r="E27" s="2" t="s">
        <v>21</v>
      </c>
      <c r="F27" s="2"/>
      <c r="G27" s="16">
        <v>1050</v>
      </c>
      <c r="H27" s="11"/>
      <c r="I27" s="56" t="s">
        <v>93</v>
      </c>
    </row>
    <row r="28" spans="1:9" ht="15" thickBot="1" x14ac:dyDescent="0.35">
      <c r="A28" s="2"/>
      <c r="B28" s="2"/>
      <c r="C28" s="2"/>
      <c r="D28" s="2"/>
      <c r="E28" s="2" t="s">
        <v>22</v>
      </c>
      <c r="F28" s="2"/>
      <c r="G28" s="16">
        <v>1500</v>
      </c>
      <c r="H28" s="11"/>
      <c r="I28" s="56" t="s">
        <v>93</v>
      </c>
    </row>
    <row r="29" spans="1:9" ht="15" thickBot="1" x14ac:dyDescent="0.35">
      <c r="A29" s="2"/>
      <c r="B29" s="2"/>
      <c r="C29" s="2"/>
      <c r="D29" s="2" t="s">
        <v>23</v>
      </c>
      <c r="E29" s="2"/>
      <c r="F29" s="2"/>
      <c r="G29" s="36">
        <f>ROUND(SUM(G21:G26)+SUM(G27:G28),5)</f>
        <v>49750</v>
      </c>
      <c r="H29" s="11"/>
    </row>
    <row r="30" spans="1:9" x14ac:dyDescent="0.3">
      <c r="A30" s="2"/>
      <c r="B30" s="2"/>
      <c r="C30" s="2" t="s">
        <v>24</v>
      </c>
      <c r="D30" s="2"/>
      <c r="E30" s="2"/>
      <c r="F30" s="2"/>
      <c r="G30" s="16">
        <f>ROUND(G20-G29,5)</f>
        <v>194796</v>
      </c>
      <c r="H30" s="11"/>
    </row>
    <row r="31" spans="1:9" x14ac:dyDescent="0.3">
      <c r="A31" s="2"/>
      <c r="B31" s="2"/>
      <c r="C31" s="2"/>
      <c r="D31" s="2" t="s">
        <v>25</v>
      </c>
      <c r="E31" s="2"/>
      <c r="F31" s="2"/>
      <c r="G31" s="11"/>
      <c r="H31" s="11"/>
    </row>
    <row r="32" spans="1:9" ht="15" thickBot="1" x14ac:dyDescent="0.35">
      <c r="A32" s="2"/>
      <c r="B32" s="2"/>
      <c r="C32" s="2"/>
      <c r="D32" s="2"/>
      <c r="E32" s="2" t="s">
        <v>26</v>
      </c>
      <c r="F32" s="2"/>
      <c r="G32" s="16">
        <v>10800</v>
      </c>
      <c r="H32" s="11"/>
      <c r="I32" s="56" t="s">
        <v>93</v>
      </c>
    </row>
    <row r="33" spans="1:9" ht="43.5" customHeight="1" thickBot="1" x14ac:dyDescent="0.35">
      <c r="A33" s="2"/>
      <c r="B33" s="2"/>
      <c r="C33" s="2"/>
      <c r="D33" s="2"/>
      <c r="E33" s="43" t="s">
        <v>27</v>
      </c>
      <c r="F33" s="44"/>
      <c r="G33" s="45">
        <v>6000</v>
      </c>
      <c r="H33" s="46"/>
      <c r="I33" s="57" t="s">
        <v>105</v>
      </c>
    </row>
    <row r="34" spans="1:9" x14ac:dyDescent="0.3">
      <c r="A34" s="2"/>
      <c r="B34" s="2"/>
      <c r="C34" s="2"/>
      <c r="D34" s="2"/>
      <c r="E34" s="2" t="s">
        <v>28</v>
      </c>
      <c r="F34" s="2"/>
      <c r="G34" s="16">
        <v>250</v>
      </c>
      <c r="H34" s="11"/>
      <c r="I34" s="56" t="s">
        <v>93</v>
      </c>
    </row>
    <row r="35" spans="1:9" x14ac:dyDescent="0.3">
      <c r="A35" s="2"/>
      <c r="B35" s="2"/>
      <c r="C35" s="2"/>
      <c r="D35" s="2"/>
      <c r="E35" s="2" t="s">
        <v>29</v>
      </c>
      <c r="F35" s="2"/>
      <c r="G35" s="16">
        <v>4900</v>
      </c>
      <c r="H35" s="11"/>
      <c r="I35" s="56" t="s">
        <v>93</v>
      </c>
    </row>
    <row r="36" spans="1:9" x14ac:dyDescent="0.3">
      <c r="A36" s="2"/>
      <c r="B36" s="2"/>
      <c r="C36" s="2"/>
      <c r="D36" s="2"/>
      <c r="E36" s="2" t="s">
        <v>30</v>
      </c>
      <c r="F36" s="2"/>
      <c r="G36" s="16">
        <v>1000</v>
      </c>
      <c r="H36" s="11"/>
      <c r="I36" s="56" t="s">
        <v>93</v>
      </c>
    </row>
    <row r="37" spans="1:9" x14ac:dyDescent="0.3">
      <c r="A37" s="2"/>
      <c r="B37" s="2"/>
      <c r="C37" s="2"/>
      <c r="D37" s="2"/>
      <c r="E37" s="2" t="s">
        <v>31</v>
      </c>
      <c r="F37" s="2"/>
      <c r="G37" s="16">
        <v>275</v>
      </c>
      <c r="H37" s="11"/>
      <c r="I37" s="56" t="s">
        <v>93</v>
      </c>
    </row>
    <row r="38" spans="1:9" x14ac:dyDescent="0.3">
      <c r="A38" s="2"/>
      <c r="B38" s="2"/>
      <c r="C38" s="2"/>
      <c r="D38" s="2"/>
      <c r="E38" s="2" t="s">
        <v>32</v>
      </c>
      <c r="F38" s="2"/>
      <c r="G38" s="16">
        <v>250</v>
      </c>
      <c r="H38" s="11"/>
      <c r="I38" s="56" t="s">
        <v>93</v>
      </c>
    </row>
    <row r="39" spans="1:9" x14ac:dyDescent="0.3">
      <c r="A39" s="2"/>
      <c r="B39" s="2"/>
      <c r="C39" s="2"/>
      <c r="D39" s="2"/>
      <c r="E39" s="2" t="s">
        <v>33</v>
      </c>
      <c r="F39" s="2"/>
      <c r="G39" s="16">
        <v>75</v>
      </c>
      <c r="H39" s="11"/>
      <c r="I39" s="56" t="s">
        <v>93</v>
      </c>
    </row>
    <row r="40" spans="1:9" x14ac:dyDescent="0.3">
      <c r="A40" s="2"/>
      <c r="B40" s="2"/>
      <c r="C40" s="2"/>
      <c r="D40" s="2"/>
      <c r="E40" s="2" t="s">
        <v>34</v>
      </c>
      <c r="F40" s="2"/>
      <c r="G40" s="16">
        <v>650</v>
      </c>
      <c r="H40" s="11"/>
      <c r="I40" s="56" t="s">
        <v>93</v>
      </c>
    </row>
    <row r="41" spans="1:9" x14ac:dyDescent="0.3">
      <c r="A41" s="2"/>
      <c r="B41" s="2"/>
      <c r="C41" s="2"/>
      <c r="D41" s="2"/>
      <c r="E41" s="2" t="s">
        <v>35</v>
      </c>
      <c r="F41" s="2"/>
      <c r="G41" s="16">
        <v>80</v>
      </c>
      <c r="H41" s="11"/>
      <c r="I41" s="56" t="s">
        <v>93</v>
      </c>
    </row>
    <row r="42" spans="1:9" x14ac:dyDescent="0.3">
      <c r="A42" s="2"/>
      <c r="B42" s="2"/>
      <c r="C42" s="2"/>
      <c r="D42" s="2"/>
      <c r="E42" s="2" t="s">
        <v>36</v>
      </c>
      <c r="F42" s="2"/>
      <c r="G42" s="16">
        <v>4000</v>
      </c>
      <c r="H42" s="11"/>
      <c r="I42" s="56" t="s">
        <v>93</v>
      </c>
    </row>
    <row r="43" spans="1:9" x14ac:dyDescent="0.3">
      <c r="A43" s="2"/>
      <c r="B43" s="2"/>
      <c r="C43" s="2"/>
      <c r="D43" s="2"/>
      <c r="E43" s="2" t="s">
        <v>37</v>
      </c>
      <c r="F43" s="2"/>
      <c r="G43" s="16">
        <v>750</v>
      </c>
      <c r="H43" s="11"/>
      <c r="I43" s="56" t="s">
        <v>93</v>
      </c>
    </row>
    <row r="44" spans="1:9" ht="15" thickBot="1" x14ac:dyDescent="0.35">
      <c r="A44" s="2"/>
      <c r="B44" s="2"/>
      <c r="C44" s="2"/>
      <c r="D44" s="2"/>
      <c r="E44" s="2" t="s">
        <v>38</v>
      </c>
      <c r="F44" s="2"/>
      <c r="G44" s="16">
        <v>150</v>
      </c>
      <c r="H44" s="11"/>
      <c r="I44" s="56" t="s">
        <v>93</v>
      </c>
    </row>
    <row r="45" spans="1:9" ht="29.4" thickBot="1" x14ac:dyDescent="0.35">
      <c r="A45" s="2"/>
      <c r="B45" s="2"/>
      <c r="C45" s="2"/>
      <c r="D45" s="2"/>
      <c r="E45" s="43" t="s">
        <v>97</v>
      </c>
      <c r="F45" s="44"/>
      <c r="G45" s="45">
        <f>SUM('Loan Schedule 400'!I12:I23)</f>
        <v>79623.569962214577</v>
      </c>
      <c r="H45" s="46"/>
      <c r="I45" s="57" t="s">
        <v>100</v>
      </c>
    </row>
    <row r="46" spans="1:9" ht="15" thickBot="1" x14ac:dyDescent="0.35">
      <c r="A46" s="2"/>
      <c r="B46" s="2"/>
      <c r="C46" s="2"/>
      <c r="D46" s="2" t="s">
        <v>39</v>
      </c>
      <c r="E46" s="2"/>
      <c r="F46" s="2"/>
      <c r="G46" s="42">
        <f>ROUND(G31+SUM(G32:G45),5)</f>
        <v>108803.56995999999</v>
      </c>
      <c r="H46" s="11"/>
    </row>
    <row r="47" spans="1:9" x14ac:dyDescent="0.3">
      <c r="A47" s="2"/>
      <c r="B47" s="2" t="s">
        <v>40</v>
      </c>
      <c r="C47" s="2"/>
      <c r="D47" s="2"/>
      <c r="E47" s="2"/>
      <c r="F47" s="2"/>
      <c r="G47" s="16">
        <f>ROUND(G6+G30-G46,5)</f>
        <v>85992.430040000007</v>
      </c>
      <c r="H47" s="11"/>
    </row>
    <row r="48" spans="1:9" x14ac:dyDescent="0.3">
      <c r="A48" s="2"/>
      <c r="B48" s="2"/>
      <c r="C48" s="2"/>
      <c r="D48" s="2"/>
      <c r="E48" s="2"/>
      <c r="F48" s="2"/>
      <c r="G48" s="11"/>
      <c r="H48" s="11"/>
    </row>
    <row r="49" spans="1:9" x14ac:dyDescent="0.3">
      <c r="A49" s="2"/>
      <c r="B49" s="2"/>
      <c r="C49" s="2"/>
      <c r="D49" s="2"/>
      <c r="E49" s="2"/>
      <c r="F49" s="2" t="s">
        <v>43</v>
      </c>
      <c r="G49" s="15">
        <v>91</v>
      </c>
      <c r="H49" s="11"/>
      <c r="I49" s="58"/>
    </row>
    <row r="50" spans="1:9" x14ac:dyDescent="0.3">
      <c r="A50" s="2"/>
      <c r="B50" s="2"/>
      <c r="C50" s="2"/>
      <c r="D50" s="2"/>
      <c r="E50" s="2"/>
      <c r="F50" s="2" t="s">
        <v>50</v>
      </c>
      <c r="G50" s="15">
        <v>14</v>
      </c>
      <c r="H50" s="11"/>
      <c r="I50" s="58"/>
    </row>
    <row r="51" spans="1:9" ht="27" customHeight="1" x14ac:dyDescent="0.3">
      <c r="A51" s="2"/>
      <c r="B51" s="2"/>
      <c r="C51" s="2"/>
      <c r="D51" s="2"/>
      <c r="E51" s="2"/>
      <c r="F51" s="2"/>
      <c r="G51" s="15"/>
      <c r="H51" s="11"/>
      <c r="I51" s="58"/>
    </row>
    <row r="52" spans="1:9" x14ac:dyDescent="0.3">
      <c r="A52" s="2"/>
      <c r="B52" s="2"/>
      <c r="C52" s="2"/>
      <c r="D52" s="2"/>
      <c r="E52" s="2"/>
      <c r="F52" s="47" t="s">
        <v>55</v>
      </c>
      <c r="G52" s="40"/>
      <c r="H52" s="11"/>
      <c r="I52" s="58"/>
    </row>
    <row r="53" spans="1:9" x14ac:dyDescent="0.3">
      <c r="A53" s="2"/>
      <c r="B53" s="2"/>
      <c r="C53" s="2"/>
      <c r="D53" s="2"/>
      <c r="E53" s="2"/>
      <c r="F53" s="2" t="s">
        <v>44</v>
      </c>
      <c r="G53" s="12">
        <f>70*G49*12</f>
        <v>76440</v>
      </c>
      <c r="H53" s="11"/>
      <c r="I53" s="59" t="s">
        <v>51</v>
      </c>
    </row>
    <row r="54" spans="1:9" x14ac:dyDescent="0.3">
      <c r="A54" s="2"/>
      <c r="B54" s="2"/>
      <c r="C54" s="2"/>
      <c r="D54" s="2"/>
      <c r="E54" s="2"/>
      <c r="F54" s="2" t="s">
        <v>101</v>
      </c>
      <c r="G54" s="12">
        <f>28*G49*12</f>
        <v>30576</v>
      </c>
      <c r="H54" s="11"/>
      <c r="I54" s="59" t="s">
        <v>52</v>
      </c>
    </row>
    <row r="55" spans="1:9" x14ac:dyDescent="0.3">
      <c r="A55" s="2"/>
      <c r="B55" s="2"/>
      <c r="C55" s="2"/>
      <c r="D55" s="2"/>
      <c r="E55" s="2"/>
      <c r="F55" s="2" t="s">
        <v>102</v>
      </c>
      <c r="G55" s="12">
        <f>40*14*12</f>
        <v>6720</v>
      </c>
      <c r="H55" s="11"/>
      <c r="I55" s="59" t="s">
        <v>49</v>
      </c>
    </row>
    <row r="56" spans="1:9" x14ac:dyDescent="0.3">
      <c r="A56" s="2"/>
      <c r="B56" s="2"/>
      <c r="C56" s="2"/>
      <c r="D56" s="2"/>
      <c r="E56" s="2"/>
      <c r="F56" s="2" t="s">
        <v>46</v>
      </c>
      <c r="G56" s="12">
        <f>5*G49*12</f>
        <v>5460</v>
      </c>
      <c r="H56" s="11"/>
      <c r="I56" s="59" t="s">
        <v>47</v>
      </c>
    </row>
    <row r="57" spans="1:9" x14ac:dyDescent="0.3">
      <c r="A57" s="2"/>
      <c r="B57" s="2"/>
      <c r="C57" s="2"/>
      <c r="D57" s="2"/>
      <c r="E57" s="2"/>
      <c r="F57" s="2"/>
      <c r="G57" s="12"/>
      <c r="H57" s="11"/>
      <c r="I57" s="59"/>
    </row>
    <row r="58" spans="1:9" ht="15" thickBot="1" x14ac:dyDescent="0.35">
      <c r="A58" s="2"/>
      <c r="B58" s="2"/>
      <c r="C58" s="2"/>
      <c r="D58" s="2"/>
      <c r="E58" s="2"/>
      <c r="F58" s="2"/>
      <c r="G58" s="12"/>
      <c r="H58" s="11"/>
      <c r="I58" s="58"/>
    </row>
    <row r="59" spans="1:9" x14ac:dyDescent="0.3">
      <c r="A59" s="2"/>
      <c r="B59" s="2"/>
      <c r="C59" s="2"/>
      <c r="D59" s="2"/>
      <c r="E59" s="2"/>
      <c r="F59" s="48" t="s">
        <v>53</v>
      </c>
      <c r="G59" s="49">
        <f>70+28+5</f>
        <v>103</v>
      </c>
      <c r="H59" s="17"/>
      <c r="I59" s="60" t="s">
        <v>58</v>
      </c>
    </row>
    <row r="60" spans="1:9" ht="15" thickBot="1" x14ac:dyDescent="0.35">
      <c r="A60" s="2"/>
      <c r="B60" s="2"/>
      <c r="C60" s="2"/>
      <c r="D60" s="2"/>
      <c r="E60" s="2"/>
      <c r="F60" s="50" t="s">
        <v>54</v>
      </c>
      <c r="G60" s="51">
        <v>40</v>
      </c>
      <c r="H60" s="17"/>
      <c r="I60" s="60"/>
    </row>
    <row r="61" spans="1:9" x14ac:dyDescent="0.3">
      <c r="A61" s="2"/>
      <c r="B61" s="2"/>
      <c r="C61" s="2"/>
      <c r="D61" s="2"/>
      <c r="E61" s="2"/>
      <c r="F61" s="2"/>
      <c r="G61" s="12"/>
      <c r="H61" s="11"/>
      <c r="I61" s="58"/>
    </row>
    <row r="62" spans="1:9" x14ac:dyDescent="0.3">
      <c r="A62" s="2"/>
      <c r="B62" s="2"/>
      <c r="C62" s="2"/>
      <c r="D62" s="2"/>
      <c r="E62" s="2"/>
      <c r="F62" s="2" t="s">
        <v>41</v>
      </c>
      <c r="G62" s="12">
        <f>SUM(G54,G55)</f>
        <v>37296</v>
      </c>
      <c r="H62" s="11"/>
      <c r="I62" s="60" t="s">
        <v>59</v>
      </c>
    </row>
    <row r="63" spans="1:9" ht="24" customHeight="1" x14ac:dyDescent="0.3">
      <c r="F63" s="13"/>
      <c r="G63" s="12"/>
      <c r="I63" s="61"/>
    </row>
    <row r="64" spans="1:9" x14ac:dyDescent="0.3">
      <c r="F64" s="47" t="s">
        <v>56</v>
      </c>
      <c r="G64" s="40"/>
      <c r="H64" s="41"/>
      <c r="I64" s="62"/>
    </row>
    <row r="65" spans="6:10" x14ac:dyDescent="0.3">
      <c r="F65" s="2" t="s">
        <v>44</v>
      </c>
      <c r="G65" s="12">
        <f>58*G49*12</f>
        <v>63336</v>
      </c>
      <c r="H65" s="12">
        <f>58*C61*12</f>
        <v>0</v>
      </c>
      <c r="I65" s="59" t="s">
        <v>45</v>
      </c>
      <c r="J65" s="14"/>
    </row>
    <row r="66" spans="6:10" x14ac:dyDescent="0.3">
      <c r="F66" s="2" t="s">
        <v>101</v>
      </c>
      <c r="G66" s="12">
        <f>40*G49*12</f>
        <v>43680</v>
      </c>
      <c r="H66" s="12">
        <f>40*C61*12</f>
        <v>0</v>
      </c>
      <c r="I66" s="59" t="s">
        <v>48</v>
      </c>
    </row>
    <row r="67" spans="6:10" x14ac:dyDescent="0.3">
      <c r="F67" s="2" t="s">
        <v>102</v>
      </c>
      <c r="G67" s="12">
        <f>40*G50*12</f>
        <v>6720</v>
      </c>
      <c r="H67" s="12">
        <f>40*C62*12</f>
        <v>0</v>
      </c>
      <c r="I67" s="59" t="s">
        <v>49</v>
      </c>
    </row>
    <row r="68" spans="6:10" ht="15" thickBot="1" x14ac:dyDescent="0.35">
      <c r="F68" s="2" t="s">
        <v>46</v>
      </c>
      <c r="G68" s="12">
        <f>5*G49*12</f>
        <v>5460</v>
      </c>
      <c r="H68" s="12">
        <f>5*C61*12</f>
        <v>0</v>
      </c>
      <c r="I68" s="59" t="s">
        <v>47</v>
      </c>
    </row>
    <row r="69" spans="6:10" ht="15" thickBot="1" x14ac:dyDescent="0.35">
      <c r="F69" s="2" t="s">
        <v>57</v>
      </c>
      <c r="G69" s="12">
        <f>80*SUM(G49:G50)*12</f>
        <v>100800</v>
      </c>
      <c r="H69" s="12">
        <f>80*SUM(C61:C62)*12</f>
        <v>0</v>
      </c>
      <c r="I69" s="68" t="s">
        <v>103</v>
      </c>
    </row>
    <row r="70" spans="6:10" ht="15" thickBot="1" x14ac:dyDescent="0.35">
      <c r="F70" s="2"/>
      <c r="G70" s="12"/>
      <c r="H70" s="12"/>
      <c r="I70" s="58"/>
    </row>
    <row r="71" spans="6:10" x14ac:dyDescent="0.3">
      <c r="F71" s="48" t="s">
        <v>53</v>
      </c>
      <c r="G71" s="52">
        <f>58+40+80</f>
        <v>178</v>
      </c>
      <c r="H71" s="52">
        <f>58+40+80</f>
        <v>178</v>
      </c>
      <c r="I71" s="63" t="s">
        <v>58</v>
      </c>
    </row>
    <row r="72" spans="6:10" ht="15" thickBot="1" x14ac:dyDescent="0.35">
      <c r="F72" s="50" t="s">
        <v>54</v>
      </c>
      <c r="G72" s="53">
        <f>40+80</f>
        <v>120</v>
      </c>
      <c r="H72" s="53">
        <f>40+80</f>
        <v>120</v>
      </c>
      <c r="I72" s="64"/>
    </row>
    <row r="73" spans="6:10" x14ac:dyDescent="0.3">
      <c r="F73" s="2"/>
      <c r="G73" s="12"/>
      <c r="H73" s="11"/>
      <c r="I73" s="58"/>
    </row>
    <row r="74" spans="6:10" ht="15" thickBot="1" x14ac:dyDescent="0.35">
      <c r="F74" s="2" t="s">
        <v>41</v>
      </c>
      <c r="G74" s="14">
        <f>SUM(G66:G67)</f>
        <v>50400</v>
      </c>
      <c r="H74" s="12">
        <f>SUM(H66,H67)</f>
        <v>0</v>
      </c>
      <c r="I74" s="65" t="s">
        <v>59</v>
      </c>
    </row>
    <row r="75" spans="6:10" ht="15" thickBot="1" x14ac:dyDescent="0.35">
      <c r="F75" s="37" t="s">
        <v>60</v>
      </c>
      <c r="G75" s="39">
        <f>80*SUM(G49:G50)*12</f>
        <v>100800</v>
      </c>
      <c r="H75" s="39">
        <f>80*SUM(C61:C62)*12</f>
        <v>0</v>
      </c>
      <c r="I75" s="54" t="s">
        <v>104</v>
      </c>
    </row>
    <row r="76" spans="6:10" x14ac:dyDescent="0.3">
      <c r="F76"/>
    </row>
    <row r="77" spans="6:10" ht="15" thickBot="1" x14ac:dyDescent="0.35">
      <c r="F77" s="13" t="s">
        <v>87</v>
      </c>
      <c r="G77" t="s">
        <v>91</v>
      </c>
      <c r="H77" s="12">
        <f>ScheduledPayment</f>
        <v>8050.5201209471252</v>
      </c>
      <c r="I77" s="66">
        <f>H77/105</f>
        <v>76.671620199496431</v>
      </c>
    </row>
    <row r="78" spans="6:10" ht="15" thickBot="1" x14ac:dyDescent="0.35">
      <c r="F78" s="37" t="s">
        <v>88</v>
      </c>
      <c r="G78" s="38" t="s">
        <v>91</v>
      </c>
      <c r="H78" s="39">
        <f>'Loan Schedule 400'!ScheduledPayment</f>
        <v>8358.7693880762818</v>
      </c>
      <c r="I78" s="67">
        <f>H78/105</f>
        <v>79.607327505488399</v>
      </c>
    </row>
    <row r="79" spans="6:10" x14ac:dyDescent="0.3">
      <c r="F79" s="13" t="s">
        <v>89</v>
      </c>
      <c r="G79" t="s">
        <v>91</v>
      </c>
      <c r="H79" s="12">
        <f>'Loan Schedule 425'!ScheduledPayment</f>
        <v>8672.4039978858091</v>
      </c>
      <c r="I79" s="66">
        <f>H79/105</f>
        <v>82.594323789388653</v>
      </c>
    </row>
    <row r="80" spans="6:10" x14ac:dyDescent="0.3">
      <c r="F80" s="13" t="s">
        <v>90</v>
      </c>
      <c r="G80" t="s">
        <v>91</v>
      </c>
      <c r="H80" s="12">
        <f>'Loan Schedule 450'!ScheduledPayment</f>
        <v>8991.2567468977813</v>
      </c>
      <c r="I80" s="66">
        <f>H80/105</f>
        <v>85.631016637121732</v>
      </c>
    </row>
  </sheetData>
  <mergeCells count="1">
    <mergeCell ref="G2:I2"/>
  </mergeCells>
  <pageMargins left="0.25" right="0.25" top="0.75" bottom="0.75" header="0.3" footer="0.3"/>
  <pageSetup scale="90" fitToHeight="2" orientation="portrait" horizontalDpi="4294967293" verticalDpi="1200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B2E17-C074-4057-9BAD-15A3A92BFB0E}">
  <sheetPr>
    <tabColor theme="4"/>
    <pageSetUpPr autoPageBreaks="0" fitToPage="1"/>
  </sheetPr>
  <dimension ref="B1:K371"/>
  <sheetViews>
    <sheetView showGridLines="0" zoomScaleNormal="100" workbookViewId="0">
      <pane ySplit="11" topLeftCell="A21" activePane="bottomLeft" state="frozen"/>
      <selection pane="bottomLeft" activeCell="E8" sqref="E8"/>
    </sheetView>
  </sheetViews>
  <sheetFormatPr defaultColWidth="8.88671875" defaultRowHeight="14.4" x14ac:dyDescent="0.3"/>
  <cols>
    <col min="1" max="1" width="2.88671875" style="18" customWidth="1"/>
    <col min="2" max="2" width="7.6640625" style="18" customWidth="1"/>
    <col min="3" max="3" width="16.6640625" style="18" customWidth="1"/>
    <col min="4" max="4" width="18.5546875" style="18" customWidth="1"/>
    <col min="5" max="10" width="17.33203125" style="18" customWidth="1"/>
    <col min="11" max="11" width="19.5546875" style="18" customWidth="1"/>
    <col min="12" max="16384" width="8.88671875" style="18"/>
  </cols>
  <sheetData>
    <row r="1" spans="2:11" ht="30" customHeight="1" thickBot="1" x14ac:dyDescent="0.35">
      <c r="B1" s="35" t="s">
        <v>85</v>
      </c>
      <c r="C1" s="35"/>
      <c r="D1" s="35"/>
      <c r="E1" s="35"/>
      <c r="F1" s="35"/>
      <c r="G1" s="35"/>
      <c r="H1" s="35"/>
      <c r="I1" s="35"/>
      <c r="J1" s="35"/>
      <c r="K1" s="35"/>
    </row>
    <row r="2" spans="2:11" ht="20.100000000000001" customHeight="1" thickTop="1" thickBot="1" x14ac:dyDescent="0.35">
      <c r="C2" s="34" t="s">
        <v>84</v>
      </c>
      <c r="D2" s="34"/>
      <c r="E2" s="34"/>
      <c r="G2" s="34" t="s">
        <v>83</v>
      </c>
      <c r="H2" s="34"/>
      <c r="I2" s="34"/>
    </row>
    <row r="3" spans="2:11" ht="14.25" customHeight="1" x14ac:dyDescent="0.3">
      <c r="C3" s="71" t="s">
        <v>82</v>
      </c>
      <c r="D3" s="71"/>
      <c r="E3" s="33">
        <v>2000000</v>
      </c>
      <c r="G3" s="71" t="s">
        <v>81</v>
      </c>
      <c r="H3" s="71"/>
      <c r="I3" s="32">
        <f>IF(LoanIsGood,-PMT(InterestRate/PaymentsPerYear,ScheduledNumberOfPayments,LoanAmount),"")</f>
        <v>8050.5201209471252</v>
      </c>
    </row>
    <row r="4" spans="2:11" x14ac:dyDescent="0.3">
      <c r="C4" s="70" t="s">
        <v>80</v>
      </c>
      <c r="D4" s="70"/>
      <c r="E4" s="31">
        <v>3.7499999999999999E-2</v>
      </c>
      <c r="G4" s="70" t="s">
        <v>79</v>
      </c>
      <c r="H4" s="70"/>
      <c r="I4" s="29">
        <f>IF(LoanIsGood,LoanPeriod*PaymentsPerYear,"")</f>
        <v>480</v>
      </c>
    </row>
    <row r="5" spans="2:11" x14ac:dyDescent="0.3">
      <c r="C5" s="70" t="s">
        <v>78</v>
      </c>
      <c r="D5" s="70"/>
      <c r="E5" s="30">
        <v>40</v>
      </c>
      <c r="G5" s="70" t="s">
        <v>77</v>
      </c>
      <c r="H5" s="70"/>
      <c r="I5" s="29">
        <f>ActualNumberOfPayments</f>
        <v>361</v>
      </c>
    </row>
    <row r="6" spans="2:11" x14ac:dyDescent="0.3">
      <c r="C6" s="70" t="s">
        <v>76</v>
      </c>
      <c r="D6" s="70"/>
      <c r="E6" s="28">
        <v>12</v>
      </c>
      <c r="G6" s="70" t="s">
        <v>75</v>
      </c>
      <c r="H6" s="70"/>
      <c r="I6" s="26">
        <f>TotalEarlyPayments</f>
        <v>0</v>
      </c>
    </row>
    <row r="7" spans="2:11" x14ac:dyDescent="0.3">
      <c r="C7" s="70" t="s">
        <v>74</v>
      </c>
      <c r="D7" s="70"/>
      <c r="E7" s="27">
        <v>43647</v>
      </c>
      <c r="G7" s="70" t="s">
        <v>73</v>
      </c>
      <c r="H7" s="70"/>
      <c r="I7" s="26">
        <f>TotalInterest</f>
        <v>1702746.5178144516</v>
      </c>
    </row>
    <row r="9" spans="2:11" x14ac:dyDescent="0.3">
      <c r="C9" s="70" t="s">
        <v>72</v>
      </c>
      <c r="D9" s="70"/>
      <c r="E9" s="25"/>
      <c r="G9" s="24" t="s">
        <v>71</v>
      </c>
      <c r="H9" s="72" t="s">
        <v>86</v>
      </c>
      <c r="I9" s="72"/>
    </row>
    <row r="11" spans="2:11" ht="35.1" customHeight="1" x14ac:dyDescent="0.3">
      <c r="B11" s="23" t="s">
        <v>70</v>
      </c>
      <c r="C11" s="23" t="s">
        <v>69</v>
      </c>
      <c r="D11" s="22" t="s">
        <v>68</v>
      </c>
      <c r="E11" s="22" t="s">
        <v>67</v>
      </c>
      <c r="F11" s="22" t="s">
        <v>66</v>
      </c>
      <c r="G11" s="22" t="s">
        <v>65</v>
      </c>
      <c r="H11" s="22" t="s">
        <v>64</v>
      </c>
      <c r="I11" s="22" t="s">
        <v>63</v>
      </c>
      <c r="J11" s="22" t="s">
        <v>62</v>
      </c>
      <c r="K11" s="22" t="s">
        <v>61</v>
      </c>
    </row>
    <row r="12" spans="2:11" x14ac:dyDescent="0.3">
      <c r="B12" s="21">
        <f>IF(LoanIsGood,IF(ROW()-ROW(PaymentSchedule[[#Headers],[PMT NO]])&gt;ScheduledNumberOfPayments,"",ROW()-ROW(PaymentSchedule[[#Headers],[PMT NO]])),"")</f>
        <v>1</v>
      </c>
      <c r="C12" s="20">
        <f>IF(PaymentSchedule[[#This Row],[PMT NO]]&lt;&gt;"",EOMONTH(LoanStartDate,ROW(PaymentSchedule[[#This Row],[PMT NO]])-ROW(PaymentSchedule[[#Headers],[PMT NO]])-2)+DAY(LoanStartDate),"")</f>
        <v>43647</v>
      </c>
      <c r="D12" s="19">
        <f>IF(PaymentSchedule[[#This Row],[PMT NO]]&lt;&gt;"",IF(ROW()-ROW(PaymentSchedule[[#Headers],[BEGINNING BALANCE]])=1,LoanAmount,INDEX(PaymentSchedule[ENDING BALANCE],ROW()-ROW(PaymentSchedule[[#Headers],[BEGINNING BALANCE]])-1)),"")</f>
        <v>2000000</v>
      </c>
      <c r="E12" s="19">
        <f>IF(PaymentSchedule[[#This Row],[PMT NO]]&lt;&gt;"",ScheduledPayment,"")</f>
        <v>8050.5201209471252</v>
      </c>
      <c r="F1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2" s="19">
        <f>IF(PaymentSchedule[[#This Row],[PMT NO]]&lt;&gt;"",PaymentSchedule[[#This Row],[TOTAL PAYMENT]]-PaymentSchedule[[#This Row],[INTEREST]],"")</f>
        <v>1800.5201209471261</v>
      </c>
      <c r="I12" s="19">
        <f>IF(PaymentSchedule[[#This Row],[PMT NO]]&lt;&gt;"",PaymentSchedule[[#This Row],[BEGINNING BALANCE]]*(InterestRate/PaymentsPerYear),"")</f>
        <v>6249.9999999999991</v>
      </c>
      <c r="J1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1998199.4798790528</v>
      </c>
      <c r="K12" s="19">
        <f>IF(PaymentSchedule[[#This Row],[PMT NO]]&lt;&gt;"",SUM(INDEX(PaymentSchedule[INTEREST],1,1):PaymentSchedule[[#This Row],[INTEREST]]),"")</f>
        <v>6249.9999999999991</v>
      </c>
    </row>
    <row r="13" spans="2:11" x14ac:dyDescent="0.3">
      <c r="B13" s="21">
        <f>IF(LoanIsGood,IF(ROW()-ROW(PaymentSchedule[[#Headers],[PMT NO]])&gt;ScheduledNumberOfPayments,"",ROW()-ROW(PaymentSchedule[[#Headers],[PMT NO]])),"")</f>
        <v>2</v>
      </c>
      <c r="C13" s="20">
        <f>IF(PaymentSchedule[[#This Row],[PMT NO]]&lt;&gt;"",EOMONTH(LoanStartDate,ROW(PaymentSchedule[[#This Row],[PMT NO]])-ROW(PaymentSchedule[[#Headers],[PMT NO]])-2)+DAY(LoanStartDate),"")</f>
        <v>43678</v>
      </c>
      <c r="D13" s="19">
        <f>IF(PaymentSchedule[[#This Row],[PMT NO]]&lt;&gt;"",IF(ROW()-ROW(PaymentSchedule[[#Headers],[BEGINNING BALANCE]])=1,LoanAmount,INDEX(PaymentSchedule[ENDING BALANCE],ROW()-ROW(PaymentSchedule[[#Headers],[BEGINNING BALANCE]])-1)),"")</f>
        <v>1998199.4798790528</v>
      </c>
      <c r="E13" s="19">
        <f>IF(PaymentSchedule[[#This Row],[PMT NO]]&lt;&gt;"",ScheduledPayment,"")</f>
        <v>8050.5201209471252</v>
      </c>
      <c r="F1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3" s="19">
        <f>IF(PaymentSchedule[[#This Row],[PMT NO]]&lt;&gt;"",PaymentSchedule[[#This Row],[TOTAL PAYMENT]]-PaymentSchedule[[#This Row],[INTEREST]],"")</f>
        <v>1806.1467463250856</v>
      </c>
      <c r="I13" s="19">
        <f>IF(PaymentSchedule[[#This Row],[PMT NO]]&lt;&gt;"",PaymentSchedule[[#This Row],[BEGINNING BALANCE]]*(InterestRate/PaymentsPerYear),"")</f>
        <v>6244.3733746220396</v>
      </c>
      <c r="J1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1996393.3331327278</v>
      </c>
      <c r="K13" s="19">
        <f>IF(PaymentSchedule[[#This Row],[PMT NO]]&lt;&gt;"",SUM(INDEX(PaymentSchedule[INTEREST],1,1):PaymentSchedule[[#This Row],[INTEREST]]),"")</f>
        <v>12494.373374622039</v>
      </c>
    </row>
    <row r="14" spans="2:11" x14ac:dyDescent="0.3">
      <c r="B14" s="21">
        <f>IF(LoanIsGood,IF(ROW()-ROW(PaymentSchedule[[#Headers],[PMT NO]])&gt;ScheduledNumberOfPayments,"",ROW()-ROW(PaymentSchedule[[#Headers],[PMT NO]])),"")</f>
        <v>3</v>
      </c>
      <c r="C14" s="20">
        <f>IF(PaymentSchedule[[#This Row],[PMT NO]]&lt;&gt;"",EOMONTH(LoanStartDate,ROW(PaymentSchedule[[#This Row],[PMT NO]])-ROW(PaymentSchedule[[#Headers],[PMT NO]])-2)+DAY(LoanStartDate),"")</f>
        <v>43709</v>
      </c>
      <c r="D14" s="19">
        <f>IF(PaymentSchedule[[#This Row],[PMT NO]]&lt;&gt;"",IF(ROW()-ROW(PaymentSchedule[[#Headers],[BEGINNING BALANCE]])=1,LoanAmount,INDEX(PaymentSchedule[ENDING BALANCE],ROW()-ROW(PaymentSchedule[[#Headers],[BEGINNING BALANCE]])-1)),"")</f>
        <v>1996393.3331327278</v>
      </c>
      <c r="E14" s="19">
        <f>IF(PaymentSchedule[[#This Row],[PMT NO]]&lt;&gt;"",ScheduledPayment,"")</f>
        <v>8050.5201209471252</v>
      </c>
      <c r="F1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4" s="19">
        <f>IF(PaymentSchedule[[#This Row],[PMT NO]]&lt;&gt;"",PaymentSchedule[[#This Row],[TOTAL PAYMENT]]-PaymentSchedule[[#This Row],[INTEREST]],"")</f>
        <v>1811.7909549073511</v>
      </c>
      <c r="I14" s="19">
        <f>IF(PaymentSchedule[[#This Row],[PMT NO]]&lt;&gt;"",PaymentSchedule[[#This Row],[BEGINNING BALANCE]]*(InterestRate/PaymentsPerYear),"")</f>
        <v>6238.7291660397741</v>
      </c>
      <c r="J1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1994581.5421778203</v>
      </c>
      <c r="K14" s="19">
        <f>IF(PaymentSchedule[[#This Row],[PMT NO]]&lt;&gt;"",SUM(INDEX(PaymentSchedule[INTEREST],1,1):PaymentSchedule[[#This Row],[INTEREST]]),"")</f>
        <v>18733.102540661814</v>
      </c>
    </row>
    <row r="15" spans="2:11" x14ac:dyDescent="0.3">
      <c r="B15" s="21">
        <f>IF(LoanIsGood,IF(ROW()-ROW(PaymentSchedule[[#Headers],[PMT NO]])&gt;ScheduledNumberOfPayments,"",ROW()-ROW(PaymentSchedule[[#Headers],[PMT NO]])),"")</f>
        <v>4</v>
      </c>
      <c r="C15" s="20">
        <f>IF(PaymentSchedule[[#This Row],[PMT NO]]&lt;&gt;"",EOMONTH(LoanStartDate,ROW(PaymentSchedule[[#This Row],[PMT NO]])-ROW(PaymentSchedule[[#Headers],[PMT NO]])-2)+DAY(LoanStartDate),"")</f>
        <v>43739</v>
      </c>
      <c r="D15" s="19">
        <f>IF(PaymentSchedule[[#This Row],[PMT NO]]&lt;&gt;"",IF(ROW()-ROW(PaymentSchedule[[#Headers],[BEGINNING BALANCE]])=1,LoanAmount,INDEX(PaymentSchedule[ENDING BALANCE],ROW()-ROW(PaymentSchedule[[#Headers],[BEGINNING BALANCE]])-1)),"")</f>
        <v>1994581.5421778203</v>
      </c>
      <c r="E15" s="19">
        <f>IF(PaymentSchedule[[#This Row],[PMT NO]]&lt;&gt;"",ScheduledPayment,"")</f>
        <v>8050.5201209471252</v>
      </c>
      <c r="F1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5" s="19">
        <f>IF(PaymentSchedule[[#This Row],[PMT NO]]&lt;&gt;"",PaymentSchedule[[#This Row],[TOTAL PAYMENT]]-PaymentSchedule[[#This Row],[INTEREST]],"")</f>
        <v>1817.452801641437</v>
      </c>
      <c r="I15" s="19">
        <f>IF(PaymentSchedule[[#This Row],[PMT NO]]&lt;&gt;"",PaymentSchedule[[#This Row],[BEGINNING BALANCE]]*(InterestRate/PaymentsPerYear),"")</f>
        <v>6233.0673193056882</v>
      </c>
      <c r="J1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1992764.0893761788</v>
      </c>
      <c r="K15" s="19">
        <f>IF(PaymentSchedule[[#This Row],[PMT NO]]&lt;&gt;"",SUM(INDEX(PaymentSchedule[INTEREST],1,1):PaymentSchedule[[#This Row],[INTEREST]]),"")</f>
        <v>24966.1698599675</v>
      </c>
    </row>
    <row r="16" spans="2:11" x14ac:dyDescent="0.3">
      <c r="B16" s="21">
        <f>IF(LoanIsGood,IF(ROW()-ROW(PaymentSchedule[[#Headers],[PMT NO]])&gt;ScheduledNumberOfPayments,"",ROW()-ROW(PaymentSchedule[[#Headers],[PMT NO]])),"")</f>
        <v>5</v>
      </c>
      <c r="C16" s="20">
        <f>IF(PaymentSchedule[[#This Row],[PMT NO]]&lt;&gt;"",EOMONTH(LoanStartDate,ROW(PaymentSchedule[[#This Row],[PMT NO]])-ROW(PaymentSchedule[[#Headers],[PMT NO]])-2)+DAY(LoanStartDate),"")</f>
        <v>43770</v>
      </c>
      <c r="D16" s="19">
        <f>IF(PaymentSchedule[[#This Row],[PMT NO]]&lt;&gt;"",IF(ROW()-ROW(PaymentSchedule[[#Headers],[BEGINNING BALANCE]])=1,LoanAmount,INDEX(PaymentSchedule[ENDING BALANCE],ROW()-ROW(PaymentSchedule[[#Headers],[BEGINNING BALANCE]])-1)),"")</f>
        <v>1992764.0893761788</v>
      </c>
      <c r="E16" s="19">
        <f>IF(PaymentSchedule[[#This Row],[PMT NO]]&lt;&gt;"",ScheduledPayment,"")</f>
        <v>8050.5201209471252</v>
      </c>
      <c r="F1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6" s="19">
        <f>IF(PaymentSchedule[[#This Row],[PMT NO]]&lt;&gt;"",PaymentSchedule[[#This Row],[TOTAL PAYMENT]]-PaymentSchedule[[#This Row],[INTEREST]],"")</f>
        <v>1823.1323416465666</v>
      </c>
      <c r="I16" s="19">
        <f>IF(PaymentSchedule[[#This Row],[PMT NO]]&lt;&gt;"",PaymentSchedule[[#This Row],[BEGINNING BALANCE]]*(InterestRate/PaymentsPerYear),"")</f>
        <v>6227.3877793005586</v>
      </c>
      <c r="J1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1990940.9570345322</v>
      </c>
      <c r="K16" s="19">
        <f>IF(PaymentSchedule[[#This Row],[PMT NO]]&lt;&gt;"",SUM(INDEX(PaymentSchedule[INTEREST],1,1):PaymentSchedule[[#This Row],[INTEREST]]),"")</f>
        <v>31193.55763926806</v>
      </c>
    </row>
    <row r="17" spans="2:11" x14ac:dyDescent="0.3">
      <c r="B17" s="21">
        <f>IF(LoanIsGood,IF(ROW()-ROW(PaymentSchedule[[#Headers],[PMT NO]])&gt;ScheduledNumberOfPayments,"",ROW()-ROW(PaymentSchedule[[#Headers],[PMT NO]])),"")</f>
        <v>6</v>
      </c>
      <c r="C17" s="20">
        <f>IF(PaymentSchedule[[#This Row],[PMT NO]]&lt;&gt;"",EOMONTH(LoanStartDate,ROW(PaymentSchedule[[#This Row],[PMT NO]])-ROW(PaymentSchedule[[#Headers],[PMT NO]])-2)+DAY(LoanStartDate),"")</f>
        <v>43800</v>
      </c>
      <c r="D17" s="19">
        <f>IF(PaymentSchedule[[#This Row],[PMT NO]]&lt;&gt;"",IF(ROW()-ROW(PaymentSchedule[[#Headers],[BEGINNING BALANCE]])=1,LoanAmount,INDEX(PaymentSchedule[ENDING BALANCE],ROW()-ROW(PaymentSchedule[[#Headers],[BEGINNING BALANCE]])-1)),"")</f>
        <v>1990940.9570345322</v>
      </c>
      <c r="E17" s="19">
        <f>IF(PaymentSchedule[[#This Row],[PMT NO]]&lt;&gt;"",ScheduledPayment,"")</f>
        <v>8050.5201209471252</v>
      </c>
      <c r="F1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7" s="19">
        <f>IF(PaymentSchedule[[#This Row],[PMT NO]]&lt;&gt;"",PaymentSchedule[[#This Row],[TOTAL PAYMENT]]-PaymentSchedule[[#This Row],[INTEREST]],"")</f>
        <v>1828.8296302142126</v>
      </c>
      <c r="I17" s="19">
        <f>IF(PaymentSchedule[[#This Row],[PMT NO]]&lt;&gt;"",PaymentSchedule[[#This Row],[BEGINNING BALANCE]]*(InterestRate/PaymentsPerYear),"")</f>
        <v>6221.6904907329126</v>
      </c>
      <c r="J1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1989112.127404318</v>
      </c>
      <c r="K17" s="19">
        <f>IF(PaymentSchedule[[#This Row],[PMT NO]]&lt;&gt;"",SUM(INDEX(PaymentSchedule[INTEREST],1,1):PaymentSchedule[[#This Row],[INTEREST]]),"")</f>
        <v>37415.248130000975</v>
      </c>
    </row>
    <row r="18" spans="2:11" x14ac:dyDescent="0.3">
      <c r="B18" s="21">
        <f>IF(LoanIsGood,IF(ROW()-ROW(PaymentSchedule[[#Headers],[PMT NO]])&gt;ScheduledNumberOfPayments,"",ROW()-ROW(PaymentSchedule[[#Headers],[PMT NO]])),"")</f>
        <v>7</v>
      </c>
      <c r="C18" s="20">
        <f>IF(PaymentSchedule[[#This Row],[PMT NO]]&lt;&gt;"",EOMONTH(LoanStartDate,ROW(PaymentSchedule[[#This Row],[PMT NO]])-ROW(PaymentSchedule[[#Headers],[PMT NO]])-2)+DAY(LoanStartDate),"")</f>
        <v>43831</v>
      </c>
      <c r="D18" s="19">
        <f>IF(PaymentSchedule[[#This Row],[PMT NO]]&lt;&gt;"",IF(ROW()-ROW(PaymentSchedule[[#Headers],[BEGINNING BALANCE]])=1,LoanAmount,INDEX(PaymentSchedule[ENDING BALANCE],ROW()-ROW(PaymentSchedule[[#Headers],[BEGINNING BALANCE]])-1)),"")</f>
        <v>1989112.127404318</v>
      </c>
      <c r="E18" s="19">
        <f>IF(PaymentSchedule[[#This Row],[PMT NO]]&lt;&gt;"",ScheduledPayment,"")</f>
        <v>8050.5201209471252</v>
      </c>
      <c r="F1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8" s="19">
        <f>IF(PaymentSchedule[[#This Row],[PMT NO]]&lt;&gt;"",PaymentSchedule[[#This Row],[TOTAL PAYMENT]]-PaymentSchedule[[#This Row],[INTEREST]],"")</f>
        <v>1834.5447228086323</v>
      </c>
      <c r="I18" s="19">
        <f>IF(PaymentSchedule[[#This Row],[PMT NO]]&lt;&gt;"",PaymentSchedule[[#This Row],[BEGINNING BALANCE]]*(InterestRate/PaymentsPerYear),"")</f>
        <v>6215.9753981384929</v>
      </c>
      <c r="J1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1987277.5826815094</v>
      </c>
      <c r="K18" s="19">
        <f>IF(PaymentSchedule[[#This Row],[PMT NO]]&lt;&gt;"",SUM(INDEX(PaymentSchedule[INTEREST],1,1):PaymentSchedule[[#This Row],[INTEREST]]),"")</f>
        <v>43631.223528139468</v>
      </c>
    </row>
    <row r="19" spans="2:11" x14ac:dyDescent="0.3">
      <c r="B19" s="21">
        <f>IF(LoanIsGood,IF(ROW()-ROW(PaymentSchedule[[#Headers],[PMT NO]])&gt;ScheduledNumberOfPayments,"",ROW()-ROW(PaymentSchedule[[#Headers],[PMT NO]])),"")</f>
        <v>8</v>
      </c>
      <c r="C19" s="20">
        <f>IF(PaymentSchedule[[#This Row],[PMT NO]]&lt;&gt;"",EOMONTH(LoanStartDate,ROW(PaymentSchedule[[#This Row],[PMT NO]])-ROW(PaymentSchedule[[#Headers],[PMT NO]])-2)+DAY(LoanStartDate),"")</f>
        <v>43862</v>
      </c>
      <c r="D19" s="19">
        <f>IF(PaymentSchedule[[#This Row],[PMT NO]]&lt;&gt;"",IF(ROW()-ROW(PaymentSchedule[[#Headers],[BEGINNING BALANCE]])=1,LoanAmount,INDEX(PaymentSchedule[ENDING BALANCE],ROW()-ROW(PaymentSchedule[[#Headers],[BEGINNING BALANCE]])-1)),"")</f>
        <v>1987277.5826815094</v>
      </c>
      <c r="E19" s="19">
        <f>IF(PaymentSchedule[[#This Row],[PMT NO]]&lt;&gt;"",ScheduledPayment,"")</f>
        <v>8050.5201209471252</v>
      </c>
      <c r="F1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9" s="19">
        <f>IF(PaymentSchedule[[#This Row],[PMT NO]]&lt;&gt;"",PaymentSchedule[[#This Row],[TOTAL PAYMENT]]-PaymentSchedule[[#This Row],[INTEREST]],"")</f>
        <v>1840.2776750674084</v>
      </c>
      <c r="I19" s="19">
        <f>IF(PaymentSchedule[[#This Row],[PMT NO]]&lt;&gt;"",PaymentSchedule[[#This Row],[BEGINNING BALANCE]]*(InterestRate/PaymentsPerYear),"")</f>
        <v>6210.2424458797168</v>
      </c>
      <c r="J1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1985437.3050064421</v>
      </c>
      <c r="K19" s="19">
        <f>IF(PaymentSchedule[[#This Row],[PMT NO]]&lt;&gt;"",SUM(INDEX(PaymentSchedule[INTEREST],1,1):PaymentSchedule[[#This Row],[INTEREST]]),"")</f>
        <v>49841.465974019186</v>
      </c>
    </row>
    <row r="20" spans="2:11" x14ac:dyDescent="0.3">
      <c r="B20" s="21">
        <f>IF(LoanIsGood,IF(ROW()-ROW(PaymentSchedule[[#Headers],[PMT NO]])&gt;ScheduledNumberOfPayments,"",ROW()-ROW(PaymentSchedule[[#Headers],[PMT NO]])),"")</f>
        <v>9</v>
      </c>
      <c r="C20" s="20">
        <f>IF(PaymentSchedule[[#This Row],[PMT NO]]&lt;&gt;"",EOMONTH(LoanStartDate,ROW(PaymentSchedule[[#This Row],[PMT NO]])-ROW(PaymentSchedule[[#Headers],[PMT NO]])-2)+DAY(LoanStartDate),"")</f>
        <v>43891</v>
      </c>
      <c r="D20" s="19">
        <f>IF(PaymentSchedule[[#This Row],[PMT NO]]&lt;&gt;"",IF(ROW()-ROW(PaymentSchedule[[#Headers],[BEGINNING BALANCE]])=1,LoanAmount,INDEX(PaymentSchedule[ENDING BALANCE],ROW()-ROW(PaymentSchedule[[#Headers],[BEGINNING BALANCE]])-1)),"")</f>
        <v>1985437.3050064421</v>
      </c>
      <c r="E20" s="19">
        <f>IF(PaymentSchedule[[#This Row],[PMT NO]]&lt;&gt;"",ScheduledPayment,"")</f>
        <v>8050.5201209471252</v>
      </c>
      <c r="F2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0" s="19">
        <f>IF(PaymentSchedule[[#This Row],[PMT NO]]&lt;&gt;"",PaymentSchedule[[#This Row],[TOTAL PAYMENT]]-PaymentSchedule[[#This Row],[INTEREST]],"")</f>
        <v>1846.0285428019943</v>
      </c>
      <c r="I20" s="19">
        <f>IF(PaymentSchedule[[#This Row],[PMT NO]]&lt;&gt;"",PaymentSchedule[[#This Row],[BEGINNING BALANCE]]*(InterestRate/PaymentsPerYear),"")</f>
        <v>6204.4915781451309</v>
      </c>
      <c r="J2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1983591.2764636402</v>
      </c>
      <c r="K20" s="19">
        <f>IF(PaymentSchedule[[#This Row],[PMT NO]]&lt;&gt;"",SUM(INDEX(PaymentSchedule[INTEREST],1,1):PaymentSchedule[[#This Row],[INTEREST]]),"")</f>
        <v>56045.957552164313</v>
      </c>
    </row>
    <row r="21" spans="2:11" x14ac:dyDescent="0.3">
      <c r="B21" s="21">
        <f>IF(LoanIsGood,IF(ROW()-ROW(PaymentSchedule[[#Headers],[PMT NO]])&gt;ScheduledNumberOfPayments,"",ROW()-ROW(PaymentSchedule[[#Headers],[PMT NO]])),"")</f>
        <v>10</v>
      </c>
      <c r="C21" s="20">
        <f>IF(PaymentSchedule[[#This Row],[PMT NO]]&lt;&gt;"",EOMONTH(LoanStartDate,ROW(PaymentSchedule[[#This Row],[PMT NO]])-ROW(PaymentSchedule[[#Headers],[PMT NO]])-2)+DAY(LoanStartDate),"")</f>
        <v>43922</v>
      </c>
      <c r="D21" s="19">
        <f>IF(PaymentSchedule[[#This Row],[PMT NO]]&lt;&gt;"",IF(ROW()-ROW(PaymentSchedule[[#Headers],[BEGINNING BALANCE]])=1,LoanAmount,INDEX(PaymentSchedule[ENDING BALANCE],ROW()-ROW(PaymentSchedule[[#Headers],[BEGINNING BALANCE]])-1)),"")</f>
        <v>1983591.2764636402</v>
      </c>
      <c r="E21" s="19">
        <f>IF(PaymentSchedule[[#This Row],[PMT NO]]&lt;&gt;"",ScheduledPayment,"")</f>
        <v>8050.5201209471252</v>
      </c>
      <c r="F2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1" s="19">
        <f>IF(PaymentSchedule[[#This Row],[PMT NO]]&lt;&gt;"",PaymentSchedule[[#This Row],[TOTAL PAYMENT]]-PaymentSchedule[[#This Row],[INTEREST]],"")</f>
        <v>1851.7973819982499</v>
      </c>
      <c r="I21" s="19">
        <f>IF(PaymentSchedule[[#This Row],[PMT NO]]&lt;&gt;"",PaymentSchedule[[#This Row],[BEGINNING BALANCE]]*(InterestRate/PaymentsPerYear),"")</f>
        <v>6198.7227389488753</v>
      </c>
      <c r="J2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1981739.4790816419</v>
      </c>
      <c r="K21" s="19">
        <f>IF(PaymentSchedule[[#This Row],[PMT NO]]&lt;&gt;"",SUM(INDEX(PaymentSchedule[INTEREST],1,1):PaymentSchedule[[#This Row],[INTEREST]]),"")</f>
        <v>62244.680291113189</v>
      </c>
    </row>
    <row r="22" spans="2:11" x14ac:dyDescent="0.3">
      <c r="B22" s="21">
        <f>IF(LoanIsGood,IF(ROW()-ROW(PaymentSchedule[[#Headers],[PMT NO]])&gt;ScheduledNumberOfPayments,"",ROW()-ROW(PaymentSchedule[[#Headers],[PMT NO]])),"")</f>
        <v>11</v>
      </c>
      <c r="C22" s="20">
        <f>IF(PaymentSchedule[[#This Row],[PMT NO]]&lt;&gt;"",EOMONTH(LoanStartDate,ROW(PaymentSchedule[[#This Row],[PMT NO]])-ROW(PaymentSchedule[[#Headers],[PMT NO]])-2)+DAY(LoanStartDate),"")</f>
        <v>43952</v>
      </c>
      <c r="D22" s="19">
        <f>IF(PaymentSchedule[[#This Row],[PMT NO]]&lt;&gt;"",IF(ROW()-ROW(PaymentSchedule[[#Headers],[BEGINNING BALANCE]])=1,LoanAmount,INDEX(PaymentSchedule[ENDING BALANCE],ROW()-ROW(PaymentSchedule[[#Headers],[BEGINNING BALANCE]])-1)),"")</f>
        <v>1981739.4790816419</v>
      </c>
      <c r="E22" s="19">
        <f>IF(PaymentSchedule[[#This Row],[PMT NO]]&lt;&gt;"",ScheduledPayment,"")</f>
        <v>8050.5201209471252</v>
      </c>
      <c r="F2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2" s="19">
        <f>IF(PaymentSchedule[[#This Row],[PMT NO]]&lt;&gt;"",PaymentSchedule[[#This Row],[TOTAL PAYMENT]]-PaymentSchedule[[#This Row],[INTEREST]],"")</f>
        <v>1857.5842488169947</v>
      </c>
      <c r="I22" s="19">
        <f>IF(PaymentSchedule[[#This Row],[PMT NO]]&lt;&gt;"",PaymentSchedule[[#This Row],[BEGINNING BALANCE]]*(InterestRate/PaymentsPerYear),"")</f>
        <v>6192.9358721301305</v>
      </c>
      <c r="J2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1979881.8948328248</v>
      </c>
      <c r="K22" s="19">
        <f>IF(PaymentSchedule[[#This Row],[PMT NO]]&lt;&gt;"",SUM(INDEX(PaymentSchedule[INTEREST],1,1):PaymentSchedule[[#This Row],[INTEREST]]),"")</f>
        <v>68437.616163243321</v>
      </c>
    </row>
    <row r="23" spans="2:11" x14ac:dyDescent="0.3">
      <c r="B23" s="21">
        <f>IF(LoanIsGood,IF(ROW()-ROW(PaymentSchedule[[#Headers],[PMT NO]])&gt;ScheduledNumberOfPayments,"",ROW()-ROW(PaymentSchedule[[#Headers],[PMT NO]])),"")</f>
        <v>12</v>
      </c>
      <c r="C23" s="20">
        <f>IF(PaymentSchedule[[#This Row],[PMT NO]]&lt;&gt;"",EOMONTH(LoanStartDate,ROW(PaymentSchedule[[#This Row],[PMT NO]])-ROW(PaymentSchedule[[#Headers],[PMT NO]])-2)+DAY(LoanStartDate),"")</f>
        <v>43983</v>
      </c>
      <c r="D23" s="19">
        <f>IF(PaymentSchedule[[#This Row],[PMT NO]]&lt;&gt;"",IF(ROW()-ROW(PaymentSchedule[[#Headers],[BEGINNING BALANCE]])=1,LoanAmount,INDEX(PaymentSchedule[ENDING BALANCE],ROW()-ROW(PaymentSchedule[[#Headers],[BEGINNING BALANCE]])-1)),"")</f>
        <v>1979881.8948328248</v>
      </c>
      <c r="E23" s="19">
        <f>IF(PaymentSchedule[[#This Row],[PMT NO]]&lt;&gt;"",ScheduledPayment,"")</f>
        <v>8050.5201209471252</v>
      </c>
      <c r="F2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3" s="19">
        <f>IF(PaymentSchedule[[#This Row],[PMT NO]]&lt;&gt;"",PaymentSchedule[[#This Row],[TOTAL PAYMENT]]-PaymentSchedule[[#This Row],[INTEREST]],"")</f>
        <v>1863.3891995945478</v>
      </c>
      <c r="I23" s="19">
        <f>IF(PaymentSchedule[[#This Row],[PMT NO]]&lt;&gt;"",PaymentSchedule[[#This Row],[BEGINNING BALANCE]]*(InterestRate/PaymentsPerYear),"")</f>
        <v>6187.1309213525774</v>
      </c>
      <c r="J2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1978018.5056332303</v>
      </c>
      <c r="K23" s="19">
        <f>IF(PaymentSchedule[[#This Row],[PMT NO]]&lt;&gt;"",SUM(INDEX(PaymentSchedule[INTEREST],1,1):PaymentSchedule[[#This Row],[INTEREST]]),"")</f>
        <v>74624.747084595903</v>
      </c>
    </row>
    <row r="24" spans="2:11" x14ac:dyDescent="0.3">
      <c r="B24" s="21">
        <f>IF(LoanIsGood,IF(ROW()-ROW(PaymentSchedule[[#Headers],[PMT NO]])&gt;ScheduledNumberOfPayments,"",ROW()-ROW(PaymentSchedule[[#Headers],[PMT NO]])),"")</f>
        <v>13</v>
      </c>
      <c r="C24" s="20">
        <f>IF(PaymentSchedule[[#This Row],[PMT NO]]&lt;&gt;"",EOMONTH(LoanStartDate,ROW(PaymentSchedule[[#This Row],[PMT NO]])-ROW(PaymentSchedule[[#Headers],[PMT NO]])-2)+DAY(LoanStartDate),"")</f>
        <v>44013</v>
      </c>
      <c r="D24" s="19">
        <f>IF(PaymentSchedule[[#This Row],[PMT NO]]&lt;&gt;"",IF(ROW()-ROW(PaymentSchedule[[#Headers],[BEGINNING BALANCE]])=1,LoanAmount,INDEX(PaymentSchedule[ENDING BALANCE],ROW()-ROW(PaymentSchedule[[#Headers],[BEGINNING BALANCE]])-1)),"")</f>
        <v>1978018.5056332303</v>
      </c>
      <c r="E24" s="19">
        <f>IF(PaymentSchedule[[#This Row],[PMT NO]]&lt;&gt;"",ScheduledPayment,"")</f>
        <v>8050.5201209471252</v>
      </c>
      <c r="F2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4" s="19">
        <f>IF(PaymentSchedule[[#This Row],[PMT NO]]&lt;&gt;"",PaymentSchedule[[#This Row],[TOTAL PAYMENT]]-PaymentSchedule[[#This Row],[INTEREST]],"")</f>
        <v>1869.2122908432812</v>
      </c>
      <c r="I24" s="19">
        <f>IF(PaymentSchedule[[#This Row],[PMT NO]]&lt;&gt;"",PaymentSchedule[[#This Row],[BEGINNING BALANCE]]*(InterestRate/PaymentsPerYear),"")</f>
        <v>6181.307830103844</v>
      </c>
      <c r="J2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1976149.2933423871</v>
      </c>
      <c r="K24" s="19">
        <f>IF(PaymentSchedule[[#This Row],[PMT NO]]&lt;&gt;"",SUM(INDEX(PaymentSchedule[INTEREST],1,1):PaymentSchedule[[#This Row],[INTEREST]]),"")</f>
        <v>80806.054914699751</v>
      </c>
    </row>
    <row r="25" spans="2:11" x14ac:dyDescent="0.3">
      <c r="B25" s="21">
        <f>IF(LoanIsGood,IF(ROW()-ROW(PaymentSchedule[[#Headers],[PMT NO]])&gt;ScheduledNumberOfPayments,"",ROW()-ROW(PaymentSchedule[[#Headers],[PMT NO]])),"")</f>
        <v>14</v>
      </c>
      <c r="C25" s="20">
        <f>IF(PaymentSchedule[[#This Row],[PMT NO]]&lt;&gt;"",EOMONTH(LoanStartDate,ROW(PaymentSchedule[[#This Row],[PMT NO]])-ROW(PaymentSchedule[[#Headers],[PMT NO]])-2)+DAY(LoanStartDate),"")</f>
        <v>44044</v>
      </c>
      <c r="D25" s="19">
        <f>IF(PaymentSchedule[[#This Row],[PMT NO]]&lt;&gt;"",IF(ROW()-ROW(PaymentSchedule[[#Headers],[BEGINNING BALANCE]])=1,LoanAmount,INDEX(PaymentSchedule[ENDING BALANCE],ROW()-ROW(PaymentSchedule[[#Headers],[BEGINNING BALANCE]])-1)),"")</f>
        <v>1976149.2933423871</v>
      </c>
      <c r="E25" s="19">
        <f>IF(PaymentSchedule[[#This Row],[PMT NO]]&lt;&gt;"",ScheduledPayment,"")</f>
        <v>8050.5201209471252</v>
      </c>
      <c r="F2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5" s="19">
        <f>IF(PaymentSchedule[[#This Row],[PMT NO]]&lt;&gt;"",PaymentSchedule[[#This Row],[TOTAL PAYMENT]]-PaymentSchedule[[#This Row],[INTEREST]],"")</f>
        <v>1875.0535792521659</v>
      </c>
      <c r="I25" s="19">
        <f>IF(PaymentSchedule[[#This Row],[PMT NO]]&lt;&gt;"",PaymentSchedule[[#This Row],[BEGINNING BALANCE]]*(InterestRate/PaymentsPerYear),"")</f>
        <v>6175.4665416949592</v>
      </c>
      <c r="J2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1974274.2397631349</v>
      </c>
      <c r="K25" s="19">
        <f>IF(PaymentSchedule[[#This Row],[PMT NO]]&lt;&gt;"",SUM(INDEX(PaymentSchedule[INTEREST],1,1):PaymentSchedule[[#This Row],[INTEREST]]),"")</f>
        <v>86981.521456394708</v>
      </c>
    </row>
    <row r="26" spans="2:11" x14ac:dyDescent="0.3">
      <c r="B26" s="21">
        <f>IF(LoanIsGood,IF(ROW()-ROW(PaymentSchedule[[#Headers],[PMT NO]])&gt;ScheduledNumberOfPayments,"",ROW()-ROW(PaymentSchedule[[#Headers],[PMT NO]])),"")</f>
        <v>15</v>
      </c>
      <c r="C26" s="20">
        <f>IF(PaymentSchedule[[#This Row],[PMT NO]]&lt;&gt;"",EOMONTH(LoanStartDate,ROW(PaymentSchedule[[#This Row],[PMT NO]])-ROW(PaymentSchedule[[#Headers],[PMT NO]])-2)+DAY(LoanStartDate),"")</f>
        <v>44075</v>
      </c>
      <c r="D26" s="19">
        <f>IF(PaymentSchedule[[#This Row],[PMT NO]]&lt;&gt;"",IF(ROW()-ROW(PaymentSchedule[[#Headers],[BEGINNING BALANCE]])=1,LoanAmount,INDEX(PaymentSchedule[ENDING BALANCE],ROW()-ROW(PaymentSchedule[[#Headers],[BEGINNING BALANCE]])-1)),"")</f>
        <v>1974274.2397631349</v>
      </c>
      <c r="E26" s="19">
        <f>IF(PaymentSchedule[[#This Row],[PMT NO]]&lt;&gt;"",ScheduledPayment,"")</f>
        <v>8050.5201209471252</v>
      </c>
      <c r="F2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6" s="19">
        <f>IF(PaymentSchedule[[#This Row],[PMT NO]]&lt;&gt;"",PaymentSchedule[[#This Row],[TOTAL PAYMENT]]-PaymentSchedule[[#This Row],[INTEREST]],"")</f>
        <v>1880.9131216873293</v>
      </c>
      <c r="I26" s="19">
        <f>IF(PaymentSchedule[[#This Row],[PMT NO]]&lt;&gt;"",PaymentSchedule[[#This Row],[BEGINNING BALANCE]]*(InterestRate/PaymentsPerYear),"")</f>
        <v>6169.6069992597959</v>
      </c>
      <c r="J2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1972393.3266414476</v>
      </c>
      <c r="K26" s="19">
        <f>IF(PaymentSchedule[[#This Row],[PMT NO]]&lt;&gt;"",SUM(INDEX(PaymentSchedule[INTEREST],1,1):PaymentSchedule[[#This Row],[INTEREST]]),"")</f>
        <v>93151.1284556545</v>
      </c>
    </row>
    <row r="27" spans="2:11" x14ac:dyDescent="0.3">
      <c r="B27" s="21">
        <f>IF(LoanIsGood,IF(ROW()-ROW(PaymentSchedule[[#Headers],[PMT NO]])&gt;ScheduledNumberOfPayments,"",ROW()-ROW(PaymentSchedule[[#Headers],[PMT NO]])),"")</f>
        <v>16</v>
      </c>
      <c r="C27" s="20">
        <f>IF(PaymentSchedule[[#This Row],[PMT NO]]&lt;&gt;"",EOMONTH(LoanStartDate,ROW(PaymentSchedule[[#This Row],[PMT NO]])-ROW(PaymentSchedule[[#Headers],[PMT NO]])-2)+DAY(LoanStartDate),"")</f>
        <v>44105</v>
      </c>
      <c r="D27" s="19">
        <f>IF(PaymentSchedule[[#This Row],[PMT NO]]&lt;&gt;"",IF(ROW()-ROW(PaymentSchedule[[#Headers],[BEGINNING BALANCE]])=1,LoanAmount,INDEX(PaymentSchedule[ENDING BALANCE],ROW()-ROW(PaymentSchedule[[#Headers],[BEGINNING BALANCE]])-1)),"")</f>
        <v>1972393.3266414476</v>
      </c>
      <c r="E27" s="19">
        <f>IF(PaymentSchedule[[#This Row],[PMT NO]]&lt;&gt;"",ScheduledPayment,"")</f>
        <v>8050.5201209471252</v>
      </c>
      <c r="F2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7" s="19">
        <f>IF(PaymentSchedule[[#This Row],[PMT NO]]&lt;&gt;"",PaymentSchedule[[#This Row],[TOTAL PAYMENT]]-PaymentSchedule[[#This Row],[INTEREST]],"")</f>
        <v>1886.7909751926018</v>
      </c>
      <c r="I27" s="19">
        <f>IF(PaymentSchedule[[#This Row],[PMT NO]]&lt;&gt;"",PaymentSchedule[[#This Row],[BEGINNING BALANCE]]*(InterestRate/PaymentsPerYear),"")</f>
        <v>6163.7291457545234</v>
      </c>
      <c r="J2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1970506.535666255</v>
      </c>
      <c r="K27" s="19">
        <f>IF(PaymentSchedule[[#This Row],[PMT NO]]&lt;&gt;"",SUM(INDEX(PaymentSchedule[INTEREST],1,1):PaymentSchedule[[#This Row],[INTEREST]]),"")</f>
        <v>99314.857601409021</v>
      </c>
    </row>
    <row r="28" spans="2:11" x14ac:dyDescent="0.3">
      <c r="B28" s="21">
        <f>IF(LoanIsGood,IF(ROW()-ROW(PaymentSchedule[[#Headers],[PMT NO]])&gt;ScheduledNumberOfPayments,"",ROW()-ROW(PaymentSchedule[[#Headers],[PMT NO]])),"")</f>
        <v>17</v>
      </c>
      <c r="C28" s="20">
        <f>IF(PaymentSchedule[[#This Row],[PMT NO]]&lt;&gt;"",EOMONTH(LoanStartDate,ROW(PaymentSchedule[[#This Row],[PMT NO]])-ROW(PaymentSchedule[[#Headers],[PMT NO]])-2)+DAY(LoanStartDate),"")</f>
        <v>44136</v>
      </c>
      <c r="D28" s="19">
        <f>IF(PaymentSchedule[[#This Row],[PMT NO]]&lt;&gt;"",IF(ROW()-ROW(PaymentSchedule[[#Headers],[BEGINNING BALANCE]])=1,LoanAmount,INDEX(PaymentSchedule[ENDING BALANCE],ROW()-ROW(PaymentSchedule[[#Headers],[BEGINNING BALANCE]])-1)),"")</f>
        <v>1970506.535666255</v>
      </c>
      <c r="E28" s="19">
        <f>IF(PaymentSchedule[[#This Row],[PMT NO]]&lt;&gt;"",ScheduledPayment,"")</f>
        <v>8050.5201209471252</v>
      </c>
      <c r="F2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8" s="19">
        <f>IF(PaymentSchedule[[#This Row],[PMT NO]]&lt;&gt;"",PaymentSchedule[[#This Row],[TOTAL PAYMENT]]-PaymentSchedule[[#This Row],[INTEREST]],"")</f>
        <v>1892.6871969900785</v>
      </c>
      <c r="I28" s="19">
        <f>IF(PaymentSchedule[[#This Row],[PMT NO]]&lt;&gt;"",PaymentSchedule[[#This Row],[BEGINNING BALANCE]]*(InterestRate/PaymentsPerYear),"")</f>
        <v>6157.8329239570467</v>
      </c>
      <c r="J2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1968613.848469265</v>
      </c>
      <c r="K28" s="19">
        <f>IF(PaymentSchedule[[#This Row],[PMT NO]]&lt;&gt;"",SUM(INDEX(PaymentSchedule[INTEREST],1,1):PaymentSchedule[[#This Row],[INTEREST]]),"")</f>
        <v>105472.69052536607</v>
      </c>
    </row>
    <row r="29" spans="2:11" x14ac:dyDescent="0.3">
      <c r="B29" s="21">
        <f>IF(LoanIsGood,IF(ROW()-ROW(PaymentSchedule[[#Headers],[PMT NO]])&gt;ScheduledNumberOfPayments,"",ROW()-ROW(PaymentSchedule[[#Headers],[PMT NO]])),"")</f>
        <v>18</v>
      </c>
      <c r="C29" s="20">
        <f>IF(PaymentSchedule[[#This Row],[PMT NO]]&lt;&gt;"",EOMONTH(LoanStartDate,ROW(PaymentSchedule[[#This Row],[PMT NO]])-ROW(PaymentSchedule[[#Headers],[PMT NO]])-2)+DAY(LoanStartDate),"")</f>
        <v>44166</v>
      </c>
      <c r="D29" s="19">
        <f>IF(PaymentSchedule[[#This Row],[PMT NO]]&lt;&gt;"",IF(ROW()-ROW(PaymentSchedule[[#Headers],[BEGINNING BALANCE]])=1,LoanAmount,INDEX(PaymentSchedule[ENDING BALANCE],ROW()-ROW(PaymentSchedule[[#Headers],[BEGINNING BALANCE]])-1)),"")</f>
        <v>1968613.848469265</v>
      </c>
      <c r="E29" s="19">
        <f>IF(PaymentSchedule[[#This Row],[PMT NO]]&lt;&gt;"",ScheduledPayment,"")</f>
        <v>8050.5201209471252</v>
      </c>
      <c r="F2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9" s="19">
        <f>IF(PaymentSchedule[[#This Row],[PMT NO]]&lt;&gt;"",PaymentSchedule[[#This Row],[TOTAL PAYMENT]]-PaymentSchedule[[#This Row],[INTEREST]],"")</f>
        <v>1898.6018444806723</v>
      </c>
      <c r="I29" s="19">
        <f>IF(PaymentSchedule[[#This Row],[PMT NO]]&lt;&gt;"",PaymentSchedule[[#This Row],[BEGINNING BALANCE]]*(InterestRate/PaymentsPerYear),"")</f>
        <v>6151.9182764664529</v>
      </c>
      <c r="J2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1966715.2466247843</v>
      </c>
      <c r="K29" s="19">
        <f>IF(PaymentSchedule[[#This Row],[PMT NO]]&lt;&gt;"",SUM(INDEX(PaymentSchedule[INTEREST],1,1):PaymentSchedule[[#This Row],[INTEREST]]),"")</f>
        <v>111624.60880183252</v>
      </c>
    </row>
    <row r="30" spans="2:11" x14ac:dyDescent="0.3">
      <c r="B30" s="21">
        <f>IF(LoanIsGood,IF(ROW()-ROW(PaymentSchedule[[#Headers],[PMT NO]])&gt;ScheduledNumberOfPayments,"",ROW()-ROW(PaymentSchedule[[#Headers],[PMT NO]])),"")</f>
        <v>19</v>
      </c>
      <c r="C30" s="20">
        <f>IF(PaymentSchedule[[#This Row],[PMT NO]]&lt;&gt;"",EOMONTH(LoanStartDate,ROW(PaymentSchedule[[#This Row],[PMT NO]])-ROW(PaymentSchedule[[#Headers],[PMT NO]])-2)+DAY(LoanStartDate),"")</f>
        <v>44197</v>
      </c>
      <c r="D30" s="19">
        <f>IF(PaymentSchedule[[#This Row],[PMT NO]]&lt;&gt;"",IF(ROW()-ROW(PaymentSchedule[[#Headers],[BEGINNING BALANCE]])=1,LoanAmount,INDEX(PaymentSchedule[ENDING BALANCE],ROW()-ROW(PaymentSchedule[[#Headers],[BEGINNING BALANCE]])-1)),"")</f>
        <v>1966715.2466247843</v>
      </c>
      <c r="E30" s="19">
        <f>IF(PaymentSchedule[[#This Row],[PMT NO]]&lt;&gt;"",ScheduledPayment,"")</f>
        <v>8050.5201209471252</v>
      </c>
      <c r="F3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0" s="19">
        <f>IF(PaymentSchedule[[#This Row],[PMT NO]]&lt;&gt;"",PaymentSchedule[[#This Row],[TOTAL PAYMENT]]-PaymentSchedule[[#This Row],[INTEREST]],"")</f>
        <v>1904.5349752446746</v>
      </c>
      <c r="I30" s="19">
        <f>IF(PaymentSchedule[[#This Row],[PMT NO]]&lt;&gt;"",PaymentSchedule[[#This Row],[BEGINNING BALANCE]]*(InterestRate/PaymentsPerYear),"")</f>
        <v>6145.9851457024506</v>
      </c>
      <c r="J3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1964810.7116495396</v>
      </c>
      <c r="K30" s="19">
        <f>IF(PaymentSchedule[[#This Row],[PMT NO]]&lt;&gt;"",SUM(INDEX(PaymentSchedule[INTEREST],1,1):PaymentSchedule[[#This Row],[INTEREST]]),"")</f>
        <v>117770.59394753497</v>
      </c>
    </row>
    <row r="31" spans="2:11" x14ac:dyDescent="0.3">
      <c r="B31" s="21">
        <f>IF(LoanIsGood,IF(ROW()-ROW(PaymentSchedule[[#Headers],[PMT NO]])&gt;ScheduledNumberOfPayments,"",ROW()-ROW(PaymentSchedule[[#Headers],[PMT NO]])),"")</f>
        <v>20</v>
      </c>
      <c r="C31" s="20">
        <f>IF(PaymentSchedule[[#This Row],[PMT NO]]&lt;&gt;"",EOMONTH(LoanStartDate,ROW(PaymentSchedule[[#This Row],[PMT NO]])-ROW(PaymentSchedule[[#Headers],[PMT NO]])-2)+DAY(LoanStartDate),"")</f>
        <v>44228</v>
      </c>
      <c r="D31" s="19">
        <f>IF(PaymentSchedule[[#This Row],[PMT NO]]&lt;&gt;"",IF(ROW()-ROW(PaymentSchedule[[#Headers],[BEGINNING BALANCE]])=1,LoanAmount,INDEX(PaymentSchedule[ENDING BALANCE],ROW()-ROW(PaymentSchedule[[#Headers],[BEGINNING BALANCE]])-1)),"")</f>
        <v>1964810.7116495396</v>
      </c>
      <c r="E31" s="19">
        <f>IF(PaymentSchedule[[#This Row],[PMT NO]]&lt;&gt;"",ScheduledPayment,"")</f>
        <v>8050.5201209471252</v>
      </c>
      <c r="F3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1" s="19">
        <f>IF(PaymentSchedule[[#This Row],[PMT NO]]&lt;&gt;"",PaymentSchedule[[#This Row],[TOTAL PAYMENT]]-PaymentSchedule[[#This Row],[INTEREST]],"")</f>
        <v>1910.486647042314</v>
      </c>
      <c r="I31" s="19">
        <f>IF(PaymentSchedule[[#This Row],[PMT NO]]&lt;&gt;"",PaymentSchedule[[#This Row],[BEGINNING BALANCE]]*(InterestRate/PaymentsPerYear),"")</f>
        <v>6140.0334739048112</v>
      </c>
      <c r="J3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1962900.2250024974</v>
      </c>
      <c r="K31" s="19">
        <f>IF(PaymentSchedule[[#This Row],[PMT NO]]&lt;&gt;"",SUM(INDEX(PaymentSchedule[INTEREST],1,1):PaymentSchedule[[#This Row],[INTEREST]]),"")</f>
        <v>123910.62742143979</v>
      </c>
    </row>
    <row r="32" spans="2:11" x14ac:dyDescent="0.3">
      <c r="B32" s="21">
        <f>IF(LoanIsGood,IF(ROW()-ROW(PaymentSchedule[[#Headers],[PMT NO]])&gt;ScheduledNumberOfPayments,"",ROW()-ROW(PaymentSchedule[[#Headers],[PMT NO]])),"")</f>
        <v>21</v>
      </c>
      <c r="C32" s="20">
        <f>IF(PaymentSchedule[[#This Row],[PMT NO]]&lt;&gt;"",EOMONTH(LoanStartDate,ROW(PaymentSchedule[[#This Row],[PMT NO]])-ROW(PaymentSchedule[[#Headers],[PMT NO]])-2)+DAY(LoanStartDate),"")</f>
        <v>44256</v>
      </c>
      <c r="D32" s="19">
        <f>IF(PaymentSchedule[[#This Row],[PMT NO]]&lt;&gt;"",IF(ROW()-ROW(PaymentSchedule[[#Headers],[BEGINNING BALANCE]])=1,LoanAmount,INDEX(PaymentSchedule[ENDING BALANCE],ROW()-ROW(PaymentSchedule[[#Headers],[BEGINNING BALANCE]])-1)),"")</f>
        <v>1962900.2250024974</v>
      </c>
      <c r="E32" s="19">
        <f>IF(PaymentSchedule[[#This Row],[PMT NO]]&lt;&gt;"",ScheduledPayment,"")</f>
        <v>8050.5201209471252</v>
      </c>
      <c r="F3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2" s="19">
        <f>IF(PaymentSchedule[[#This Row],[PMT NO]]&lt;&gt;"",PaymentSchedule[[#This Row],[TOTAL PAYMENT]]-PaymentSchedule[[#This Row],[INTEREST]],"")</f>
        <v>1916.4569178143211</v>
      </c>
      <c r="I32" s="19">
        <f>IF(PaymentSchedule[[#This Row],[PMT NO]]&lt;&gt;"",PaymentSchedule[[#This Row],[BEGINNING BALANCE]]*(InterestRate/PaymentsPerYear),"")</f>
        <v>6134.0632031328041</v>
      </c>
      <c r="J3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1960983.7680846832</v>
      </c>
      <c r="K32" s="19">
        <f>IF(PaymentSchedule[[#This Row],[PMT NO]]&lt;&gt;"",SUM(INDEX(PaymentSchedule[INTEREST],1,1):PaymentSchedule[[#This Row],[INTEREST]]),"")</f>
        <v>130044.69062457258</v>
      </c>
    </row>
    <row r="33" spans="2:11" x14ac:dyDescent="0.3">
      <c r="B33" s="21">
        <f>IF(LoanIsGood,IF(ROW()-ROW(PaymentSchedule[[#Headers],[PMT NO]])&gt;ScheduledNumberOfPayments,"",ROW()-ROW(PaymentSchedule[[#Headers],[PMT NO]])),"")</f>
        <v>22</v>
      </c>
      <c r="C33" s="20">
        <f>IF(PaymentSchedule[[#This Row],[PMT NO]]&lt;&gt;"",EOMONTH(LoanStartDate,ROW(PaymentSchedule[[#This Row],[PMT NO]])-ROW(PaymentSchedule[[#Headers],[PMT NO]])-2)+DAY(LoanStartDate),"")</f>
        <v>44287</v>
      </c>
      <c r="D33" s="19">
        <f>IF(PaymentSchedule[[#This Row],[PMT NO]]&lt;&gt;"",IF(ROW()-ROW(PaymentSchedule[[#Headers],[BEGINNING BALANCE]])=1,LoanAmount,INDEX(PaymentSchedule[ENDING BALANCE],ROW()-ROW(PaymentSchedule[[#Headers],[BEGINNING BALANCE]])-1)),"")</f>
        <v>1960983.7680846832</v>
      </c>
      <c r="E33" s="19">
        <f>IF(PaymentSchedule[[#This Row],[PMT NO]]&lt;&gt;"",ScheduledPayment,"")</f>
        <v>8050.5201209471252</v>
      </c>
      <c r="F3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3" s="19">
        <f>IF(PaymentSchedule[[#This Row],[PMT NO]]&lt;&gt;"",PaymentSchedule[[#This Row],[TOTAL PAYMENT]]-PaymentSchedule[[#This Row],[INTEREST]],"")</f>
        <v>1922.4458456824905</v>
      </c>
      <c r="I33" s="19">
        <f>IF(PaymentSchedule[[#This Row],[PMT NO]]&lt;&gt;"",PaymentSchedule[[#This Row],[BEGINNING BALANCE]]*(InterestRate/PaymentsPerYear),"")</f>
        <v>6128.0742752646347</v>
      </c>
      <c r="J3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1959061.3222390008</v>
      </c>
      <c r="K33" s="19">
        <f>IF(PaymentSchedule[[#This Row],[PMT NO]]&lt;&gt;"",SUM(INDEX(PaymentSchedule[INTEREST],1,1):PaymentSchedule[[#This Row],[INTEREST]]),"")</f>
        <v>136172.76489983723</v>
      </c>
    </row>
    <row r="34" spans="2:11" x14ac:dyDescent="0.3">
      <c r="B34" s="21">
        <f>IF(LoanIsGood,IF(ROW()-ROW(PaymentSchedule[[#Headers],[PMT NO]])&gt;ScheduledNumberOfPayments,"",ROW()-ROW(PaymentSchedule[[#Headers],[PMT NO]])),"")</f>
        <v>23</v>
      </c>
      <c r="C34" s="20">
        <f>IF(PaymentSchedule[[#This Row],[PMT NO]]&lt;&gt;"",EOMONTH(LoanStartDate,ROW(PaymentSchedule[[#This Row],[PMT NO]])-ROW(PaymentSchedule[[#Headers],[PMT NO]])-2)+DAY(LoanStartDate),"")</f>
        <v>44317</v>
      </c>
      <c r="D34" s="19">
        <f>IF(PaymentSchedule[[#This Row],[PMT NO]]&lt;&gt;"",IF(ROW()-ROW(PaymentSchedule[[#Headers],[BEGINNING BALANCE]])=1,LoanAmount,INDEX(PaymentSchedule[ENDING BALANCE],ROW()-ROW(PaymentSchedule[[#Headers],[BEGINNING BALANCE]])-1)),"")</f>
        <v>1959061.3222390008</v>
      </c>
      <c r="E34" s="19">
        <f>IF(PaymentSchedule[[#This Row],[PMT NO]]&lt;&gt;"",ScheduledPayment,"")</f>
        <v>8050.5201209471252</v>
      </c>
      <c r="F3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4" s="19">
        <f>IF(PaymentSchedule[[#This Row],[PMT NO]]&lt;&gt;"",PaymentSchedule[[#This Row],[TOTAL PAYMENT]]-PaymentSchedule[[#This Row],[INTEREST]],"")</f>
        <v>1928.4534889502484</v>
      </c>
      <c r="I34" s="19">
        <f>IF(PaymentSchedule[[#This Row],[PMT NO]]&lt;&gt;"",PaymentSchedule[[#This Row],[BEGINNING BALANCE]]*(InterestRate/PaymentsPerYear),"")</f>
        <v>6122.0666319968768</v>
      </c>
      <c r="J3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1957132.8687500507</v>
      </c>
      <c r="K34" s="19">
        <f>IF(PaymentSchedule[[#This Row],[PMT NO]]&lt;&gt;"",SUM(INDEX(PaymentSchedule[INTEREST],1,1):PaymentSchedule[[#This Row],[INTEREST]]),"")</f>
        <v>142294.83153183412</v>
      </c>
    </row>
    <row r="35" spans="2:11" x14ac:dyDescent="0.3">
      <c r="B35" s="21">
        <f>IF(LoanIsGood,IF(ROW()-ROW(PaymentSchedule[[#Headers],[PMT NO]])&gt;ScheduledNumberOfPayments,"",ROW()-ROW(PaymentSchedule[[#Headers],[PMT NO]])),"")</f>
        <v>24</v>
      </c>
      <c r="C35" s="20">
        <f>IF(PaymentSchedule[[#This Row],[PMT NO]]&lt;&gt;"",EOMONTH(LoanStartDate,ROW(PaymentSchedule[[#This Row],[PMT NO]])-ROW(PaymentSchedule[[#Headers],[PMT NO]])-2)+DAY(LoanStartDate),"")</f>
        <v>44348</v>
      </c>
      <c r="D35" s="19">
        <f>IF(PaymentSchedule[[#This Row],[PMT NO]]&lt;&gt;"",IF(ROW()-ROW(PaymentSchedule[[#Headers],[BEGINNING BALANCE]])=1,LoanAmount,INDEX(PaymentSchedule[ENDING BALANCE],ROW()-ROW(PaymentSchedule[[#Headers],[BEGINNING BALANCE]])-1)),"")</f>
        <v>1957132.8687500507</v>
      </c>
      <c r="E35" s="19">
        <f>IF(PaymentSchedule[[#This Row],[PMT NO]]&lt;&gt;"",ScheduledPayment,"")</f>
        <v>8050.5201209471252</v>
      </c>
      <c r="F3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5" s="19">
        <f>IF(PaymentSchedule[[#This Row],[PMT NO]]&lt;&gt;"",PaymentSchedule[[#This Row],[TOTAL PAYMENT]]-PaymentSchedule[[#This Row],[INTEREST]],"")</f>
        <v>1934.4799061032172</v>
      </c>
      <c r="I35" s="19">
        <f>IF(PaymentSchedule[[#This Row],[PMT NO]]&lt;&gt;"",PaymentSchedule[[#This Row],[BEGINNING BALANCE]]*(InterestRate/PaymentsPerYear),"")</f>
        <v>6116.040214843908</v>
      </c>
      <c r="J3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1955198.3888439476</v>
      </c>
      <c r="K35" s="19">
        <f>IF(PaymentSchedule[[#This Row],[PMT NO]]&lt;&gt;"",SUM(INDEX(PaymentSchedule[INTEREST],1,1):PaymentSchedule[[#This Row],[INTEREST]]),"")</f>
        <v>148410.87174667802</v>
      </c>
    </row>
    <row r="36" spans="2:11" x14ac:dyDescent="0.3">
      <c r="B36" s="21">
        <f>IF(LoanIsGood,IF(ROW()-ROW(PaymentSchedule[[#Headers],[PMT NO]])&gt;ScheduledNumberOfPayments,"",ROW()-ROW(PaymentSchedule[[#Headers],[PMT NO]])),"")</f>
        <v>25</v>
      </c>
      <c r="C36" s="20">
        <f>IF(PaymentSchedule[[#This Row],[PMT NO]]&lt;&gt;"",EOMONTH(LoanStartDate,ROW(PaymentSchedule[[#This Row],[PMT NO]])-ROW(PaymentSchedule[[#Headers],[PMT NO]])-2)+DAY(LoanStartDate),"")</f>
        <v>44378</v>
      </c>
      <c r="D36" s="19">
        <f>IF(PaymentSchedule[[#This Row],[PMT NO]]&lt;&gt;"",IF(ROW()-ROW(PaymentSchedule[[#Headers],[BEGINNING BALANCE]])=1,LoanAmount,INDEX(PaymentSchedule[ENDING BALANCE],ROW()-ROW(PaymentSchedule[[#Headers],[BEGINNING BALANCE]])-1)),"")</f>
        <v>1955198.3888439476</v>
      </c>
      <c r="E36" s="19">
        <f>IF(PaymentSchedule[[#This Row],[PMT NO]]&lt;&gt;"",ScheduledPayment,"")</f>
        <v>8050.5201209471252</v>
      </c>
      <c r="F3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6" s="19">
        <f>IF(PaymentSchedule[[#This Row],[PMT NO]]&lt;&gt;"",PaymentSchedule[[#This Row],[TOTAL PAYMENT]]-PaymentSchedule[[#This Row],[INTEREST]],"")</f>
        <v>1940.5251558097898</v>
      </c>
      <c r="I36" s="19">
        <f>IF(PaymentSchedule[[#This Row],[PMT NO]]&lt;&gt;"",PaymentSchedule[[#This Row],[BEGINNING BALANCE]]*(InterestRate/PaymentsPerYear),"")</f>
        <v>6109.9949651373354</v>
      </c>
      <c r="J3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1953257.8636881378</v>
      </c>
      <c r="K36" s="19">
        <f>IF(PaymentSchedule[[#This Row],[PMT NO]]&lt;&gt;"",SUM(INDEX(PaymentSchedule[INTEREST],1,1):PaymentSchedule[[#This Row],[INTEREST]]),"")</f>
        <v>154520.86671181535</v>
      </c>
    </row>
    <row r="37" spans="2:11" x14ac:dyDescent="0.3">
      <c r="B37" s="21">
        <f>IF(LoanIsGood,IF(ROW()-ROW(PaymentSchedule[[#Headers],[PMT NO]])&gt;ScheduledNumberOfPayments,"",ROW()-ROW(PaymentSchedule[[#Headers],[PMT NO]])),"")</f>
        <v>26</v>
      </c>
      <c r="C37" s="20">
        <f>IF(PaymentSchedule[[#This Row],[PMT NO]]&lt;&gt;"",EOMONTH(LoanStartDate,ROW(PaymentSchedule[[#This Row],[PMT NO]])-ROW(PaymentSchedule[[#Headers],[PMT NO]])-2)+DAY(LoanStartDate),"")</f>
        <v>44409</v>
      </c>
      <c r="D37" s="19">
        <f>IF(PaymentSchedule[[#This Row],[PMT NO]]&lt;&gt;"",IF(ROW()-ROW(PaymentSchedule[[#Headers],[BEGINNING BALANCE]])=1,LoanAmount,INDEX(PaymentSchedule[ENDING BALANCE],ROW()-ROW(PaymentSchedule[[#Headers],[BEGINNING BALANCE]])-1)),"")</f>
        <v>1953257.8636881378</v>
      </c>
      <c r="E37" s="19">
        <f>IF(PaymentSchedule[[#This Row],[PMT NO]]&lt;&gt;"",ScheduledPayment,"")</f>
        <v>8050.5201209471252</v>
      </c>
      <c r="F3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7" s="19">
        <f>IF(PaymentSchedule[[#This Row],[PMT NO]]&lt;&gt;"",PaymentSchedule[[#This Row],[TOTAL PAYMENT]]-PaymentSchedule[[#This Row],[INTEREST]],"")</f>
        <v>1946.5892969216948</v>
      </c>
      <c r="I37" s="19">
        <f>IF(PaymentSchedule[[#This Row],[PMT NO]]&lt;&gt;"",PaymentSchedule[[#This Row],[BEGINNING BALANCE]]*(InterestRate/PaymentsPerYear),"")</f>
        <v>6103.9308240254304</v>
      </c>
      <c r="J3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1951311.2743912162</v>
      </c>
      <c r="K37" s="19">
        <f>IF(PaymentSchedule[[#This Row],[PMT NO]]&lt;&gt;"",SUM(INDEX(PaymentSchedule[INTEREST],1,1):PaymentSchedule[[#This Row],[INTEREST]]),"")</f>
        <v>160624.79753584077</v>
      </c>
    </row>
    <row r="38" spans="2:11" x14ac:dyDescent="0.3">
      <c r="B38" s="21">
        <f>IF(LoanIsGood,IF(ROW()-ROW(PaymentSchedule[[#Headers],[PMT NO]])&gt;ScheduledNumberOfPayments,"",ROW()-ROW(PaymentSchedule[[#Headers],[PMT NO]])),"")</f>
        <v>27</v>
      </c>
      <c r="C38" s="20">
        <f>IF(PaymentSchedule[[#This Row],[PMT NO]]&lt;&gt;"",EOMONTH(LoanStartDate,ROW(PaymentSchedule[[#This Row],[PMT NO]])-ROW(PaymentSchedule[[#Headers],[PMT NO]])-2)+DAY(LoanStartDate),"")</f>
        <v>44440</v>
      </c>
      <c r="D38" s="19">
        <f>IF(PaymentSchedule[[#This Row],[PMT NO]]&lt;&gt;"",IF(ROW()-ROW(PaymentSchedule[[#Headers],[BEGINNING BALANCE]])=1,LoanAmount,INDEX(PaymentSchedule[ENDING BALANCE],ROW()-ROW(PaymentSchedule[[#Headers],[BEGINNING BALANCE]])-1)),"")</f>
        <v>1951311.2743912162</v>
      </c>
      <c r="E38" s="19">
        <f>IF(PaymentSchedule[[#This Row],[PMT NO]]&lt;&gt;"",ScheduledPayment,"")</f>
        <v>8050.5201209471252</v>
      </c>
      <c r="F3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8" s="19">
        <f>IF(PaymentSchedule[[#This Row],[PMT NO]]&lt;&gt;"",PaymentSchedule[[#This Row],[TOTAL PAYMENT]]-PaymentSchedule[[#This Row],[INTEREST]],"")</f>
        <v>1952.6723884745752</v>
      </c>
      <c r="I38" s="19">
        <f>IF(PaymentSchedule[[#This Row],[PMT NO]]&lt;&gt;"",PaymentSchedule[[#This Row],[BEGINNING BALANCE]]*(InterestRate/PaymentsPerYear),"")</f>
        <v>6097.84773247255</v>
      </c>
      <c r="J3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1949358.6020027415</v>
      </c>
      <c r="K38" s="19">
        <f>IF(PaymentSchedule[[#This Row],[PMT NO]]&lt;&gt;"",SUM(INDEX(PaymentSchedule[INTEREST],1,1):PaymentSchedule[[#This Row],[INTEREST]]),"")</f>
        <v>166722.64526831332</v>
      </c>
    </row>
    <row r="39" spans="2:11" x14ac:dyDescent="0.3">
      <c r="B39" s="21">
        <f>IF(LoanIsGood,IF(ROW()-ROW(PaymentSchedule[[#Headers],[PMT NO]])&gt;ScheduledNumberOfPayments,"",ROW()-ROW(PaymentSchedule[[#Headers],[PMT NO]])),"")</f>
        <v>28</v>
      </c>
      <c r="C39" s="20">
        <f>IF(PaymentSchedule[[#This Row],[PMT NO]]&lt;&gt;"",EOMONTH(LoanStartDate,ROW(PaymentSchedule[[#This Row],[PMT NO]])-ROW(PaymentSchedule[[#Headers],[PMT NO]])-2)+DAY(LoanStartDate),"")</f>
        <v>44470</v>
      </c>
      <c r="D39" s="19">
        <f>IF(PaymentSchedule[[#This Row],[PMT NO]]&lt;&gt;"",IF(ROW()-ROW(PaymentSchedule[[#Headers],[BEGINNING BALANCE]])=1,LoanAmount,INDEX(PaymentSchedule[ENDING BALANCE],ROW()-ROW(PaymentSchedule[[#Headers],[BEGINNING BALANCE]])-1)),"")</f>
        <v>1949358.6020027415</v>
      </c>
      <c r="E39" s="19">
        <f>IF(PaymentSchedule[[#This Row],[PMT NO]]&lt;&gt;"",ScheduledPayment,"")</f>
        <v>8050.5201209471252</v>
      </c>
      <c r="F3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9" s="19">
        <f>IF(PaymentSchedule[[#This Row],[PMT NO]]&lt;&gt;"",PaymentSchedule[[#This Row],[TOTAL PAYMENT]]-PaymentSchedule[[#This Row],[INTEREST]],"")</f>
        <v>1958.7744896885588</v>
      </c>
      <c r="I39" s="19">
        <f>IF(PaymentSchedule[[#This Row],[PMT NO]]&lt;&gt;"",PaymentSchedule[[#This Row],[BEGINNING BALANCE]]*(InterestRate/PaymentsPerYear),"")</f>
        <v>6091.7456312585664</v>
      </c>
      <c r="J3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1947399.8275130531</v>
      </c>
      <c r="K39" s="19">
        <f>IF(PaymentSchedule[[#This Row],[PMT NO]]&lt;&gt;"",SUM(INDEX(PaymentSchedule[INTEREST],1,1):PaymentSchedule[[#This Row],[INTEREST]]),"")</f>
        <v>172814.39089957188</v>
      </c>
    </row>
    <row r="40" spans="2:11" x14ac:dyDescent="0.3">
      <c r="B40" s="21">
        <f>IF(LoanIsGood,IF(ROW()-ROW(PaymentSchedule[[#Headers],[PMT NO]])&gt;ScheduledNumberOfPayments,"",ROW()-ROW(PaymentSchedule[[#Headers],[PMT NO]])),"")</f>
        <v>29</v>
      </c>
      <c r="C40" s="20">
        <f>IF(PaymentSchedule[[#This Row],[PMT NO]]&lt;&gt;"",EOMONTH(LoanStartDate,ROW(PaymentSchedule[[#This Row],[PMT NO]])-ROW(PaymentSchedule[[#Headers],[PMT NO]])-2)+DAY(LoanStartDate),"")</f>
        <v>44501</v>
      </c>
      <c r="D40" s="19">
        <f>IF(PaymentSchedule[[#This Row],[PMT NO]]&lt;&gt;"",IF(ROW()-ROW(PaymentSchedule[[#Headers],[BEGINNING BALANCE]])=1,LoanAmount,INDEX(PaymentSchedule[ENDING BALANCE],ROW()-ROW(PaymentSchedule[[#Headers],[BEGINNING BALANCE]])-1)),"")</f>
        <v>1947399.8275130531</v>
      </c>
      <c r="E40" s="19">
        <f>IF(PaymentSchedule[[#This Row],[PMT NO]]&lt;&gt;"",ScheduledPayment,"")</f>
        <v>8050.5201209471252</v>
      </c>
      <c r="F4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40" s="19">
        <f>IF(PaymentSchedule[[#This Row],[PMT NO]]&lt;&gt;"",PaymentSchedule[[#This Row],[TOTAL PAYMENT]]-PaymentSchedule[[#This Row],[INTEREST]],"")</f>
        <v>1964.8956599688345</v>
      </c>
      <c r="I40" s="19">
        <f>IF(PaymentSchedule[[#This Row],[PMT NO]]&lt;&gt;"",PaymentSchedule[[#This Row],[BEGINNING BALANCE]]*(InterestRate/PaymentsPerYear),"")</f>
        <v>6085.6244609782907</v>
      </c>
      <c r="J4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1945434.9318530844</v>
      </c>
      <c r="K40" s="19">
        <f>IF(PaymentSchedule[[#This Row],[PMT NO]]&lt;&gt;"",SUM(INDEX(PaymentSchedule[INTEREST],1,1):PaymentSchedule[[#This Row],[INTEREST]]),"")</f>
        <v>178900.01536055017</v>
      </c>
    </row>
    <row r="41" spans="2:11" x14ac:dyDescent="0.3">
      <c r="B41" s="21">
        <f>IF(LoanIsGood,IF(ROW()-ROW(PaymentSchedule[[#Headers],[PMT NO]])&gt;ScheduledNumberOfPayments,"",ROW()-ROW(PaymentSchedule[[#Headers],[PMT NO]])),"")</f>
        <v>30</v>
      </c>
      <c r="C41" s="20">
        <f>IF(PaymentSchedule[[#This Row],[PMT NO]]&lt;&gt;"",EOMONTH(LoanStartDate,ROW(PaymentSchedule[[#This Row],[PMT NO]])-ROW(PaymentSchedule[[#Headers],[PMT NO]])-2)+DAY(LoanStartDate),"")</f>
        <v>44531</v>
      </c>
      <c r="D41" s="19">
        <f>IF(PaymentSchedule[[#This Row],[PMT NO]]&lt;&gt;"",IF(ROW()-ROW(PaymentSchedule[[#Headers],[BEGINNING BALANCE]])=1,LoanAmount,INDEX(PaymentSchedule[ENDING BALANCE],ROW()-ROW(PaymentSchedule[[#Headers],[BEGINNING BALANCE]])-1)),"")</f>
        <v>1945434.9318530844</v>
      </c>
      <c r="E41" s="19">
        <f>IF(PaymentSchedule[[#This Row],[PMT NO]]&lt;&gt;"",ScheduledPayment,"")</f>
        <v>8050.5201209471252</v>
      </c>
      <c r="F4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41" s="19">
        <f>IF(PaymentSchedule[[#This Row],[PMT NO]]&lt;&gt;"",PaymentSchedule[[#This Row],[TOTAL PAYMENT]]-PaymentSchedule[[#This Row],[INTEREST]],"")</f>
        <v>1971.0359589062373</v>
      </c>
      <c r="I41" s="19">
        <f>IF(PaymentSchedule[[#This Row],[PMT NO]]&lt;&gt;"",PaymentSchedule[[#This Row],[BEGINNING BALANCE]]*(InterestRate/PaymentsPerYear),"")</f>
        <v>6079.4841620408879</v>
      </c>
      <c r="J4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1943463.8958941782</v>
      </c>
      <c r="K41" s="19">
        <f>IF(PaymentSchedule[[#This Row],[PMT NO]]&lt;&gt;"",SUM(INDEX(PaymentSchedule[INTEREST],1,1):PaymentSchedule[[#This Row],[INTEREST]]),"")</f>
        <v>184979.49952259107</v>
      </c>
    </row>
    <row r="42" spans="2:11" x14ac:dyDescent="0.3">
      <c r="B42" s="21">
        <f>IF(LoanIsGood,IF(ROW()-ROW(PaymentSchedule[[#Headers],[PMT NO]])&gt;ScheduledNumberOfPayments,"",ROW()-ROW(PaymentSchedule[[#Headers],[PMT NO]])),"")</f>
        <v>31</v>
      </c>
      <c r="C42" s="20">
        <f>IF(PaymentSchedule[[#This Row],[PMT NO]]&lt;&gt;"",EOMONTH(LoanStartDate,ROW(PaymentSchedule[[#This Row],[PMT NO]])-ROW(PaymentSchedule[[#Headers],[PMT NO]])-2)+DAY(LoanStartDate),"")</f>
        <v>44562</v>
      </c>
      <c r="D42" s="19">
        <f>IF(PaymentSchedule[[#This Row],[PMT NO]]&lt;&gt;"",IF(ROW()-ROW(PaymentSchedule[[#Headers],[BEGINNING BALANCE]])=1,LoanAmount,INDEX(PaymentSchedule[ENDING BALANCE],ROW()-ROW(PaymentSchedule[[#Headers],[BEGINNING BALANCE]])-1)),"")</f>
        <v>1943463.8958941782</v>
      </c>
      <c r="E42" s="19">
        <f>IF(PaymentSchedule[[#This Row],[PMT NO]]&lt;&gt;"",ScheduledPayment,"")</f>
        <v>8050.5201209471252</v>
      </c>
      <c r="F4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42" s="19">
        <f>IF(PaymentSchedule[[#This Row],[PMT NO]]&lt;&gt;"",PaymentSchedule[[#This Row],[TOTAL PAYMENT]]-PaymentSchedule[[#This Row],[INTEREST]],"")</f>
        <v>1977.1954462778185</v>
      </c>
      <c r="I42" s="19">
        <f>IF(PaymentSchedule[[#This Row],[PMT NO]]&lt;&gt;"",PaymentSchedule[[#This Row],[BEGINNING BALANCE]]*(InterestRate/PaymentsPerYear),"")</f>
        <v>6073.3246746693067</v>
      </c>
      <c r="J4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1941486.7004479005</v>
      </c>
      <c r="K42" s="19">
        <f>IF(PaymentSchedule[[#This Row],[PMT NO]]&lt;&gt;"",SUM(INDEX(PaymentSchedule[INTEREST],1,1):PaymentSchedule[[#This Row],[INTEREST]]),"")</f>
        <v>191052.82419726037</v>
      </c>
    </row>
    <row r="43" spans="2:11" x14ac:dyDescent="0.3">
      <c r="B43" s="21">
        <f>IF(LoanIsGood,IF(ROW()-ROW(PaymentSchedule[[#Headers],[PMT NO]])&gt;ScheduledNumberOfPayments,"",ROW()-ROW(PaymentSchedule[[#Headers],[PMT NO]])),"")</f>
        <v>32</v>
      </c>
      <c r="C43" s="20">
        <f>IF(PaymentSchedule[[#This Row],[PMT NO]]&lt;&gt;"",EOMONTH(LoanStartDate,ROW(PaymentSchedule[[#This Row],[PMT NO]])-ROW(PaymentSchedule[[#Headers],[PMT NO]])-2)+DAY(LoanStartDate),"")</f>
        <v>44593</v>
      </c>
      <c r="D43" s="19">
        <f>IF(PaymentSchedule[[#This Row],[PMT NO]]&lt;&gt;"",IF(ROW()-ROW(PaymentSchedule[[#Headers],[BEGINNING BALANCE]])=1,LoanAmount,INDEX(PaymentSchedule[ENDING BALANCE],ROW()-ROW(PaymentSchedule[[#Headers],[BEGINNING BALANCE]])-1)),"")</f>
        <v>1941486.7004479005</v>
      </c>
      <c r="E43" s="19">
        <f>IF(PaymentSchedule[[#This Row],[PMT NO]]&lt;&gt;"",ScheduledPayment,"")</f>
        <v>8050.5201209471252</v>
      </c>
      <c r="F4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43" s="19">
        <f>IF(PaymentSchedule[[#This Row],[PMT NO]]&lt;&gt;"",PaymentSchedule[[#This Row],[TOTAL PAYMENT]]-PaymentSchedule[[#This Row],[INTEREST]],"")</f>
        <v>1983.374182047437</v>
      </c>
      <c r="I43" s="19">
        <f>IF(PaymentSchedule[[#This Row],[PMT NO]]&lt;&gt;"",PaymentSchedule[[#This Row],[BEGINNING BALANCE]]*(InterestRate/PaymentsPerYear),"")</f>
        <v>6067.1459388996882</v>
      </c>
      <c r="J4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1939503.3262658531</v>
      </c>
      <c r="K43" s="19">
        <f>IF(PaymentSchedule[[#This Row],[PMT NO]]&lt;&gt;"",SUM(INDEX(PaymentSchedule[INTEREST],1,1):PaymentSchedule[[#This Row],[INTEREST]]),"")</f>
        <v>197119.97013616006</v>
      </c>
    </row>
    <row r="44" spans="2:11" x14ac:dyDescent="0.3">
      <c r="B44" s="21">
        <f>IF(LoanIsGood,IF(ROW()-ROW(PaymentSchedule[[#Headers],[PMT NO]])&gt;ScheduledNumberOfPayments,"",ROW()-ROW(PaymentSchedule[[#Headers],[PMT NO]])),"")</f>
        <v>33</v>
      </c>
      <c r="C44" s="20">
        <f>IF(PaymentSchedule[[#This Row],[PMT NO]]&lt;&gt;"",EOMONTH(LoanStartDate,ROW(PaymentSchedule[[#This Row],[PMT NO]])-ROW(PaymentSchedule[[#Headers],[PMT NO]])-2)+DAY(LoanStartDate),"")</f>
        <v>44621</v>
      </c>
      <c r="D44" s="19">
        <f>IF(PaymentSchedule[[#This Row],[PMT NO]]&lt;&gt;"",IF(ROW()-ROW(PaymentSchedule[[#Headers],[BEGINNING BALANCE]])=1,LoanAmount,INDEX(PaymentSchedule[ENDING BALANCE],ROW()-ROW(PaymentSchedule[[#Headers],[BEGINNING BALANCE]])-1)),"")</f>
        <v>1939503.3262658531</v>
      </c>
      <c r="E44" s="19">
        <f>IF(PaymentSchedule[[#This Row],[PMT NO]]&lt;&gt;"",ScheduledPayment,"")</f>
        <v>8050.5201209471252</v>
      </c>
      <c r="F4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44" s="19">
        <f>IF(PaymentSchedule[[#This Row],[PMT NO]]&lt;&gt;"",PaymentSchedule[[#This Row],[TOTAL PAYMENT]]-PaymentSchedule[[#This Row],[INTEREST]],"")</f>
        <v>1989.5722263663347</v>
      </c>
      <c r="I44" s="19">
        <f>IF(PaymentSchedule[[#This Row],[PMT NO]]&lt;&gt;"",PaymentSchedule[[#This Row],[BEGINNING BALANCE]]*(InterestRate/PaymentsPerYear),"")</f>
        <v>6060.9478945807905</v>
      </c>
      <c r="J4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1937513.7540394869</v>
      </c>
      <c r="K44" s="19">
        <f>IF(PaymentSchedule[[#This Row],[PMT NO]]&lt;&gt;"",SUM(INDEX(PaymentSchedule[INTEREST],1,1):PaymentSchedule[[#This Row],[INTEREST]]),"")</f>
        <v>203180.91803074084</v>
      </c>
    </row>
    <row r="45" spans="2:11" x14ac:dyDescent="0.3">
      <c r="B45" s="21">
        <f>IF(LoanIsGood,IF(ROW()-ROW(PaymentSchedule[[#Headers],[PMT NO]])&gt;ScheduledNumberOfPayments,"",ROW()-ROW(PaymentSchedule[[#Headers],[PMT NO]])),"")</f>
        <v>34</v>
      </c>
      <c r="C45" s="20">
        <f>IF(PaymentSchedule[[#This Row],[PMT NO]]&lt;&gt;"",EOMONTH(LoanStartDate,ROW(PaymentSchedule[[#This Row],[PMT NO]])-ROW(PaymentSchedule[[#Headers],[PMT NO]])-2)+DAY(LoanStartDate),"")</f>
        <v>44652</v>
      </c>
      <c r="D45" s="19">
        <f>IF(PaymentSchedule[[#This Row],[PMT NO]]&lt;&gt;"",IF(ROW()-ROW(PaymentSchedule[[#Headers],[BEGINNING BALANCE]])=1,LoanAmount,INDEX(PaymentSchedule[ENDING BALANCE],ROW()-ROW(PaymentSchedule[[#Headers],[BEGINNING BALANCE]])-1)),"")</f>
        <v>1937513.7540394869</v>
      </c>
      <c r="E45" s="19">
        <f>IF(PaymentSchedule[[#This Row],[PMT NO]]&lt;&gt;"",ScheduledPayment,"")</f>
        <v>8050.5201209471252</v>
      </c>
      <c r="F4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45" s="19">
        <f>IF(PaymentSchedule[[#This Row],[PMT NO]]&lt;&gt;"",PaymentSchedule[[#This Row],[TOTAL PAYMENT]]-PaymentSchedule[[#This Row],[INTEREST]],"")</f>
        <v>1995.7896395737289</v>
      </c>
      <c r="I45" s="19">
        <f>IF(PaymentSchedule[[#This Row],[PMT NO]]&lt;&gt;"",PaymentSchedule[[#This Row],[BEGINNING BALANCE]]*(InterestRate/PaymentsPerYear),"")</f>
        <v>6054.7304813733963</v>
      </c>
      <c r="J4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1935517.9643999131</v>
      </c>
      <c r="K45" s="19">
        <f>IF(PaymentSchedule[[#This Row],[PMT NO]]&lt;&gt;"",SUM(INDEX(PaymentSchedule[INTEREST],1,1):PaymentSchedule[[#This Row],[INTEREST]]),"")</f>
        <v>209235.64851211425</v>
      </c>
    </row>
    <row r="46" spans="2:11" x14ac:dyDescent="0.3">
      <c r="B46" s="21">
        <f>IF(LoanIsGood,IF(ROW()-ROW(PaymentSchedule[[#Headers],[PMT NO]])&gt;ScheduledNumberOfPayments,"",ROW()-ROW(PaymentSchedule[[#Headers],[PMT NO]])),"")</f>
        <v>35</v>
      </c>
      <c r="C46" s="20">
        <f>IF(PaymentSchedule[[#This Row],[PMT NO]]&lt;&gt;"",EOMONTH(LoanStartDate,ROW(PaymentSchedule[[#This Row],[PMT NO]])-ROW(PaymentSchedule[[#Headers],[PMT NO]])-2)+DAY(LoanStartDate),"")</f>
        <v>44682</v>
      </c>
      <c r="D46" s="19">
        <f>IF(PaymentSchedule[[#This Row],[PMT NO]]&lt;&gt;"",IF(ROW()-ROW(PaymentSchedule[[#Headers],[BEGINNING BALANCE]])=1,LoanAmount,INDEX(PaymentSchedule[ENDING BALANCE],ROW()-ROW(PaymentSchedule[[#Headers],[BEGINNING BALANCE]])-1)),"")</f>
        <v>1935517.9643999131</v>
      </c>
      <c r="E46" s="19">
        <f>IF(PaymentSchedule[[#This Row],[PMT NO]]&lt;&gt;"",ScheduledPayment,"")</f>
        <v>8050.5201209471252</v>
      </c>
      <c r="F4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46" s="19">
        <f>IF(PaymentSchedule[[#This Row],[PMT NO]]&lt;&gt;"",PaymentSchedule[[#This Row],[TOTAL PAYMENT]]-PaymentSchedule[[#This Row],[INTEREST]],"")</f>
        <v>2002.0264821973969</v>
      </c>
      <c r="I46" s="19">
        <f>IF(PaymentSchedule[[#This Row],[PMT NO]]&lt;&gt;"",PaymentSchedule[[#This Row],[BEGINNING BALANCE]]*(InterestRate/PaymentsPerYear),"")</f>
        <v>6048.4936387497282</v>
      </c>
      <c r="J4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1933515.9379177156</v>
      </c>
      <c r="K46" s="19">
        <f>IF(PaymentSchedule[[#This Row],[PMT NO]]&lt;&gt;"",SUM(INDEX(PaymentSchedule[INTEREST],1,1):PaymentSchedule[[#This Row],[INTEREST]]),"")</f>
        <v>215284.14215086398</v>
      </c>
    </row>
    <row r="47" spans="2:11" x14ac:dyDescent="0.3">
      <c r="B47" s="21">
        <f>IF(LoanIsGood,IF(ROW()-ROW(PaymentSchedule[[#Headers],[PMT NO]])&gt;ScheduledNumberOfPayments,"",ROW()-ROW(PaymentSchedule[[#Headers],[PMT NO]])),"")</f>
        <v>36</v>
      </c>
      <c r="C47" s="20">
        <f>IF(PaymentSchedule[[#This Row],[PMT NO]]&lt;&gt;"",EOMONTH(LoanStartDate,ROW(PaymentSchedule[[#This Row],[PMT NO]])-ROW(PaymentSchedule[[#Headers],[PMT NO]])-2)+DAY(LoanStartDate),"")</f>
        <v>44713</v>
      </c>
      <c r="D47" s="19">
        <f>IF(PaymentSchedule[[#This Row],[PMT NO]]&lt;&gt;"",IF(ROW()-ROW(PaymentSchedule[[#Headers],[BEGINNING BALANCE]])=1,LoanAmount,INDEX(PaymentSchedule[ENDING BALANCE],ROW()-ROW(PaymentSchedule[[#Headers],[BEGINNING BALANCE]])-1)),"")</f>
        <v>1933515.9379177156</v>
      </c>
      <c r="E47" s="19">
        <f>IF(PaymentSchedule[[#This Row],[PMT NO]]&lt;&gt;"",ScheduledPayment,"")</f>
        <v>8050.5201209471252</v>
      </c>
      <c r="F4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47" s="19">
        <f>IF(PaymentSchedule[[#This Row],[PMT NO]]&lt;&gt;"",PaymentSchedule[[#This Row],[TOTAL PAYMENT]]-PaymentSchedule[[#This Row],[INTEREST]],"")</f>
        <v>2008.2828149542647</v>
      </c>
      <c r="I47" s="19">
        <f>IF(PaymentSchedule[[#This Row],[PMT NO]]&lt;&gt;"",PaymentSchedule[[#This Row],[BEGINNING BALANCE]]*(InterestRate/PaymentsPerYear),"")</f>
        <v>6042.2373059928605</v>
      </c>
      <c r="J4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1931507.6551027615</v>
      </c>
      <c r="K47" s="19">
        <f>IF(PaymentSchedule[[#This Row],[PMT NO]]&lt;&gt;"",SUM(INDEX(PaymentSchedule[INTEREST],1,1):PaymentSchedule[[#This Row],[INTEREST]]),"")</f>
        <v>221326.37945685684</v>
      </c>
    </row>
    <row r="48" spans="2:11" x14ac:dyDescent="0.3">
      <c r="B48" s="21">
        <f>IF(LoanIsGood,IF(ROW()-ROW(PaymentSchedule[[#Headers],[PMT NO]])&gt;ScheduledNumberOfPayments,"",ROW()-ROW(PaymentSchedule[[#Headers],[PMT NO]])),"")</f>
        <v>37</v>
      </c>
      <c r="C48" s="20">
        <f>IF(PaymentSchedule[[#This Row],[PMT NO]]&lt;&gt;"",EOMONTH(LoanStartDate,ROW(PaymentSchedule[[#This Row],[PMT NO]])-ROW(PaymentSchedule[[#Headers],[PMT NO]])-2)+DAY(LoanStartDate),"")</f>
        <v>44743</v>
      </c>
      <c r="D48" s="19">
        <f>IF(PaymentSchedule[[#This Row],[PMT NO]]&lt;&gt;"",IF(ROW()-ROW(PaymentSchedule[[#Headers],[BEGINNING BALANCE]])=1,LoanAmount,INDEX(PaymentSchedule[ENDING BALANCE],ROW()-ROW(PaymentSchedule[[#Headers],[BEGINNING BALANCE]])-1)),"")</f>
        <v>1931507.6551027615</v>
      </c>
      <c r="E48" s="19">
        <f>IF(PaymentSchedule[[#This Row],[PMT NO]]&lt;&gt;"",ScheduledPayment,"")</f>
        <v>8050.5201209471252</v>
      </c>
      <c r="F4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48" s="19">
        <f>IF(PaymentSchedule[[#This Row],[PMT NO]]&lt;&gt;"",PaymentSchedule[[#This Row],[TOTAL PAYMENT]]-PaymentSchedule[[#This Row],[INTEREST]],"")</f>
        <v>2014.558698750996</v>
      </c>
      <c r="I48" s="19">
        <f>IF(PaymentSchedule[[#This Row],[PMT NO]]&lt;&gt;"",PaymentSchedule[[#This Row],[BEGINNING BALANCE]]*(InterestRate/PaymentsPerYear),"")</f>
        <v>6035.9614221961292</v>
      </c>
      <c r="J4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1929493.0964040104</v>
      </c>
      <c r="K48" s="19">
        <f>IF(PaymentSchedule[[#This Row],[PMT NO]]&lt;&gt;"",SUM(INDEX(PaymentSchedule[INTEREST],1,1):PaymentSchedule[[#This Row],[INTEREST]]),"")</f>
        <v>227362.34087905296</v>
      </c>
    </row>
    <row r="49" spans="2:11" x14ac:dyDescent="0.3">
      <c r="B49" s="21">
        <f>IF(LoanIsGood,IF(ROW()-ROW(PaymentSchedule[[#Headers],[PMT NO]])&gt;ScheduledNumberOfPayments,"",ROW()-ROW(PaymentSchedule[[#Headers],[PMT NO]])),"")</f>
        <v>38</v>
      </c>
      <c r="C49" s="20">
        <f>IF(PaymentSchedule[[#This Row],[PMT NO]]&lt;&gt;"",EOMONTH(LoanStartDate,ROW(PaymentSchedule[[#This Row],[PMT NO]])-ROW(PaymentSchedule[[#Headers],[PMT NO]])-2)+DAY(LoanStartDate),"")</f>
        <v>44774</v>
      </c>
      <c r="D49" s="19">
        <f>IF(PaymentSchedule[[#This Row],[PMT NO]]&lt;&gt;"",IF(ROW()-ROW(PaymentSchedule[[#Headers],[BEGINNING BALANCE]])=1,LoanAmount,INDEX(PaymentSchedule[ENDING BALANCE],ROW()-ROW(PaymentSchedule[[#Headers],[BEGINNING BALANCE]])-1)),"")</f>
        <v>1929493.0964040104</v>
      </c>
      <c r="E49" s="19">
        <f>IF(PaymentSchedule[[#This Row],[PMT NO]]&lt;&gt;"",ScheduledPayment,"")</f>
        <v>8050.5201209471252</v>
      </c>
      <c r="F4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49" s="19">
        <f>IF(PaymentSchedule[[#This Row],[PMT NO]]&lt;&gt;"",PaymentSchedule[[#This Row],[TOTAL PAYMENT]]-PaymentSchedule[[#This Row],[INTEREST]],"")</f>
        <v>2020.8541946845935</v>
      </c>
      <c r="I49" s="19">
        <f>IF(PaymentSchedule[[#This Row],[PMT NO]]&lt;&gt;"",PaymentSchedule[[#This Row],[BEGINNING BALANCE]]*(InterestRate/PaymentsPerYear),"")</f>
        <v>6029.6659262625317</v>
      </c>
      <c r="J4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1927472.2422093258</v>
      </c>
      <c r="K49" s="19">
        <f>IF(PaymentSchedule[[#This Row],[PMT NO]]&lt;&gt;"",SUM(INDEX(PaymentSchedule[INTEREST],1,1):PaymentSchedule[[#This Row],[INTEREST]]),"")</f>
        <v>233392.0068053155</v>
      </c>
    </row>
    <row r="50" spans="2:11" x14ac:dyDescent="0.3">
      <c r="B50" s="21">
        <f>IF(LoanIsGood,IF(ROW()-ROW(PaymentSchedule[[#Headers],[PMT NO]])&gt;ScheduledNumberOfPayments,"",ROW()-ROW(PaymentSchedule[[#Headers],[PMT NO]])),"")</f>
        <v>39</v>
      </c>
      <c r="C50" s="20">
        <f>IF(PaymentSchedule[[#This Row],[PMT NO]]&lt;&gt;"",EOMONTH(LoanStartDate,ROW(PaymentSchedule[[#This Row],[PMT NO]])-ROW(PaymentSchedule[[#Headers],[PMT NO]])-2)+DAY(LoanStartDate),"")</f>
        <v>44805</v>
      </c>
      <c r="D50" s="19">
        <f>IF(PaymentSchedule[[#This Row],[PMT NO]]&lt;&gt;"",IF(ROW()-ROW(PaymentSchedule[[#Headers],[BEGINNING BALANCE]])=1,LoanAmount,INDEX(PaymentSchedule[ENDING BALANCE],ROW()-ROW(PaymentSchedule[[#Headers],[BEGINNING BALANCE]])-1)),"")</f>
        <v>1927472.2422093258</v>
      </c>
      <c r="E50" s="19">
        <f>IF(PaymentSchedule[[#This Row],[PMT NO]]&lt;&gt;"",ScheduledPayment,"")</f>
        <v>8050.5201209471252</v>
      </c>
      <c r="F5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50" s="19">
        <f>IF(PaymentSchedule[[#This Row],[PMT NO]]&lt;&gt;"",PaymentSchedule[[#This Row],[TOTAL PAYMENT]]-PaymentSchedule[[#This Row],[INTEREST]],"")</f>
        <v>2027.169364042983</v>
      </c>
      <c r="I50" s="19">
        <f>IF(PaymentSchedule[[#This Row],[PMT NO]]&lt;&gt;"",PaymentSchedule[[#This Row],[BEGINNING BALANCE]]*(InterestRate/PaymentsPerYear),"")</f>
        <v>6023.3507569041421</v>
      </c>
      <c r="J5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1925445.0728452827</v>
      </c>
      <c r="K50" s="19">
        <f>IF(PaymentSchedule[[#This Row],[PMT NO]]&lt;&gt;"",SUM(INDEX(PaymentSchedule[INTEREST],1,1):PaymentSchedule[[#This Row],[INTEREST]]),"")</f>
        <v>239415.35756221964</v>
      </c>
    </row>
    <row r="51" spans="2:11" x14ac:dyDescent="0.3">
      <c r="B51" s="21">
        <f>IF(LoanIsGood,IF(ROW()-ROW(PaymentSchedule[[#Headers],[PMT NO]])&gt;ScheduledNumberOfPayments,"",ROW()-ROW(PaymentSchedule[[#Headers],[PMT NO]])),"")</f>
        <v>40</v>
      </c>
      <c r="C51" s="20">
        <f>IF(PaymentSchedule[[#This Row],[PMT NO]]&lt;&gt;"",EOMONTH(LoanStartDate,ROW(PaymentSchedule[[#This Row],[PMT NO]])-ROW(PaymentSchedule[[#Headers],[PMT NO]])-2)+DAY(LoanStartDate),"")</f>
        <v>44835</v>
      </c>
      <c r="D51" s="19">
        <f>IF(PaymentSchedule[[#This Row],[PMT NO]]&lt;&gt;"",IF(ROW()-ROW(PaymentSchedule[[#Headers],[BEGINNING BALANCE]])=1,LoanAmount,INDEX(PaymentSchedule[ENDING BALANCE],ROW()-ROW(PaymentSchedule[[#Headers],[BEGINNING BALANCE]])-1)),"")</f>
        <v>1925445.0728452827</v>
      </c>
      <c r="E51" s="19">
        <f>IF(PaymentSchedule[[#This Row],[PMT NO]]&lt;&gt;"",ScheduledPayment,"")</f>
        <v>8050.5201209471252</v>
      </c>
      <c r="F5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51" s="19">
        <f>IF(PaymentSchedule[[#This Row],[PMT NO]]&lt;&gt;"",PaymentSchedule[[#This Row],[TOTAL PAYMENT]]-PaymentSchedule[[#This Row],[INTEREST]],"")</f>
        <v>2033.5042683056172</v>
      </c>
      <c r="I51" s="19">
        <f>IF(PaymentSchedule[[#This Row],[PMT NO]]&lt;&gt;"",PaymentSchedule[[#This Row],[BEGINNING BALANCE]]*(InterestRate/PaymentsPerYear),"")</f>
        <v>6017.015852641508</v>
      </c>
      <c r="J5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1923411.5685769771</v>
      </c>
      <c r="K51" s="19">
        <f>IF(PaymentSchedule[[#This Row],[PMT NO]]&lt;&gt;"",SUM(INDEX(PaymentSchedule[INTEREST],1,1):PaymentSchedule[[#This Row],[INTEREST]]),"")</f>
        <v>245432.37341486115</v>
      </c>
    </row>
    <row r="52" spans="2:11" x14ac:dyDescent="0.3">
      <c r="B52" s="21">
        <f>IF(LoanIsGood,IF(ROW()-ROW(PaymentSchedule[[#Headers],[PMT NO]])&gt;ScheduledNumberOfPayments,"",ROW()-ROW(PaymentSchedule[[#Headers],[PMT NO]])),"")</f>
        <v>41</v>
      </c>
      <c r="C52" s="20">
        <f>IF(PaymentSchedule[[#This Row],[PMT NO]]&lt;&gt;"",EOMONTH(LoanStartDate,ROW(PaymentSchedule[[#This Row],[PMT NO]])-ROW(PaymentSchedule[[#Headers],[PMT NO]])-2)+DAY(LoanStartDate),"")</f>
        <v>44866</v>
      </c>
      <c r="D52" s="19">
        <f>IF(PaymentSchedule[[#This Row],[PMT NO]]&lt;&gt;"",IF(ROW()-ROW(PaymentSchedule[[#Headers],[BEGINNING BALANCE]])=1,LoanAmount,INDEX(PaymentSchedule[ENDING BALANCE],ROW()-ROW(PaymentSchedule[[#Headers],[BEGINNING BALANCE]])-1)),"")</f>
        <v>1923411.5685769771</v>
      </c>
      <c r="E52" s="19">
        <f>IF(PaymentSchedule[[#This Row],[PMT NO]]&lt;&gt;"",ScheduledPayment,"")</f>
        <v>8050.5201209471252</v>
      </c>
      <c r="F5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52" s="19">
        <f>IF(PaymentSchedule[[#This Row],[PMT NO]]&lt;&gt;"",PaymentSchedule[[#This Row],[TOTAL PAYMENT]]-PaymentSchedule[[#This Row],[INTEREST]],"")</f>
        <v>2039.858969144072</v>
      </c>
      <c r="I52" s="19">
        <f>IF(PaymentSchedule[[#This Row],[PMT NO]]&lt;&gt;"",PaymentSchedule[[#This Row],[BEGINNING BALANCE]]*(InterestRate/PaymentsPerYear),"")</f>
        <v>6010.6611518030531</v>
      </c>
      <c r="J5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1921371.7096078331</v>
      </c>
      <c r="K52" s="19">
        <f>IF(PaymentSchedule[[#This Row],[PMT NO]]&lt;&gt;"",SUM(INDEX(PaymentSchedule[INTEREST],1,1):PaymentSchedule[[#This Row],[INTEREST]]),"")</f>
        <v>251443.0345666642</v>
      </c>
    </row>
    <row r="53" spans="2:11" x14ac:dyDescent="0.3">
      <c r="B53" s="21">
        <f>IF(LoanIsGood,IF(ROW()-ROW(PaymentSchedule[[#Headers],[PMT NO]])&gt;ScheduledNumberOfPayments,"",ROW()-ROW(PaymentSchedule[[#Headers],[PMT NO]])),"")</f>
        <v>42</v>
      </c>
      <c r="C53" s="20">
        <f>IF(PaymentSchedule[[#This Row],[PMT NO]]&lt;&gt;"",EOMONTH(LoanStartDate,ROW(PaymentSchedule[[#This Row],[PMT NO]])-ROW(PaymentSchedule[[#Headers],[PMT NO]])-2)+DAY(LoanStartDate),"")</f>
        <v>44896</v>
      </c>
      <c r="D53" s="19">
        <f>IF(PaymentSchedule[[#This Row],[PMT NO]]&lt;&gt;"",IF(ROW()-ROW(PaymentSchedule[[#Headers],[BEGINNING BALANCE]])=1,LoanAmount,INDEX(PaymentSchedule[ENDING BALANCE],ROW()-ROW(PaymentSchedule[[#Headers],[BEGINNING BALANCE]])-1)),"")</f>
        <v>1921371.7096078331</v>
      </c>
      <c r="E53" s="19">
        <f>IF(PaymentSchedule[[#This Row],[PMT NO]]&lt;&gt;"",ScheduledPayment,"")</f>
        <v>8050.5201209471252</v>
      </c>
      <c r="F5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53" s="19">
        <f>IF(PaymentSchedule[[#This Row],[PMT NO]]&lt;&gt;"",PaymentSchedule[[#This Row],[TOTAL PAYMENT]]-PaymentSchedule[[#This Row],[INTEREST]],"")</f>
        <v>2046.2335284226474</v>
      </c>
      <c r="I53" s="19">
        <f>IF(PaymentSchedule[[#This Row],[PMT NO]]&lt;&gt;"",PaymentSchedule[[#This Row],[BEGINNING BALANCE]]*(InterestRate/PaymentsPerYear),"")</f>
        <v>6004.2865925244778</v>
      </c>
      <c r="J5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1919325.4760794104</v>
      </c>
      <c r="K53" s="19">
        <f>IF(PaymentSchedule[[#This Row],[PMT NO]]&lt;&gt;"",SUM(INDEX(PaymentSchedule[INTEREST],1,1):PaymentSchedule[[#This Row],[INTEREST]]),"")</f>
        <v>257447.32115918866</v>
      </c>
    </row>
    <row r="54" spans="2:11" x14ac:dyDescent="0.3">
      <c r="B54" s="21">
        <f>IF(LoanIsGood,IF(ROW()-ROW(PaymentSchedule[[#Headers],[PMT NO]])&gt;ScheduledNumberOfPayments,"",ROW()-ROW(PaymentSchedule[[#Headers],[PMT NO]])),"")</f>
        <v>43</v>
      </c>
      <c r="C54" s="20">
        <f>IF(PaymentSchedule[[#This Row],[PMT NO]]&lt;&gt;"",EOMONTH(LoanStartDate,ROW(PaymentSchedule[[#This Row],[PMT NO]])-ROW(PaymentSchedule[[#Headers],[PMT NO]])-2)+DAY(LoanStartDate),"")</f>
        <v>44927</v>
      </c>
      <c r="D54" s="19">
        <f>IF(PaymentSchedule[[#This Row],[PMT NO]]&lt;&gt;"",IF(ROW()-ROW(PaymentSchedule[[#Headers],[BEGINNING BALANCE]])=1,LoanAmount,INDEX(PaymentSchedule[ENDING BALANCE],ROW()-ROW(PaymentSchedule[[#Headers],[BEGINNING BALANCE]])-1)),"")</f>
        <v>1919325.4760794104</v>
      </c>
      <c r="E54" s="19">
        <f>IF(PaymentSchedule[[#This Row],[PMT NO]]&lt;&gt;"",ScheduledPayment,"")</f>
        <v>8050.5201209471252</v>
      </c>
      <c r="F5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54" s="19">
        <f>IF(PaymentSchedule[[#This Row],[PMT NO]]&lt;&gt;"",PaymentSchedule[[#This Row],[TOTAL PAYMENT]]-PaymentSchedule[[#This Row],[INTEREST]],"")</f>
        <v>2052.628008198968</v>
      </c>
      <c r="I54" s="19">
        <f>IF(PaymentSchedule[[#This Row],[PMT NO]]&lt;&gt;"",PaymentSchedule[[#This Row],[BEGINNING BALANCE]]*(InterestRate/PaymentsPerYear),"")</f>
        <v>5997.8921127481572</v>
      </c>
      <c r="J5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1917272.8480712115</v>
      </c>
      <c r="K54" s="19">
        <f>IF(PaymentSchedule[[#This Row],[PMT NO]]&lt;&gt;"",SUM(INDEX(PaymentSchedule[INTEREST],1,1):PaymentSchedule[[#This Row],[INTEREST]]),"")</f>
        <v>263445.21327193681</v>
      </c>
    </row>
    <row r="55" spans="2:11" x14ac:dyDescent="0.3">
      <c r="B55" s="21">
        <f>IF(LoanIsGood,IF(ROW()-ROW(PaymentSchedule[[#Headers],[PMT NO]])&gt;ScheduledNumberOfPayments,"",ROW()-ROW(PaymentSchedule[[#Headers],[PMT NO]])),"")</f>
        <v>44</v>
      </c>
      <c r="C55" s="20">
        <f>IF(PaymentSchedule[[#This Row],[PMT NO]]&lt;&gt;"",EOMONTH(LoanStartDate,ROW(PaymentSchedule[[#This Row],[PMT NO]])-ROW(PaymentSchedule[[#Headers],[PMT NO]])-2)+DAY(LoanStartDate),"")</f>
        <v>44958</v>
      </c>
      <c r="D55" s="19">
        <f>IF(PaymentSchedule[[#This Row],[PMT NO]]&lt;&gt;"",IF(ROW()-ROW(PaymentSchedule[[#Headers],[BEGINNING BALANCE]])=1,LoanAmount,INDEX(PaymentSchedule[ENDING BALANCE],ROW()-ROW(PaymentSchedule[[#Headers],[BEGINNING BALANCE]])-1)),"")</f>
        <v>1917272.8480712115</v>
      </c>
      <c r="E55" s="19">
        <f>IF(PaymentSchedule[[#This Row],[PMT NO]]&lt;&gt;"",ScheduledPayment,"")</f>
        <v>8050.5201209471252</v>
      </c>
      <c r="F5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55" s="19">
        <f>IF(PaymentSchedule[[#This Row],[PMT NO]]&lt;&gt;"",PaymentSchedule[[#This Row],[TOTAL PAYMENT]]-PaymentSchedule[[#This Row],[INTEREST]],"")</f>
        <v>2059.0424707245902</v>
      </c>
      <c r="I55" s="19">
        <f>IF(PaymentSchedule[[#This Row],[PMT NO]]&lt;&gt;"",PaymentSchedule[[#This Row],[BEGINNING BALANCE]]*(InterestRate/PaymentsPerYear),"")</f>
        <v>5991.477650222535</v>
      </c>
      <c r="J5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1915213.8056004869</v>
      </c>
      <c r="K55" s="19">
        <f>IF(PaymentSchedule[[#This Row],[PMT NO]]&lt;&gt;"",SUM(INDEX(PaymentSchedule[INTEREST],1,1):PaymentSchedule[[#This Row],[INTEREST]]),"")</f>
        <v>269436.69092215935</v>
      </c>
    </row>
    <row r="56" spans="2:11" x14ac:dyDescent="0.3">
      <c r="B56" s="21">
        <f>IF(LoanIsGood,IF(ROW()-ROW(PaymentSchedule[[#Headers],[PMT NO]])&gt;ScheduledNumberOfPayments,"",ROW()-ROW(PaymentSchedule[[#Headers],[PMT NO]])),"")</f>
        <v>45</v>
      </c>
      <c r="C56" s="20">
        <f>IF(PaymentSchedule[[#This Row],[PMT NO]]&lt;&gt;"",EOMONTH(LoanStartDate,ROW(PaymentSchedule[[#This Row],[PMT NO]])-ROW(PaymentSchedule[[#Headers],[PMT NO]])-2)+DAY(LoanStartDate),"")</f>
        <v>44986</v>
      </c>
      <c r="D56" s="19">
        <f>IF(PaymentSchedule[[#This Row],[PMT NO]]&lt;&gt;"",IF(ROW()-ROW(PaymentSchedule[[#Headers],[BEGINNING BALANCE]])=1,LoanAmount,INDEX(PaymentSchedule[ENDING BALANCE],ROW()-ROW(PaymentSchedule[[#Headers],[BEGINNING BALANCE]])-1)),"")</f>
        <v>1915213.8056004869</v>
      </c>
      <c r="E56" s="19">
        <f>IF(PaymentSchedule[[#This Row],[PMT NO]]&lt;&gt;"",ScheduledPayment,"")</f>
        <v>8050.5201209471252</v>
      </c>
      <c r="F5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56" s="19">
        <f>IF(PaymentSchedule[[#This Row],[PMT NO]]&lt;&gt;"",PaymentSchedule[[#This Row],[TOTAL PAYMENT]]-PaymentSchedule[[#This Row],[INTEREST]],"")</f>
        <v>2065.4769784456039</v>
      </c>
      <c r="I56" s="19">
        <f>IF(PaymentSchedule[[#This Row],[PMT NO]]&lt;&gt;"",PaymentSchedule[[#This Row],[BEGINNING BALANCE]]*(InterestRate/PaymentsPerYear),"")</f>
        <v>5985.0431425015213</v>
      </c>
      <c r="J5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1913148.3286220413</v>
      </c>
      <c r="K56" s="19">
        <f>IF(PaymentSchedule[[#This Row],[PMT NO]]&lt;&gt;"",SUM(INDEX(PaymentSchedule[INTEREST],1,1):PaymentSchedule[[#This Row],[INTEREST]]),"")</f>
        <v>275421.73406466085</v>
      </c>
    </row>
    <row r="57" spans="2:11" x14ac:dyDescent="0.3">
      <c r="B57" s="21">
        <f>IF(LoanIsGood,IF(ROW()-ROW(PaymentSchedule[[#Headers],[PMT NO]])&gt;ScheduledNumberOfPayments,"",ROW()-ROW(PaymentSchedule[[#Headers],[PMT NO]])),"")</f>
        <v>46</v>
      </c>
      <c r="C57" s="20">
        <f>IF(PaymentSchedule[[#This Row],[PMT NO]]&lt;&gt;"",EOMONTH(LoanStartDate,ROW(PaymentSchedule[[#This Row],[PMT NO]])-ROW(PaymentSchedule[[#Headers],[PMT NO]])-2)+DAY(LoanStartDate),"")</f>
        <v>45017</v>
      </c>
      <c r="D57" s="19">
        <f>IF(PaymentSchedule[[#This Row],[PMT NO]]&lt;&gt;"",IF(ROW()-ROW(PaymentSchedule[[#Headers],[BEGINNING BALANCE]])=1,LoanAmount,INDEX(PaymentSchedule[ENDING BALANCE],ROW()-ROW(PaymentSchedule[[#Headers],[BEGINNING BALANCE]])-1)),"")</f>
        <v>1913148.3286220413</v>
      </c>
      <c r="E57" s="19">
        <f>IF(PaymentSchedule[[#This Row],[PMT NO]]&lt;&gt;"",ScheduledPayment,"")</f>
        <v>8050.5201209471252</v>
      </c>
      <c r="F5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57" s="19">
        <f>IF(PaymentSchedule[[#This Row],[PMT NO]]&lt;&gt;"",PaymentSchedule[[#This Row],[TOTAL PAYMENT]]-PaymentSchedule[[#This Row],[INTEREST]],"")</f>
        <v>2071.9315940032466</v>
      </c>
      <c r="I57" s="19">
        <f>IF(PaymentSchedule[[#This Row],[PMT NO]]&lt;&gt;"",PaymentSchedule[[#This Row],[BEGINNING BALANCE]]*(InterestRate/PaymentsPerYear),"")</f>
        <v>5978.5885269438786</v>
      </c>
      <c r="J5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1911076.397028038</v>
      </c>
      <c r="K57" s="19">
        <f>IF(PaymentSchedule[[#This Row],[PMT NO]]&lt;&gt;"",SUM(INDEX(PaymentSchedule[INTEREST],1,1):PaymentSchedule[[#This Row],[INTEREST]]),"")</f>
        <v>281400.32259160472</v>
      </c>
    </row>
    <row r="58" spans="2:11" x14ac:dyDescent="0.3">
      <c r="B58" s="21">
        <f>IF(LoanIsGood,IF(ROW()-ROW(PaymentSchedule[[#Headers],[PMT NO]])&gt;ScheduledNumberOfPayments,"",ROW()-ROW(PaymentSchedule[[#Headers],[PMT NO]])),"")</f>
        <v>47</v>
      </c>
      <c r="C58" s="20">
        <f>IF(PaymentSchedule[[#This Row],[PMT NO]]&lt;&gt;"",EOMONTH(LoanStartDate,ROW(PaymentSchedule[[#This Row],[PMT NO]])-ROW(PaymentSchedule[[#Headers],[PMT NO]])-2)+DAY(LoanStartDate),"")</f>
        <v>45047</v>
      </c>
      <c r="D58" s="19">
        <f>IF(PaymentSchedule[[#This Row],[PMT NO]]&lt;&gt;"",IF(ROW()-ROW(PaymentSchedule[[#Headers],[BEGINNING BALANCE]])=1,LoanAmount,INDEX(PaymentSchedule[ENDING BALANCE],ROW()-ROW(PaymentSchedule[[#Headers],[BEGINNING BALANCE]])-1)),"")</f>
        <v>1911076.397028038</v>
      </c>
      <c r="E58" s="19">
        <f>IF(PaymentSchedule[[#This Row],[PMT NO]]&lt;&gt;"",ScheduledPayment,"")</f>
        <v>8050.5201209471252</v>
      </c>
      <c r="F5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58" s="19">
        <f>IF(PaymentSchedule[[#This Row],[PMT NO]]&lt;&gt;"",PaymentSchedule[[#This Row],[TOTAL PAYMENT]]-PaymentSchedule[[#This Row],[INTEREST]],"")</f>
        <v>2078.4063802345072</v>
      </c>
      <c r="I58" s="19">
        <f>IF(PaymentSchedule[[#This Row],[PMT NO]]&lt;&gt;"",PaymentSchedule[[#This Row],[BEGINNING BALANCE]]*(InterestRate/PaymentsPerYear),"")</f>
        <v>5972.113740712618</v>
      </c>
      <c r="J5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1908997.9906478035</v>
      </c>
      <c r="K58" s="19">
        <f>IF(PaymentSchedule[[#This Row],[PMT NO]]&lt;&gt;"",SUM(INDEX(PaymentSchedule[INTEREST],1,1):PaymentSchedule[[#This Row],[INTEREST]]),"")</f>
        <v>287372.43633231736</v>
      </c>
    </row>
    <row r="59" spans="2:11" x14ac:dyDescent="0.3">
      <c r="B59" s="21">
        <f>IF(LoanIsGood,IF(ROW()-ROW(PaymentSchedule[[#Headers],[PMT NO]])&gt;ScheduledNumberOfPayments,"",ROW()-ROW(PaymentSchedule[[#Headers],[PMT NO]])),"")</f>
        <v>48</v>
      </c>
      <c r="C59" s="20">
        <f>IF(PaymentSchedule[[#This Row],[PMT NO]]&lt;&gt;"",EOMONTH(LoanStartDate,ROW(PaymentSchedule[[#This Row],[PMT NO]])-ROW(PaymentSchedule[[#Headers],[PMT NO]])-2)+DAY(LoanStartDate),"")</f>
        <v>45078</v>
      </c>
      <c r="D59" s="19">
        <f>IF(PaymentSchedule[[#This Row],[PMT NO]]&lt;&gt;"",IF(ROW()-ROW(PaymentSchedule[[#Headers],[BEGINNING BALANCE]])=1,LoanAmount,INDEX(PaymentSchedule[ENDING BALANCE],ROW()-ROW(PaymentSchedule[[#Headers],[BEGINNING BALANCE]])-1)),"")</f>
        <v>1908997.9906478035</v>
      </c>
      <c r="E59" s="19">
        <f>IF(PaymentSchedule[[#This Row],[PMT NO]]&lt;&gt;"",ScheduledPayment,"")</f>
        <v>8050.5201209471252</v>
      </c>
      <c r="F5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59" s="19">
        <f>IF(PaymentSchedule[[#This Row],[PMT NO]]&lt;&gt;"",PaymentSchedule[[#This Row],[TOTAL PAYMENT]]-PaymentSchedule[[#This Row],[INTEREST]],"")</f>
        <v>2084.9014001727401</v>
      </c>
      <c r="I59" s="19">
        <f>IF(PaymentSchedule[[#This Row],[PMT NO]]&lt;&gt;"",PaymentSchedule[[#This Row],[BEGINNING BALANCE]]*(InterestRate/PaymentsPerYear),"")</f>
        <v>5965.6187207743851</v>
      </c>
      <c r="J5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1906913.0892476307</v>
      </c>
      <c r="K59" s="19">
        <f>IF(PaymentSchedule[[#This Row],[PMT NO]]&lt;&gt;"",SUM(INDEX(PaymentSchedule[INTEREST],1,1):PaymentSchedule[[#This Row],[INTEREST]]),"")</f>
        <v>293338.05505309172</v>
      </c>
    </row>
    <row r="60" spans="2:11" x14ac:dyDescent="0.3">
      <c r="B60" s="21">
        <f>IF(LoanIsGood,IF(ROW()-ROW(PaymentSchedule[[#Headers],[PMT NO]])&gt;ScheduledNumberOfPayments,"",ROW()-ROW(PaymentSchedule[[#Headers],[PMT NO]])),"")</f>
        <v>49</v>
      </c>
      <c r="C60" s="20">
        <f>IF(PaymentSchedule[[#This Row],[PMT NO]]&lt;&gt;"",EOMONTH(LoanStartDate,ROW(PaymentSchedule[[#This Row],[PMT NO]])-ROW(PaymentSchedule[[#Headers],[PMT NO]])-2)+DAY(LoanStartDate),"")</f>
        <v>45108</v>
      </c>
      <c r="D60" s="19">
        <f>IF(PaymentSchedule[[#This Row],[PMT NO]]&lt;&gt;"",IF(ROW()-ROW(PaymentSchedule[[#Headers],[BEGINNING BALANCE]])=1,LoanAmount,INDEX(PaymentSchedule[ENDING BALANCE],ROW()-ROW(PaymentSchedule[[#Headers],[BEGINNING BALANCE]])-1)),"")</f>
        <v>1906913.0892476307</v>
      </c>
      <c r="E60" s="19">
        <f>IF(PaymentSchedule[[#This Row],[PMT NO]]&lt;&gt;"",ScheduledPayment,"")</f>
        <v>8050.5201209471252</v>
      </c>
      <c r="F6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60" s="19">
        <f>IF(PaymentSchedule[[#This Row],[PMT NO]]&lt;&gt;"",PaymentSchedule[[#This Row],[TOTAL PAYMENT]]-PaymentSchedule[[#This Row],[INTEREST]],"")</f>
        <v>2091.4167170482797</v>
      </c>
      <c r="I60" s="19">
        <f>IF(PaymentSchedule[[#This Row],[PMT NO]]&lt;&gt;"",PaymentSchedule[[#This Row],[BEGINNING BALANCE]]*(InterestRate/PaymentsPerYear),"")</f>
        <v>5959.1034038988455</v>
      </c>
      <c r="J6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1904821.6725305824</v>
      </c>
      <c r="K60" s="19">
        <f>IF(PaymentSchedule[[#This Row],[PMT NO]]&lt;&gt;"",SUM(INDEX(PaymentSchedule[INTEREST],1,1):PaymentSchedule[[#This Row],[INTEREST]]),"")</f>
        <v>299297.15845699055</v>
      </c>
    </row>
    <row r="61" spans="2:11" x14ac:dyDescent="0.3">
      <c r="B61" s="21">
        <f>IF(LoanIsGood,IF(ROW()-ROW(PaymentSchedule[[#Headers],[PMT NO]])&gt;ScheduledNumberOfPayments,"",ROW()-ROW(PaymentSchedule[[#Headers],[PMT NO]])),"")</f>
        <v>50</v>
      </c>
      <c r="C61" s="20">
        <f>IF(PaymentSchedule[[#This Row],[PMT NO]]&lt;&gt;"",EOMONTH(LoanStartDate,ROW(PaymentSchedule[[#This Row],[PMT NO]])-ROW(PaymentSchedule[[#Headers],[PMT NO]])-2)+DAY(LoanStartDate),"")</f>
        <v>45139</v>
      </c>
      <c r="D61" s="19">
        <f>IF(PaymentSchedule[[#This Row],[PMT NO]]&lt;&gt;"",IF(ROW()-ROW(PaymentSchedule[[#Headers],[BEGINNING BALANCE]])=1,LoanAmount,INDEX(PaymentSchedule[ENDING BALANCE],ROW()-ROW(PaymentSchedule[[#Headers],[BEGINNING BALANCE]])-1)),"")</f>
        <v>1904821.6725305824</v>
      </c>
      <c r="E61" s="19">
        <f>IF(PaymentSchedule[[#This Row],[PMT NO]]&lt;&gt;"",ScheduledPayment,"")</f>
        <v>8050.5201209471252</v>
      </c>
      <c r="F6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61" s="19">
        <f>IF(PaymentSchedule[[#This Row],[PMT NO]]&lt;&gt;"",PaymentSchedule[[#This Row],[TOTAL PAYMENT]]-PaymentSchedule[[#This Row],[INTEREST]],"")</f>
        <v>2097.9523942890555</v>
      </c>
      <c r="I61" s="19">
        <f>IF(PaymentSchedule[[#This Row],[PMT NO]]&lt;&gt;"",PaymentSchedule[[#This Row],[BEGINNING BALANCE]]*(InterestRate/PaymentsPerYear),"")</f>
        <v>5952.5677266580697</v>
      </c>
      <c r="J6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1902723.7201362934</v>
      </c>
      <c r="K61" s="19">
        <f>IF(PaymentSchedule[[#This Row],[PMT NO]]&lt;&gt;"",SUM(INDEX(PaymentSchedule[INTEREST],1,1):PaymentSchedule[[#This Row],[INTEREST]]),"")</f>
        <v>305249.72618364863</v>
      </c>
    </row>
    <row r="62" spans="2:11" x14ac:dyDescent="0.3">
      <c r="B62" s="21">
        <f>IF(LoanIsGood,IF(ROW()-ROW(PaymentSchedule[[#Headers],[PMT NO]])&gt;ScheduledNumberOfPayments,"",ROW()-ROW(PaymentSchedule[[#Headers],[PMT NO]])),"")</f>
        <v>51</v>
      </c>
      <c r="C62" s="20">
        <f>IF(PaymentSchedule[[#This Row],[PMT NO]]&lt;&gt;"",EOMONTH(LoanStartDate,ROW(PaymentSchedule[[#This Row],[PMT NO]])-ROW(PaymentSchedule[[#Headers],[PMT NO]])-2)+DAY(LoanStartDate),"")</f>
        <v>45170</v>
      </c>
      <c r="D62" s="19">
        <f>IF(PaymentSchedule[[#This Row],[PMT NO]]&lt;&gt;"",IF(ROW()-ROW(PaymentSchedule[[#Headers],[BEGINNING BALANCE]])=1,LoanAmount,INDEX(PaymentSchedule[ENDING BALANCE],ROW()-ROW(PaymentSchedule[[#Headers],[BEGINNING BALANCE]])-1)),"")</f>
        <v>1902723.7201362934</v>
      </c>
      <c r="E62" s="19">
        <f>IF(PaymentSchedule[[#This Row],[PMT NO]]&lt;&gt;"",ScheduledPayment,"")</f>
        <v>8050.5201209471252</v>
      </c>
      <c r="F6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62" s="19">
        <f>IF(PaymentSchedule[[#This Row],[PMT NO]]&lt;&gt;"",PaymentSchedule[[#This Row],[TOTAL PAYMENT]]-PaymentSchedule[[#This Row],[INTEREST]],"")</f>
        <v>2104.5084955212087</v>
      </c>
      <c r="I62" s="19">
        <f>IF(PaymentSchedule[[#This Row],[PMT NO]]&lt;&gt;"",PaymentSchedule[[#This Row],[BEGINNING BALANCE]]*(InterestRate/PaymentsPerYear),"")</f>
        <v>5946.0116254259165</v>
      </c>
      <c r="J6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1900619.2116407722</v>
      </c>
      <c r="K62" s="19">
        <f>IF(PaymentSchedule[[#This Row],[PMT NO]]&lt;&gt;"",SUM(INDEX(PaymentSchedule[INTEREST],1,1):PaymentSchedule[[#This Row],[INTEREST]]),"")</f>
        <v>311195.73780907452</v>
      </c>
    </row>
    <row r="63" spans="2:11" x14ac:dyDescent="0.3">
      <c r="B63" s="21">
        <f>IF(LoanIsGood,IF(ROW()-ROW(PaymentSchedule[[#Headers],[PMT NO]])&gt;ScheduledNumberOfPayments,"",ROW()-ROW(PaymentSchedule[[#Headers],[PMT NO]])),"")</f>
        <v>52</v>
      </c>
      <c r="C63" s="20">
        <f>IF(PaymentSchedule[[#This Row],[PMT NO]]&lt;&gt;"",EOMONTH(LoanStartDate,ROW(PaymentSchedule[[#This Row],[PMT NO]])-ROW(PaymentSchedule[[#Headers],[PMT NO]])-2)+DAY(LoanStartDate),"")</f>
        <v>45200</v>
      </c>
      <c r="D63" s="19">
        <f>IF(PaymentSchedule[[#This Row],[PMT NO]]&lt;&gt;"",IF(ROW()-ROW(PaymentSchedule[[#Headers],[BEGINNING BALANCE]])=1,LoanAmount,INDEX(PaymentSchedule[ENDING BALANCE],ROW()-ROW(PaymentSchedule[[#Headers],[BEGINNING BALANCE]])-1)),"")</f>
        <v>1900619.2116407722</v>
      </c>
      <c r="E63" s="19">
        <f>IF(PaymentSchedule[[#This Row],[PMT NO]]&lt;&gt;"",ScheduledPayment,"")</f>
        <v>8050.5201209471252</v>
      </c>
      <c r="F6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63" s="19">
        <f>IF(PaymentSchedule[[#This Row],[PMT NO]]&lt;&gt;"",PaymentSchedule[[#This Row],[TOTAL PAYMENT]]-PaymentSchedule[[#This Row],[INTEREST]],"")</f>
        <v>2111.0850845697123</v>
      </c>
      <c r="I63" s="19">
        <f>IF(PaymentSchedule[[#This Row],[PMT NO]]&lt;&gt;"",PaymentSchedule[[#This Row],[BEGINNING BALANCE]]*(InterestRate/PaymentsPerYear),"")</f>
        <v>5939.4350363774129</v>
      </c>
      <c r="J6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1898508.1265562025</v>
      </c>
      <c r="K63" s="19">
        <f>IF(PaymentSchedule[[#This Row],[PMT NO]]&lt;&gt;"",SUM(INDEX(PaymentSchedule[INTEREST],1,1):PaymentSchedule[[#This Row],[INTEREST]]),"")</f>
        <v>317135.17284545192</v>
      </c>
    </row>
    <row r="64" spans="2:11" x14ac:dyDescent="0.3">
      <c r="B64" s="21">
        <f>IF(LoanIsGood,IF(ROW()-ROW(PaymentSchedule[[#Headers],[PMT NO]])&gt;ScheduledNumberOfPayments,"",ROW()-ROW(PaymentSchedule[[#Headers],[PMT NO]])),"")</f>
        <v>53</v>
      </c>
      <c r="C64" s="20">
        <f>IF(PaymentSchedule[[#This Row],[PMT NO]]&lt;&gt;"",EOMONTH(LoanStartDate,ROW(PaymentSchedule[[#This Row],[PMT NO]])-ROW(PaymentSchedule[[#Headers],[PMT NO]])-2)+DAY(LoanStartDate),"")</f>
        <v>45231</v>
      </c>
      <c r="D64" s="19">
        <f>IF(PaymentSchedule[[#This Row],[PMT NO]]&lt;&gt;"",IF(ROW()-ROW(PaymentSchedule[[#Headers],[BEGINNING BALANCE]])=1,LoanAmount,INDEX(PaymentSchedule[ENDING BALANCE],ROW()-ROW(PaymentSchedule[[#Headers],[BEGINNING BALANCE]])-1)),"")</f>
        <v>1898508.1265562025</v>
      </c>
      <c r="E64" s="19">
        <f>IF(PaymentSchedule[[#This Row],[PMT NO]]&lt;&gt;"",ScheduledPayment,"")</f>
        <v>8050.5201209471252</v>
      </c>
      <c r="F6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64" s="19">
        <f>IF(PaymentSchedule[[#This Row],[PMT NO]]&lt;&gt;"",PaymentSchedule[[#This Row],[TOTAL PAYMENT]]-PaymentSchedule[[#This Row],[INTEREST]],"")</f>
        <v>2117.6822254589924</v>
      </c>
      <c r="I64" s="19">
        <f>IF(PaymentSchedule[[#This Row],[PMT NO]]&lt;&gt;"",PaymentSchedule[[#This Row],[BEGINNING BALANCE]]*(InterestRate/PaymentsPerYear),"")</f>
        <v>5932.8378954881327</v>
      </c>
      <c r="J6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1896390.4443307435</v>
      </c>
      <c r="K64" s="19">
        <f>IF(PaymentSchedule[[#This Row],[PMT NO]]&lt;&gt;"",SUM(INDEX(PaymentSchedule[INTEREST],1,1):PaymentSchedule[[#This Row],[INTEREST]]),"")</f>
        <v>323068.01074094005</v>
      </c>
    </row>
    <row r="65" spans="2:11" x14ac:dyDescent="0.3">
      <c r="B65" s="21">
        <f>IF(LoanIsGood,IF(ROW()-ROW(PaymentSchedule[[#Headers],[PMT NO]])&gt;ScheduledNumberOfPayments,"",ROW()-ROW(PaymentSchedule[[#Headers],[PMT NO]])),"")</f>
        <v>54</v>
      </c>
      <c r="C65" s="20">
        <f>IF(PaymentSchedule[[#This Row],[PMT NO]]&lt;&gt;"",EOMONTH(LoanStartDate,ROW(PaymentSchedule[[#This Row],[PMT NO]])-ROW(PaymentSchedule[[#Headers],[PMT NO]])-2)+DAY(LoanStartDate),"")</f>
        <v>45261</v>
      </c>
      <c r="D65" s="19">
        <f>IF(PaymentSchedule[[#This Row],[PMT NO]]&lt;&gt;"",IF(ROW()-ROW(PaymentSchedule[[#Headers],[BEGINNING BALANCE]])=1,LoanAmount,INDEX(PaymentSchedule[ENDING BALANCE],ROW()-ROW(PaymentSchedule[[#Headers],[BEGINNING BALANCE]])-1)),"")</f>
        <v>1896390.4443307435</v>
      </c>
      <c r="E65" s="19">
        <f>IF(PaymentSchedule[[#This Row],[PMT NO]]&lt;&gt;"",ScheduledPayment,"")</f>
        <v>8050.5201209471252</v>
      </c>
      <c r="F6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65" s="19">
        <f>IF(PaymentSchedule[[#This Row],[PMT NO]]&lt;&gt;"",PaymentSchedule[[#This Row],[TOTAL PAYMENT]]-PaymentSchedule[[#This Row],[INTEREST]],"")</f>
        <v>2124.2999824135522</v>
      </c>
      <c r="I65" s="19">
        <f>IF(PaymentSchedule[[#This Row],[PMT NO]]&lt;&gt;"",PaymentSchedule[[#This Row],[BEGINNING BALANCE]]*(InterestRate/PaymentsPerYear),"")</f>
        <v>5926.2201385335729</v>
      </c>
      <c r="J6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1894266.1443483299</v>
      </c>
      <c r="K65" s="19">
        <f>IF(PaymentSchedule[[#This Row],[PMT NO]]&lt;&gt;"",SUM(INDEX(PaymentSchedule[INTEREST],1,1):PaymentSchedule[[#This Row],[INTEREST]]),"")</f>
        <v>328994.23087947362</v>
      </c>
    </row>
    <row r="66" spans="2:11" x14ac:dyDescent="0.3">
      <c r="B66" s="21">
        <f>IF(LoanIsGood,IF(ROW()-ROW(PaymentSchedule[[#Headers],[PMT NO]])&gt;ScheduledNumberOfPayments,"",ROW()-ROW(PaymentSchedule[[#Headers],[PMT NO]])),"")</f>
        <v>55</v>
      </c>
      <c r="C66" s="20">
        <f>IF(PaymentSchedule[[#This Row],[PMT NO]]&lt;&gt;"",EOMONTH(LoanStartDate,ROW(PaymentSchedule[[#This Row],[PMT NO]])-ROW(PaymentSchedule[[#Headers],[PMT NO]])-2)+DAY(LoanStartDate),"")</f>
        <v>45292</v>
      </c>
      <c r="D66" s="19">
        <f>IF(PaymentSchedule[[#This Row],[PMT NO]]&lt;&gt;"",IF(ROW()-ROW(PaymentSchedule[[#Headers],[BEGINNING BALANCE]])=1,LoanAmount,INDEX(PaymentSchedule[ENDING BALANCE],ROW()-ROW(PaymentSchedule[[#Headers],[BEGINNING BALANCE]])-1)),"")</f>
        <v>1894266.1443483299</v>
      </c>
      <c r="E66" s="19">
        <f>IF(PaymentSchedule[[#This Row],[PMT NO]]&lt;&gt;"",ScheduledPayment,"")</f>
        <v>8050.5201209471252</v>
      </c>
      <c r="F6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66" s="19">
        <f>IF(PaymentSchedule[[#This Row],[PMT NO]]&lt;&gt;"",PaymentSchedule[[#This Row],[TOTAL PAYMENT]]-PaymentSchedule[[#This Row],[INTEREST]],"")</f>
        <v>2130.9384198585949</v>
      </c>
      <c r="I66" s="19">
        <f>IF(PaymentSchedule[[#This Row],[PMT NO]]&lt;&gt;"",PaymentSchedule[[#This Row],[BEGINNING BALANCE]]*(InterestRate/PaymentsPerYear),"")</f>
        <v>5919.5817010885303</v>
      </c>
      <c r="J6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1892135.2059284712</v>
      </c>
      <c r="K66" s="19">
        <f>IF(PaymentSchedule[[#This Row],[PMT NO]]&lt;&gt;"",SUM(INDEX(PaymentSchedule[INTEREST],1,1):PaymentSchedule[[#This Row],[INTEREST]]),"")</f>
        <v>334913.81258056214</v>
      </c>
    </row>
    <row r="67" spans="2:11" x14ac:dyDescent="0.3">
      <c r="B67" s="21">
        <f>IF(LoanIsGood,IF(ROW()-ROW(PaymentSchedule[[#Headers],[PMT NO]])&gt;ScheduledNumberOfPayments,"",ROW()-ROW(PaymentSchedule[[#Headers],[PMT NO]])),"")</f>
        <v>56</v>
      </c>
      <c r="C67" s="20">
        <f>IF(PaymentSchedule[[#This Row],[PMT NO]]&lt;&gt;"",EOMONTH(LoanStartDate,ROW(PaymentSchedule[[#This Row],[PMT NO]])-ROW(PaymentSchedule[[#Headers],[PMT NO]])-2)+DAY(LoanStartDate),"")</f>
        <v>45323</v>
      </c>
      <c r="D67" s="19">
        <f>IF(PaymentSchedule[[#This Row],[PMT NO]]&lt;&gt;"",IF(ROW()-ROW(PaymentSchedule[[#Headers],[BEGINNING BALANCE]])=1,LoanAmount,INDEX(PaymentSchedule[ENDING BALANCE],ROW()-ROW(PaymentSchedule[[#Headers],[BEGINNING BALANCE]])-1)),"")</f>
        <v>1892135.2059284712</v>
      </c>
      <c r="E67" s="19">
        <f>IF(PaymentSchedule[[#This Row],[PMT NO]]&lt;&gt;"",ScheduledPayment,"")</f>
        <v>8050.5201209471252</v>
      </c>
      <c r="F6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67" s="19">
        <f>IF(PaymentSchedule[[#This Row],[PMT NO]]&lt;&gt;"",PaymentSchedule[[#This Row],[TOTAL PAYMENT]]-PaymentSchedule[[#This Row],[INTEREST]],"")</f>
        <v>2137.5976024206529</v>
      </c>
      <c r="I67" s="19">
        <f>IF(PaymentSchedule[[#This Row],[PMT NO]]&lt;&gt;"",PaymentSchedule[[#This Row],[BEGINNING BALANCE]]*(InterestRate/PaymentsPerYear),"")</f>
        <v>5912.9225185264722</v>
      </c>
      <c r="J6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1889997.6083260505</v>
      </c>
      <c r="K67" s="19">
        <f>IF(PaymentSchedule[[#This Row],[PMT NO]]&lt;&gt;"",SUM(INDEX(PaymentSchedule[INTEREST],1,1):PaymentSchedule[[#This Row],[INTEREST]]),"")</f>
        <v>340826.73509908863</v>
      </c>
    </row>
    <row r="68" spans="2:11" x14ac:dyDescent="0.3">
      <c r="B68" s="21">
        <f>IF(LoanIsGood,IF(ROW()-ROW(PaymentSchedule[[#Headers],[PMT NO]])&gt;ScheduledNumberOfPayments,"",ROW()-ROW(PaymentSchedule[[#Headers],[PMT NO]])),"")</f>
        <v>57</v>
      </c>
      <c r="C68" s="20">
        <f>IF(PaymentSchedule[[#This Row],[PMT NO]]&lt;&gt;"",EOMONTH(LoanStartDate,ROW(PaymentSchedule[[#This Row],[PMT NO]])-ROW(PaymentSchedule[[#Headers],[PMT NO]])-2)+DAY(LoanStartDate),"")</f>
        <v>45352</v>
      </c>
      <c r="D68" s="19">
        <f>IF(PaymentSchedule[[#This Row],[PMT NO]]&lt;&gt;"",IF(ROW()-ROW(PaymentSchedule[[#Headers],[BEGINNING BALANCE]])=1,LoanAmount,INDEX(PaymentSchedule[ENDING BALANCE],ROW()-ROW(PaymentSchedule[[#Headers],[BEGINNING BALANCE]])-1)),"")</f>
        <v>1889997.6083260505</v>
      </c>
      <c r="E68" s="19">
        <f>IF(PaymentSchedule[[#This Row],[PMT NO]]&lt;&gt;"",ScheduledPayment,"")</f>
        <v>8050.5201209471252</v>
      </c>
      <c r="F6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68" s="19">
        <f>IF(PaymentSchedule[[#This Row],[PMT NO]]&lt;&gt;"",PaymentSchedule[[#This Row],[TOTAL PAYMENT]]-PaymentSchedule[[#This Row],[INTEREST]],"")</f>
        <v>2144.2775949282177</v>
      </c>
      <c r="I68" s="19">
        <f>IF(PaymentSchedule[[#This Row],[PMT NO]]&lt;&gt;"",PaymentSchedule[[#This Row],[BEGINNING BALANCE]]*(InterestRate/PaymentsPerYear),"")</f>
        <v>5906.2425260189075</v>
      </c>
      <c r="J6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1887853.3307311223</v>
      </c>
      <c r="K68" s="19">
        <f>IF(PaymentSchedule[[#This Row],[PMT NO]]&lt;&gt;"",SUM(INDEX(PaymentSchedule[INTEREST],1,1):PaymentSchedule[[#This Row],[INTEREST]]),"")</f>
        <v>346732.97762510757</v>
      </c>
    </row>
    <row r="69" spans="2:11" x14ac:dyDescent="0.3">
      <c r="B69" s="21">
        <f>IF(LoanIsGood,IF(ROW()-ROW(PaymentSchedule[[#Headers],[PMT NO]])&gt;ScheduledNumberOfPayments,"",ROW()-ROW(PaymentSchedule[[#Headers],[PMT NO]])),"")</f>
        <v>58</v>
      </c>
      <c r="C69" s="20">
        <f>IF(PaymentSchedule[[#This Row],[PMT NO]]&lt;&gt;"",EOMONTH(LoanStartDate,ROW(PaymentSchedule[[#This Row],[PMT NO]])-ROW(PaymentSchedule[[#Headers],[PMT NO]])-2)+DAY(LoanStartDate),"")</f>
        <v>45383</v>
      </c>
      <c r="D69" s="19">
        <f>IF(PaymentSchedule[[#This Row],[PMT NO]]&lt;&gt;"",IF(ROW()-ROW(PaymentSchedule[[#Headers],[BEGINNING BALANCE]])=1,LoanAmount,INDEX(PaymentSchedule[ENDING BALANCE],ROW()-ROW(PaymentSchedule[[#Headers],[BEGINNING BALANCE]])-1)),"")</f>
        <v>1887853.3307311223</v>
      </c>
      <c r="E69" s="19">
        <f>IF(PaymentSchedule[[#This Row],[PMT NO]]&lt;&gt;"",ScheduledPayment,"")</f>
        <v>8050.5201209471252</v>
      </c>
      <c r="F6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69" s="19">
        <f>IF(PaymentSchedule[[#This Row],[PMT NO]]&lt;&gt;"",PaymentSchedule[[#This Row],[TOTAL PAYMENT]]-PaymentSchedule[[#This Row],[INTEREST]],"")</f>
        <v>2150.9784624123686</v>
      </c>
      <c r="I69" s="19">
        <f>IF(PaymentSchedule[[#This Row],[PMT NO]]&lt;&gt;"",PaymentSchedule[[#This Row],[BEGINNING BALANCE]]*(InterestRate/PaymentsPerYear),"")</f>
        <v>5899.5416585347566</v>
      </c>
      <c r="J6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1885702.35226871</v>
      </c>
      <c r="K69" s="19">
        <f>IF(PaymentSchedule[[#This Row],[PMT NO]]&lt;&gt;"",SUM(INDEX(PaymentSchedule[INTEREST],1,1):PaymentSchedule[[#This Row],[INTEREST]]),"")</f>
        <v>352632.51928364235</v>
      </c>
    </row>
    <row r="70" spans="2:11" x14ac:dyDescent="0.3">
      <c r="B70" s="21">
        <f>IF(LoanIsGood,IF(ROW()-ROW(PaymentSchedule[[#Headers],[PMT NO]])&gt;ScheduledNumberOfPayments,"",ROW()-ROW(PaymentSchedule[[#Headers],[PMT NO]])),"")</f>
        <v>59</v>
      </c>
      <c r="C70" s="20">
        <f>IF(PaymentSchedule[[#This Row],[PMT NO]]&lt;&gt;"",EOMONTH(LoanStartDate,ROW(PaymentSchedule[[#This Row],[PMT NO]])-ROW(PaymentSchedule[[#Headers],[PMT NO]])-2)+DAY(LoanStartDate),"")</f>
        <v>45413</v>
      </c>
      <c r="D70" s="19">
        <f>IF(PaymentSchedule[[#This Row],[PMT NO]]&lt;&gt;"",IF(ROW()-ROW(PaymentSchedule[[#Headers],[BEGINNING BALANCE]])=1,LoanAmount,INDEX(PaymentSchedule[ENDING BALANCE],ROW()-ROW(PaymentSchedule[[#Headers],[BEGINNING BALANCE]])-1)),"")</f>
        <v>1885702.35226871</v>
      </c>
      <c r="E70" s="19">
        <f>IF(PaymentSchedule[[#This Row],[PMT NO]]&lt;&gt;"",ScheduledPayment,"")</f>
        <v>8050.5201209471252</v>
      </c>
      <c r="F7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70" s="19">
        <f>IF(PaymentSchedule[[#This Row],[PMT NO]]&lt;&gt;"",PaymentSchedule[[#This Row],[TOTAL PAYMENT]]-PaymentSchedule[[#This Row],[INTEREST]],"")</f>
        <v>2157.7002701074071</v>
      </c>
      <c r="I70" s="19">
        <f>IF(PaymentSchedule[[#This Row],[PMT NO]]&lt;&gt;"",PaymentSchedule[[#This Row],[BEGINNING BALANCE]]*(InterestRate/PaymentsPerYear),"")</f>
        <v>5892.8198508397181</v>
      </c>
      <c r="J7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1883544.6519986026</v>
      </c>
      <c r="K70" s="19">
        <f>IF(PaymentSchedule[[#This Row],[PMT NO]]&lt;&gt;"",SUM(INDEX(PaymentSchedule[INTEREST],1,1):PaymentSchedule[[#This Row],[INTEREST]]),"")</f>
        <v>358525.33913448208</v>
      </c>
    </row>
    <row r="71" spans="2:11" x14ac:dyDescent="0.3">
      <c r="B71" s="21">
        <f>IF(LoanIsGood,IF(ROW()-ROW(PaymentSchedule[[#Headers],[PMT NO]])&gt;ScheduledNumberOfPayments,"",ROW()-ROW(PaymentSchedule[[#Headers],[PMT NO]])),"")</f>
        <v>60</v>
      </c>
      <c r="C71" s="20">
        <f>IF(PaymentSchedule[[#This Row],[PMT NO]]&lt;&gt;"",EOMONTH(LoanStartDate,ROW(PaymentSchedule[[#This Row],[PMT NO]])-ROW(PaymentSchedule[[#Headers],[PMT NO]])-2)+DAY(LoanStartDate),"")</f>
        <v>45444</v>
      </c>
      <c r="D71" s="19">
        <f>IF(PaymentSchedule[[#This Row],[PMT NO]]&lt;&gt;"",IF(ROW()-ROW(PaymentSchedule[[#Headers],[BEGINNING BALANCE]])=1,LoanAmount,INDEX(PaymentSchedule[ENDING BALANCE],ROW()-ROW(PaymentSchedule[[#Headers],[BEGINNING BALANCE]])-1)),"")</f>
        <v>1883544.6519986026</v>
      </c>
      <c r="E71" s="19">
        <f>IF(PaymentSchedule[[#This Row],[PMT NO]]&lt;&gt;"",ScheduledPayment,"")</f>
        <v>8050.5201209471252</v>
      </c>
      <c r="F7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71" s="19">
        <f>IF(PaymentSchedule[[#This Row],[PMT NO]]&lt;&gt;"",PaymentSchedule[[#This Row],[TOTAL PAYMENT]]-PaymentSchedule[[#This Row],[INTEREST]],"")</f>
        <v>2164.4430834514924</v>
      </c>
      <c r="I71" s="19">
        <f>IF(PaymentSchedule[[#This Row],[PMT NO]]&lt;&gt;"",PaymentSchedule[[#This Row],[BEGINNING BALANCE]]*(InterestRate/PaymentsPerYear),"")</f>
        <v>5886.0770374956328</v>
      </c>
      <c r="J7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1881380.208915151</v>
      </c>
      <c r="K71" s="19">
        <f>IF(PaymentSchedule[[#This Row],[PMT NO]]&lt;&gt;"",SUM(INDEX(PaymentSchedule[INTEREST],1,1):PaymentSchedule[[#This Row],[INTEREST]]),"")</f>
        <v>364411.4161719777</v>
      </c>
    </row>
    <row r="72" spans="2:11" x14ac:dyDescent="0.3">
      <c r="B72" s="21">
        <f>IF(LoanIsGood,IF(ROW()-ROW(PaymentSchedule[[#Headers],[PMT NO]])&gt;ScheduledNumberOfPayments,"",ROW()-ROW(PaymentSchedule[[#Headers],[PMT NO]])),"")</f>
        <v>61</v>
      </c>
      <c r="C72" s="20">
        <f>IF(PaymentSchedule[[#This Row],[PMT NO]]&lt;&gt;"",EOMONTH(LoanStartDate,ROW(PaymentSchedule[[#This Row],[PMT NO]])-ROW(PaymentSchedule[[#Headers],[PMT NO]])-2)+DAY(LoanStartDate),"")</f>
        <v>45474</v>
      </c>
      <c r="D72" s="19">
        <f>IF(PaymentSchedule[[#This Row],[PMT NO]]&lt;&gt;"",IF(ROW()-ROW(PaymentSchedule[[#Headers],[BEGINNING BALANCE]])=1,LoanAmount,INDEX(PaymentSchedule[ENDING BALANCE],ROW()-ROW(PaymentSchedule[[#Headers],[BEGINNING BALANCE]])-1)),"")</f>
        <v>1881380.208915151</v>
      </c>
      <c r="E72" s="19">
        <f>IF(PaymentSchedule[[#This Row],[PMT NO]]&lt;&gt;"",ScheduledPayment,"")</f>
        <v>8050.5201209471252</v>
      </c>
      <c r="F7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72" s="19">
        <f>IF(PaymentSchedule[[#This Row],[PMT NO]]&lt;&gt;"",PaymentSchedule[[#This Row],[TOTAL PAYMENT]]-PaymentSchedule[[#This Row],[INTEREST]],"")</f>
        <v>2171.2069680872792</v>
      </c>
      <c r="I72" s="19">
        <f>IF(PaymentSchedule[[#This Row],[PMT NO]]&lt;&gt;"",PaymentSchedule[[#This Row],[BEGINNING BALANCE]]*(InterestRate/PaymentsPerYear),"")</f>
        <v>5879.313152859846</v>
      </c>
      <c r="J7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1879209.0019470637</v>
      </c>
      <c r="K72" s="19">
        <f>IF(PaymentSchedule[[#This Row],[PMT NO]]&lt;&gt;"",SUM(INDEX(PaymentSchedule[INTEREST],1,1):PaymentSchedule[[#This Row],[INTEREST]]),"")</f>
        <v>370290.72932483756</v>
      </c>
    </row>
    <row r="73" spans="2:11" x14ac:dyDescent="0.3">
      <c r="B73" s="21">
        <f>IF(LoanIsGood,IF(ROW()-ROW(PaymentSchedule[[#Headers],[PMT NO]])&gt;ScheduledNumberOfPayments,"",ROW()-ROW(PaymentSchedule[[#Headers],[PMT NO]])),"")</f>
        <v>62</v>
      </c>
      <c r="C73" s="20">
        <f>IF(PaymentSchedule[[#This Row],[PMT NO]]&lt;&gt;"",EOMONTH(LoanStartDate,ROW(PaymentSchedule[[#This Row],[PMT NO]])-ROW(PaymentSchedule[[#Headers],[PMT NO]])-2)+DAY(LoanStartDate),"")</f>
        <v>45505</v>
      </c>
      <c r="D73" s="19">
        <f>IF(PaymentSchedule[[#This Row],[PMT NO]]&lt;&gt;"",IF(ROW()-ROW(PaymentSchedule[[#Headers],[BEGINNING BALANCE]])=1,LoanAmount,INDEX(PaymentSchedule[ENDING BALANCE],ROW()-ROW(PaymentSchedule[[#Headers],[BEGINNING BALANCE]])-1)),"")</f>
        <v>1879209.0019470637</v>
      </c>
      <c r="E73" s="19">
        <f>IF(PaymentSchedule[[#This Row],[PMT NO]]&lt;&gt;"",ScheduledPayment,"")</f>
        <v>8050.5201209471252</v>
      </c>
      <c r="F7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73" s="19">
        <f>IF(PaymentSchedule[[#This Row],[PMT NO]]&lt;&gt;"",PaymentSchedule[[#This Row],[TOTAL PAYMENT]]-PaymentSchedule[[#This Row],[INTEREST]],"")</f>
        <v>2177.9919898625512</v>
      </c>
      <c r="I73" s="19">
        <f>IF(PaymentSchedule[[#This Row],[PMT NO]]&lt;&gt;"",PaymentSchedule[[#This Row],[BEGINNING BALANCE]]*(InterestRate/PaymentsPerYear),"")</f>
        <v>5872.5281310845739</v>
      </c>
      <c r="J7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1877031.0099572011</v>
      </c>
      <c r="K73" s="19">
        <f>IF(PaymentSchedule[[#This Row],[PMT NO]]&lt;&gt;"",SUM(INDEX(PaymentSchedule[INTEREST],1,1):PaymentSchedule[[#This Row],[INTEREST]]),"")</f>
        <v>376163.25745592214</v>
      </c>
    </row>
    <row r="74" spans="2:11" x14ac:dyDescent="0.3">
      <c r="B74" s="21">
        <f>IF(LoanIsGood,IF(ROW()-ROW(PaymentSchedule[[#Headers],[PMT NO]])&gt;ScheduledNumberOfPayments,"",ROW()-ROW(PaymentSchedule[[#Headers],[PMT NO]])),"")</f>
        <v>63</v>
      </c>
      <c r="C74" s="20">
        <f>IF(PaymentSchedule[[#This Row],[PMT NO]]&lt;&gt;"",EOMONTH(LoanStartDate,ROW(PaymentSchedule[[#This Row],[PMT NO]])-ROW(PaymentSchedule[[#Headers],[PMT NO]])-2)+DAY(LoanStartDate),"")</f>
        <v>45536</v>
      </c>
      <c r="D74" s="19">
        <f>IF(PaymentSchedule[[#This Row],[PMT NO]]&lt;&gt;"",IF(ROW()-ROW(PaymentSchedule[[#Headers],[BEGINNING BALANCE]])=1,LoanAmount,INDEX(PaymentSchedule[ENDING BALANCE],ROW()-ROW(PaymentSchedule[[#Headers],[BEGINNING BALANCE]])-1)),"")</f>
        <v>1877031.0099572011</v>
      </c>
      <c r="E74" s="19">
        <f>IF(PaymentSchedule[[#This Row],[PMT NO]]&lt;&gt;"",ScheduledPayment,"")</f>
        <v>8050.5201209471252</v>
      </c>
      <c r="F7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74" s="19">
        <f>IF(PaymentSchedule[[#This Row],[PMT NO]]&lt;&gt;"",PaymentSchedule[[#This Row],[TOTAL PAYMENT]]-PaymentSchedule[[#This Row],[INTEREST]],"")</f>
        <v>2184.798214830872</v>
      </c>
      <c r="I74" s="19">
        <f>IF(PaymentSchedule[[#This Row],[PMT NO]]&lt;&gt;"",PaymentSchedule[[#This Row],[BEGINNING BALANCE]]*(InterestRate/PaymentsPerYear),"")</f>
        <v>5865.7219061162532</v>
      </c>
      <c r="J7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1874846.2117423702</v>
      </c>
      <c r="K74" s="19">
        <f>IF(PaymentSchedule[[#This Row],[PMT NO]]&lt;&gt;"",SUM(INDEX(PaymentSchedule[INTEREST],1,1):PaymentSchedule[[#This Row],[INTEREST]]),"")</f>
        <v>382028.97936203837</v>
      </c>
    </row>
    <row r="75" spans="2:11" x14ac:dyDescent="0.3">
      <c r="B75" s="21">
        <f>IF(LoanIsGood,IF(ROW()-ROW(PaymentSchedule[[#Headers],[PMT NO]])&gt;ScheduledNumberOfPayments,"",ROW()-ROW(PaymentSchedule[[#Headers],[PMT NO]])),"")</f>
        <v>64</v>
      </c>
      <c r="C75" s="20">
        <f>IF(PaymentSchedule[[#This Row],[PMT NO]]&lt;&gt;"",EOMONTH(LoanStartDate,ROW(PaymentSchedule[[#This Row],[PMT NO]])-ROW(PaymentSchedule[[#Headers],[PMT NO]])-2)+DAY(LoanStartDate),"")</f>
        <v>45566</v>
      </c>
      <c r="D75" s="19">
        <f>IF(PaymentSchedule[[#This Row],[PMT NO]]&lt;&gt;"",IF(ROW()-ROW(PaymentSchedule[[#Headers],[BEGINNING BALANCE]])=1,LoanAmount,INDEX(PaymentSchedule[ENDING BALANCE],ROW()-ROW(PaymentSchedule[[#Headers],[BEGINNING BALANCE]])-1)),"")</f>
        <v>1874846.2117423702</v>
      </c>
      <c r="E75" s="19">
        <f>IF(PaymentSchedule[[#This Row],[PMT NO]]&lt;&gt;"",ScheduledPayment,"")</f>
        <v>8050.5201209471252</v>
      </c>
      <c r="F7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75" s="19">
        <f>IF(PaymentSchedule[[#This Row],[PMT NO]]&lt;&gt;"",PaymentSchedule[[#This Row],[TOTAL PAYMENT]]-PaymentSchedule[[#This Row],[INTEREST]],"")</f>
        <v>2191.6257092522192</v>
      </c>
      <c r="I75" s="19">
        <f>IF(PaymentSchedule[[#This Row],[PMT NO]]&lt;&gt;"",PaymentSchedule[[#This Row],[BEGINNING BALANCE]]*(InterestRate/PaymentsPerYear),"")</f>
        <v>5858.894411694906</v>
      </c>
      <c r="J7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1872654.586033118</v>
      </c>
      <c r="K75" s="19">
        <f>IF(PaymentSchedule[[#This Row],[PMT NO]]&lt;&gt;"",SUM(INDEX(PaymentSchedule[INTEREST],1,1):PaymentSchedule[[#This Row],[INTEREST]]),"")</f>
        <v>387887.87377373327</v>
      </c>
    </row>
    <row r="76" spans="2:11" x14ac:dyDescent="0.3">
      <c r="B76" s="21">
        <f>IF(LoanIsGood,IF(ROW()-ROW(PaymentSchedule[[#Headers],[PMT NO]])&gt;ScheduledNumberOfPayments,"",ROW()-ROW(PaymentSchedule[[#Headers],[PMT NO]])),"")</f>
        <v>65</v>
      </c>
      <c r="C76" s="20">
        <f>IF(PaymentSchedule[[#This Row],[PMT NO]]&lt;&gt;"",EOMONTH(LoanStartDate,ROW(PaymentSchedule[[#This Row],[PMT NO]])-ROW(PaymentSchedule[[#Headers],[PMT NO]])-2)+DAY(LoanStartDate),"")</f>
        <v>45597</v>
      </c>
      <c r="D76" s="19">
        <f>IF(PaymentSchedule[[#This Row],[PMT NO]]&lt;&gt;"",IF(ROW()-ROW(PaymentSchedule[[#Headers],[BEGINNING BALANCE]])=1,LoanAmount,INDEX(PaymentSchedule[ENDING BALANCE],ROW()-ROW(PaymentSchedule[[#Headers],[BEGINNING BALANCE]])-1)),"")</f>
        <v>1872654.586033118</v>
      </c>
      <c r="E76" s="19">
        <f>IF(PaymentSchedule[[#This Row],[PMT NO]]&lt;&gt;"",ScheduledPayment,"")</f>
        <v>8050.5201209471252</v>
      </c>
      <c r="F7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76" s="19">
        <f>IF(PaymentSchedule[[#This Row],[PMT NO]]&lt;&gt;"",PaymentSchedule[[#This Row],[TOTAL PAYMENT]]-PaymentSchedule[[#This Row],[INTEREST]],"")</f>
        <v>2198.4745395936325</v>
      </c>
      <c r="I76" s="19">
        <f>IF(PaymentSchedule[[#This Row],[PMT NO]]&lt;&gt;"",PaymentSchedule[[#This Row],[BEGINNING BALANCE]]*(InterestRate/PaymentsPerYear),"")</f>
        <v>5852.0455813534927</v>
      </c>
      <c r="J7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1870456.1114935244</v>
      </c>
      <c r="K76" s="19">
        <f>IF(PaymentSchedule[[#This Row],[PMT NO]]&lt;&gt;"",SUM(INDEX(PaymentSchedule[INTEREST],1,1):PaymentSchedule[[#This Row],[INTEREST]]),"")</f>
        <v>393739.91935508675</v>
      </c>
    </row>
    <row r="77" spans="2:11" x14ac:dyDescent="0.3">
      <c r="B77" s="21">
        <f>IF(LoanIsGood,IF(ROW()-ROW(PaymentSchedule[[#Headers],[PMT NO]])&gt;ScheduledNumberOfPayments,"",ROW()-ROW(PaymentSchedule[[#Headers],[PMT NO]])),"")</f>
        <v>66</v>
      </c>
      <c r="C77" s="20">
        <f>IF(PaymentSchedule[[#This Row],[PMT NO]]&lt;&gt;"",EOMONTH(LoanStartDate,ROW(PaymentSchedule[[#This Row],[PMT NO]])-ROW(PaymentSchedule[[#Headers],[PMT NO]])-2)+DAY(LoanStartDate),"")</f>
        <v>45627</v>
      </c>
      <c r="D77" s="19">
        <f>IF(PaymentSchedule[[#This Row],[PMT NO]]&lt;&gt;"",IF(ROW()-ROW(PaymentSchedule[[#Headers],[BEGINNING BALANCE]])=1,LoanAmount,INDEX(PaymentSchedule[ENDING BALANCE],ROW()-ROW(PaymentSchedule[[#Headers],[BEGINNING BALANCE]])-1)),"")</f>
        <v>1870456.1114935244</v>
      </c>
      <c r="E77" s="19">
        <f>IF(PaymentSchedule[[#This Row],[PMT NO]]&lt;&gt;"",ScheduledPayment,"")</f>
        <v>8050.5201209471252</v>
      </c>
      <c r="F7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77" s="19">
        <f>IF(PaymentSchedule[[#This Row],[PMT NO]]&lt;&gt;"",PaymentSchedule[[#This Row],[TOTAL PAYMENT]]-PaymentSchedule[[#This Row],[INTEREST]],"")</f>
        <v>2205.344772529862</v>
      </c>
      <c r="I77" s="19">
        <f>IF(PaymentSchedule[[#This Row],[PMT NO]]&lt;&gt;"",PaymentSchedule[[#This Row],[BEGINNING BALANCE]]*(InterestRate/PaymentsPerYear),"")</f>
        <v>5845.1753484172632</v>
      </c>
      <c r="J7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1868250.7667209946</v>
      </c>
      <c r="K77" s="19">
        <f>IF(PaymentSchedule[[#This Row],[PMT NO]]&lt;&gt;"",SUM(INDEX(PaymentSchedule[INTEREST],1,1):PaymentSchedule[[#This Row],[INTEREST]]),"")</f>
        <v>399585.094703504</v>
      </c>
    </row>
    <row r="78" spans="2:11" x14ac:dyDescent="0.3">
      <c r="B78" s="21">
        <f>IF(LoanIsGood,IF(ROW()-ROW(PaymentSchedule[[#Headers],[PMT NO]])&gt;ScheduledNumberOfPayments,"",ROW()-ROW(PaymentSchedule[[#Headers],[PMT NO]])),"")</f>
        <v>67</v>
      </c>
      <c r="C78" s="20">
        <f>IF(PaymentSchedule[[#This Row],[PMT NO]]&lt;&gt;"",EOMONTH(LoanStartDate,ROW(PaymentSchedule[[#This Row],[PMT NO]])-ROW(PaymentSchedule[[#Headers],[PMT NO]])-2)+DAY(LoanStartDate),"")</f>
        <v>45658</v>
      </c>
      <c r="D78" s="19">
        <f>IF(PaymentSchedule[[#This Row],[PMT NO]]&lt;&gt;"",IF(ROW()-ROW(PaymentSchedule[[#Headers],[BEGINNING BALANCE]])=1,LoanAmount,INDEX(PaymentSchedule[ENDING BALANCE],ROW()-ROW(PaymentSchedule[[#Headers],[BEGINNING BALANCE]])-1)),"")</f>
        <v>1868250.7667209946</v>
      </c>
      <c r="E78" s="19">
        <f>IF(PaymentSchedule[[#This Row],[PMT NO]]&lt;&gt;"",ScheduledPayment,"")</f>
        <v>8050.5201209471252</v>
      </c>
      <c r="F7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78" s="19">
        <f>IF(PaymentSchedule[[#This Row],[PMT NO]]&lt;&gt;"",PaymentSchedule[[#This Row],[TOTAL PAYMENT]]-PaymentSchedule[[#This Row],[INTEREST]],"")</f>
        <v>2212.2364749440176</v>
      </c>
      <c r="I78" s="19">
        <f>IF(PaymentSchedule[[#This Row],[PMT NO]]&lt;&gt;"",PaymentSchedule[[#This Row],[BEGINNING BALANCE]]*(InterestRate/PaymentsPerYear),"")</f>
        <v>5838.2836460031076</v>
      </c>
      <c r="J7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1866038.5302460506</v>
      </c>
      <c r="K78" s="19">
        <f>IF(PaymentSchedule[[#This Row],[PMT NO]]&lt;&gt;"",SUM(INDEX(PaymentSchedule[INTEREST],1,1):PaymentSchedule[[#This Row],[INTEREST]]),"")</f>
        <v>405423.37834950711</v>
      </c>
    </row>
    <row r="79" spans="2:11" x14ac:dyDescent="0.3">
      <c r="B79" s="21">
        <f>IF(LoanIsGood,IF(ROW()-ROW(PaymentSchedule[[#Headers],[PMT NO]])&gt;ScheduledNumberOfPayments,"",ROW()-ROW(PaymentSchedule[[#Headers],[PMT NO]])),"")</f>
        <v>68</v>
      </c>
      <c r="C79" s="20">
        <f>IF(PaymentSchedule[[#This Row],[PMT NO]]&lt;&gt;"",EOMONTH(LoanStartDate,ROW(PaymentSchedule[[#This Row],[PMT NO]])-ROW(PaymentSchedule[[#Headers],[PMT NO]])-2)+DAY(LoanStartDate),"")</f>
        <v>45689</v>
      </c>
      <c r="D79" s="19">
        <f>IF(PaymentSchedule[[#This Row],[PMT NO]]&lt;&gt;"",IF(ROW()-ROW(PaymentSchedule[[#Headers],[BEGINNING BALANCE]])=1,LoanAmount,INDEX(PaymentSchedule[ENDING BALANCE],ROW()-ROW(PaymentSchedule[[#Headers],[BEGINNING BALANCE]])-1)),"")</f>
        <v>1866038.5302460506</v>
      </c>
      <c r="E79" s="19">
        <f>IF(PaymentSchedule[[#This Row],[PMT NO]]&lt;&gt;"",ScheduledPayment,"")</f>
        <v>8050.5201209471252</v>
      </c>
      <c r="F7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79" s="19">
        <f>IF(PaymentSchedule[[#This Row],[PMT NO]]&lt;&gt;"",PaymentSchedule[[#This Row],[TOTAL PAYMENT]]-PaymentSchedule[[#This Row],[INTEREST]],"")</f>
        <v>2219.1497139282174</v>
      </c>
      <c r="I79" s="19">
        <f>IF(PaymentSchedule[[#This Row],[PMT NO]]&lt;&gt;"",PaymentSchedule[[#This Row],[BEGINNING BALANCE]]*(InterestRate/PaymentsPerYear),"")</f>
        <v>5831.3704070189078</v>
      </c>
      <c r="J7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1863819.3805321224</v>
      </c>
      <c r="K79" s="19">
        <f>IF(PaymentSchedule[[#This Row],[PMT NO]]&lt;&gt;"",SUM(INDEX(PaymentSchedule[INTEREST],1,1):PaymentSchedule[[#This Row],[INTEREST]]),"")</f>
        <v>411254.74875652604</v>
      </c>
    </row>
    <row r="80" spans="2:11" x14ac:dyDescent="0.3">
      <c r="B80" s="21">
        <f>IF(LoanIsGood,IF(ROW()-ROW(PaymentSchedule[[#Headers],[PMT NO]])&gt;ScheduledNumberOfPayments,"",ROW()-ROW(PaymentSchedule[[#Headers],[PMT NO]])),"")</f>
        <v>69</v>
      </c>
      <c r="C80" s="20">
        <f>IF(PaymentSchedule[[#This Row],[PMT NO]]&lt;&gt;"",EOMONTH(LoanStartDate,ROW(PaymentSchedule[[#This Row],[PMT NO]])-ROW(PaymentSchedule[[#Headers],[PMT NO]])-2)+DAY(LoanStartDate),"")</f>
        <v>45717</v>
      </c>
      <c r="D80" s="19">
        <f>IF(PaymentSchedule[[#This Row],[PMT NO]]&lt;&gt;"",IF(ROW()-ROW(PaymentSchedule[[#Headers],[BEGINNING BALANCE]])=1,LoanAmount,INDEX(PaymentSchedule[ENDING BALANCE],ROW()-ROW(PaymentSchedule[[#Headers],[BEGINNING BALANCE]])-1)),"")</f>
        <v>1863819.3805321224</v>
      </c>
      <c r="E80" s="19">
        <f>IF(PaymentSchedule[[#This Row],[PMT NO]]&lt;&gt;"",ScheduledPayment,"")</f>
        <v>8050.5201209471252</v>
      </c>
      <c r="F8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80" s="19">
        <f>IF(PaymentSchedule[[#This Row],[PMT NO]]&lt;&gt;"",PaymentSchedule[[#This Row],[TOTAL PAYMENT]]-PaymentSchedule[[#This Row],[INTEREST]],"")</f>
        <v>2226.0845567842434</v>
      </c>
      <c r="I80" s="19">
        <f>IF(PaymentSchedule[[#This Row],[PMT NO]]&lt;&gt;"",PaymentSchedule[[#This Row],[BEGINNING BALANCE]]*(InterestRate/PaymentsPerYear),"")</f>
        <v>5824.4355641628817</v>
      </c>
      <c r="J8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1861593.2959753382</v>
      </c>
      <c r="K80" s="19">
        <f>IF(PaymentSchedule[[#This Row],[PMT NO]]&lt;&gt;"",SUM(INDEX(PaymentSchedule[INTEREST],1,1):PaymentSchedule[[#This Row],[INTEREST]]),"")</f>
        <v>417079.18432068895</v>
      </c>
    </row>
    <row r="81" spans="2:11" x14ac:dyDescent="0.3">
      <c r="B81" s="21">
        <f>IF(LoanIsGood,IF(ROW()-ROW(PaymentSchedule[[#Headers],[PMT NO]])&gt;ScheduledNumberOfPayments,"",ROW()-ROW(PaymentSchedule[[#Headers],[PMT NO]])),"")</f>
        <v>70</v>
      </c>
      <c r="C81" s="20">
        <f>IF(PaymentSchedule[[#This Row],[PMT NO]]&lt;&gt;"",EOMONTH(LoanStartDate,ROW(PaymentSchedule[[#This Row],[PMT NO]])-ROW(PaymentSchedule[[#Headers],[PMT NO]])-2)+DAY(LoanStartDate),"")</f>
        <v>45748</v>
      </c>
      <c r="D81" s="19">
        <f>IF(PaymentSchedule[[#This Row],[PMT NO]]&lt;&gt;"",IF(ROW()-ROW(PaymentSchedule[[#Headers],[BEGINNING BALANCE]])=1,LoanAmount,INDEX(PaymentSchedule[ENDING BALANCE],ROW()-ROW(PaymentSchedule[[#Headers],[BEGINNING BALANCE]])-1)),"")</f>
        <v>1861593.2959753382</v>
      </c>
      <c r="E81" s="19">
        <f>IF(PaymentSchedule[[#This Row],[PMT NO]]&lt;&gt;"",ScheduledPayment,"")</f>
        <v>8050.5201209471252</v>
      </c>
      <c r="F8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81" s="19">
        <f>IF(PaymentSchedule[[#This Row],[PMT NO]]&lt;&gt;"",PaymentSchedule[[#This Row],[TOTAL PAYMENT]]-PaymentSchedule[[#This Row],[INTEREST]],"")</f>
        <v>2233.041071024194</v>
      </c>
      <c r="I81" s="19">
        <f>IF(PaymentSchedule[[#This Row],[PMT NO]]&lt;&gt;"",PaymentSchedule[[#This Row],[BEGINNING BALANCE]]*(InterestRate/PaymentsPerYear),"")</f>
        <v>5817.4790499229312</v>
      </c>
      <c r="J8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1859360.2549043139</v>
      </c>
      <c r="K81" s="19">
        <f>IF(PaymentSchedule[[#This Row],[PMT NO]]&lt;&gt;"",SUM(INDEX(PaymentSchedule[INTEREST],1,1):PaymentSchedule[[#This Row],[INTEREST]]),"")</f>
        <v>422896.6633706119</v>
      </c>
    </row>
    <row r="82" spans="2:11" x14ac:dyDescent="0.3">
      <c r="B82" s="21">
        <f>IF(LoanIsGood,IF(ROW()-ROW(PaymentSchedule[[#Headers],[PMT NO]])&gt;ScheduledNumberOfPayments,"",ROW()-ROW(PaymentSchedule[[#Headers],[PMT NO]])),"")</f>
        <v>71</v>
      </c>
      <c r="C82" s="20">
        <f>IF(PaymentSchedule[[#This Row],[PMT NO]]&lt;&gt;"",EOMONTH(LoanStartDate,ROW(PaymentSchedule[[#This Row],[PMT NO]])-ROW(PaymentSchedule[[#Headers],[PMT NO]])-2)+DAY(LoanStartDate),"")</f>
        <v>45778</v>
      </c>
      <c r="D82" s="19">
        <f>IF(PaymentSchedule[[#This Row],[PMT NO]]&lt;&gt;"",IF(ROW()-ROW(PaymentSchedule[[#Headers],[BEGINNING BALANCE]])=1,LoanAmount,INDEX(PaymentSchedule[ENDING BALANCE],ROW()-ROW(PaymentSchedule[[#Headers],[BEGINNING BALANCE]])-1)),"")</f>
        <v>1859360.2549043139</v>
      </c>
      <c r="E82" s="19">
        <f>IF(PaymentSchedule[[#This Row],[PMT NO]]&lt;&gt;"",ScheduledPayment,"")</f>
        <v>8050.5201209471252</v>
      </c>
      <c r="F8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82" s="19">
        <f>IF(PaymentSchedule[[#This Row],[PMT NO]]&lt;&gt;"",PaymentSchedule[[#This Row],[TOTAL PAYMENT]]-PaymentSchedule[[#This Row],[INTEREST]],"")</f>
        <v>2240.0193243711446</v>
      </c>
      <c r="I82" s="19">
        <f>IF(PaymentSchedule[[#This Row],[PMT NO]]&lt;&gt;"",PaymentSchedule[[#This Row],[BEGINNING BALANCE]]*(InterestRate/PaymentsPerYear),"")</f>
        <v>5810.5007965759805</v>
      </c>
      <c r="J8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1857120.2355799428</v>
      </c>
      <c r="K82" s="19">
        <f>IF(PaymentSchedule[[#This Row],[PMT NO]]&lt;&gt;"",SUM(INDEX(PaymentSchedule[INTEREST],1,1):PaymentSchedule[[#This Row],[INTEREST]]),"")</f>
        <v>428707.16416718788</v>
      </c>
    </row>
    <row r="83" spans="2:11" x14ac:dyDescent="0.3">
      <c r="B83" s="21">
        <f>IF(LoanIsGood,IF(ROW()-ROW(PaymentSchedule[[#Headers],[PMT NO]])&gt;ScheduledNumberOfPayments,"",ROW()-ROW(PaymentSchedule[[#Headers],[PMT NO]])),"")</f>
        <v>72</v>
      </c>
      <c r="C83" s="20">
        <f>IF(PaymentSchedule[[#This Row],[PMT NO]]&lt;&gt;"",EOMONTH(LoanStartDate,ROW(PaymentSchedule[[#This Row],[PMT NO]])-ROW(PaymentSchedule[[#Headers],[PMT NO]])-2)+DAY(LoanStartDate),"")</f>
        <v>45809</v>
      </c>
      <c r="D83" s="19">
        <f>IF(PaymentSchedule[[#This Row],[PMT NO]]&lt;&gt;"",IF(ROW()-ROW(PaymentSchedule[[#Headers],[BEGINNING BALANCE]])=1,LoanAmount,INDEX(PaymentSchedule[ENDING BALANCE],ROW()-ROW(PaymentSchedule[[#Headers],[BEGINNING BALANCE]])-1)),"")</f>
        <v>1857120.2355799428</v>
      </c>
      <c r="E83" s="19">
        <f>IF(PaymentSchedule[[#This Row],[PMT NO]]&lt;&gt;"",ScheduledPayment,"")</f>
        <v>8050.5201209471252</v>
      </c>
      <c r="F8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83" s="19">
        <f>IF(PaymentSchedule[[#This Row],[PMT NO]]&lt;&gt;"",PaymentSchedule[[#This Row],[TOTAL PAYMENT]]-PaymentSchedule[[#This Row],[INTEREST]],"")</f>
        <v>2247.0193847598048</v>
      </c>
      <c r="I83" s="19">
        <f>IF(PaymentSchedule[[#This Row],[PMT NO]]&lt;&gt;"",PaymentSchedule[[#This Row],[BEGINNING BALANCE]]*(InterestRate/PaymentsPerYear),"")</f>
        <v>5803.5007361873204</v>
      </c>
      <c r="J8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1854873.2161951831</v>
      </c>
      <c r="K83" s="19">
        <f>IF(PaymentSchedule[[#This Row],[PMT NO]]&lt;&gt;"",SUM(INDEX(PaymentSchedule[INTEREST],1,1):PaymentSchedule[[#This Row],[INTEREST]]),"")</f>
        <v>434510.6649033752</v>
      </c>
    </row>
    <row r="84" spans="2:11" x14ac:dyDescent="0.3">
      <c r="B84" s="21">
        <f>IF(LoanIsGood,IF(ROW()-ROW(PaymentSchedule[[#Headers],[PMT NO]])&gt;ScheduledNumberOfPayments,"",ROW()-ROW(PaymentSchedule[[#Headers],[PMT NO]])),"")</f>
        <v>73</v>
      </c>
      <c r="C84" s="20">
        <f>IF(PaymentSchedule[[#This Row],[PMT NO]]&lt;&gt;"",EOMONTH(LoanStartDate,ROW(PaymentSchedule[[#This Row],[PMT NO]])-ROW(PaymentSchedule[[#Headers],[PMT NO]])-2)+DAY(LoanStartDate),"")</f>
        <v>45839</v>
      </c>
      <c r="D84" s="19">
        <f>IF(PaymentSchedule[[#This Row],[PMT NO]]&lt;&gt;"",IF(ROW()-ROW(PaymentSchedule[[#Headers],[BEGINNING BALANCE]])=1,LoanAmount,INDEX(PaymentSchedule[ENDING BALANCE],ROW()-ROW(PaymentSchedule[[#Headers],[BEGINNING BALANCE]])-1)),"")</f>
        <v>1854873.2161951831</v>
      </c>
      <c r="E84" s="19">
        <f>IF(PaymentSchedule[[#This Row],[PMT NO]]&lt;&gt;"",ScheduledPayment,"")</f>
        <v>8050.5201209471252</v>
      </c>
      <c r="F8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84" s="19">
        <f>IF(PaymentSchedule[[#This Row],[PMT NO]]&lt;&gt;"",PaymentSchedule[[#This Row],[TOTAL PAYMENT]]-PaymentSchedule[[#This Row],[INTEREST]],"")</f>
        <v>2254.0413203371781</v>
      </c>
      <c r="I84" s="19">
        <f>IF(PaymentSchedule[[#This Row],[PMT NO]]&lt;&gt;"",PaymentSchedule[[#This Row],[BEGINNING BALANCE]]*(InterestRate/PaymentsPerYear),"")</f>
        <v>5796.478800609947</v>
      </c>
      <c r="J8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1852619.1748748459</v>
      </c>
      <c r="K84" s="19">
        <f>IF(PaymentSchedule[[#This Row],[PMT NO]]&lt;&gt;"",SUM(INDEX(PaymentSchedule[INTEREST],1,1):PaymentSchedule[[#This Row],[INTEREST]]),"")</f>
        <v>440307.14370398514</v>
      </c>
    </row>
    <row r="85" spans="2:11" x14ac:dyDescent="0.3">
      <c r="B85" s="21">
        <f>IF(LoanIsGood,IF(ROW()-ROW(PaymentSchedule[[#Headers],[PMT NO]])&gt;ScheduledNumberOfPayments,"",ROW()-ROW(PaymentSchedule[[#Headers],[PMT NO]])),"")</f>
        <v>74</v>
      </c>
      <c r="C85" s="20">
        <f>IF(PaymentSchedule[[#This Row],[PMT NO]]&lt;&gt;"",EOMONTH(LoanStartDate,ROW(PaymentSchedule[[#This Row],[PMT NO]])-ROW(PaymentSchedule[[#Headers],[PMT NO]])-2)+DAY(LoanStartDate),"")</f>
        <v>45870</v>
      </c>
      <c r="D85" s="19">
        <f>IF(PaymentSchedule[[#This Row],[PMT NO]]&lt;&gt;"",IF(ROW()-ROW(PaymentSchedule[[#Headers],[BEGINNING BALANCE]])=1,LoanAmount,INDEX(PaymentSchedule[ENDING BALANCE],ROW()-ROW(PaymentSchedule[[#Headers],[BEGINNING BALANCE]])-1)),"")</f>
        <v>1852619.1748748459</v>
      </c>
      <c r="E85" s="19">
        <f>IF(PaymentSchedule[[#This Row],[PMT NO]]&lt;&gt;"",ScheduledPayment,"")</f>
        <v>8050.5201209471252</v>
      </c>
      <c r="F8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85" s="19">
        <f>IF(PaymentSchedule[[#This Row],[PMT NO]]&lt;&gt;"",PaymentSchedule[[#This Row],[TOTAL PAYMENT]]-PaymentSchedule[[#This Row],[INTEREST]],"")</f>
        <v>2261.0851994632321</v>
      </c>
      <c r="I85" s="19">
        <f>IF(PaymentSchedule[[#This Row],[PMT NO]]&lt;&gt;"",PaymentSchedule[[#This Row],[BEGINNING BALANCE]]*(InterestRate/PaymentsPerYear),"")</f>
        <v>5789.434921483893</v>
      </c>
      <c r="J8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1850358.0896753827</v>
      </c>
      <c r="K85" s="19">
        <f>IF(PaymentSchedule[[#This Row],[PMT NO]]&lt;&gt;"",SUM(INDEX(PaymentSchedule[INTEREST],1,1):PaymentSchedule[[#This Row],[INTEREST]]),"")</f>
        <v>446096.57862546906</v>
      </c>
    </row>
    <row r="86" spans="2:11" x14ac:dyDescent="0.3">
      <c r="B86" s="21">
        <f>IF(LoanIsGood,IF(ROW()-ROW(PaymentSchedule[[#Headers],[PMT NO]])&gt;ScheduledNumberOfPayments,"",ROW()-ROW(PaymentSchedule[[#Headers],[PMT NO]])),"")</f>
        <v>75</v>
      </c>
      <c r="C86" s="20">
        <f>IF(PaymentSchedule[[#This Row],[PMT NO]]&lt;&gt;"",EOMONTH(LoanStartDate,ROW(PaymentSchedule[[#This Row],[PMT NO]])-ROW(PaymentSchedule[[#Headers],[PMT NO]])-2)+DAY(LoanStartDate),"")</f>
        <v>45901</v>
      </c>
      <c r="D86" s="19">
        <f>IF(PaymentSchedule[[#This Row],[PMT NO]]&lt;&gt;"",IF(ROW()-ROW(PaymentSchedule[[#Headers],[BEGINNING BALANCE]])=1,LoanAmount,INDEX(PaymentSchedule[ENDING BALANCE],ROW()-ROW(PaymentSchedule[[#Headers],[BEGINNING BALANCE]])-1)),"")</f>
        <v>1850358.0896753827</v>
      </c>
      <c r="E86" s="19">
        <f>IF(PaymentSchedule[[#This Row],[PMT NO]]&lt;&gt;"",ScheduledPayment,"")</f>
        <v>8050.5201209471252</v>
      </c>
      <c r="F8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86" s="19">
        <f>IF(PaymentSchedule[[#This Row],[PMT NO]]&lt;&gt;"",PaymentSchedule[[#This Row],[TOTAL PAYMENT]]-PaymentSchedule[[#This Row],[INTEREST]],"")</f>
        <v>2268.1510907115544</v>
      </c>
      <c r="I86" s="19">
        <f>IF(PaymentSchedule[[#This Row],[PMT NO]]&lt;&gt;"",PaymentSchedule[[#This Row],[BEGINNING BALANCE]]*(InterestRate/PaymentsPerYear),"")</f>
        <v>5782.3690302355708</v>
      </c>
      <c r="J8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1848089.9385846711</v>
      </c>
      <c r="K86" s="19">
        <f>IF(PaymentSchedule[[#This Row],[PMT NO]]&lt;&gt;"",SUM(INDEX(PaymentSchedule[INTEREST],1,1):PaymentSchedule[[#This Row],[INTEREST]]),"")</f>
        <v>451878.94765570463</v>
      </c>
    </row>
    <row r="87" spans="2:11" x14ac:dyDescent="0.3">
      <c r="B87" s="21">
        <f>IF(LoanIsGood,IF(ROW()-ROW(PaymentSchedule[[#Headers],[PMT NO]])&gt;ScheduledNumberOfPayments,"",ROW()-ROW(PaymentSchedule[[#Headers],[PMT NO]])),"")</f>
        <v>76</v>
      </c>
      <c r="C87" s="20">
        <f>IF(PaymentSchedule[[#This Row],[PMT NO]]&lt;&gt;"",EOMONTH(LoanStartDate,ROW(PaymentSchedule[[#This Row],[PMT NO]])-ROW(PaymentSchedule[[#Headers],[PMT NO]])-2)+DAY(LoanStartDate),"")</f>
        <v>45931</v>
      </c>
      <c r="D87" s="19">
        <f>IF(PaymentSchedule[[#This Row],[PMT NO]]&lt;&gt;"",IF(ROW()-ROW(PaymentSchedule[[#Headers],[BEGINNING BALANCE]])=1,LoanAmount,INDEX(PaymentSchedule[ENDING BALANCE],ROW()-ROW(PaymentSchedule[[#Headers],[BEGINNING BALANCE]])-1)),"")</f>
        <v>1848089.9385846711</v>
      </c>
      <c r="E87" s="19">
        <f>IF(PaymentSchedule[[#This Row],[PMT NO]]&lt;&gt;"",ScheduledPayment,"")</f>
        <v>8050.5201209471252</v>
      </c>
      <c r="F8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87" s="19">
        <f>IF(PaymentSchedule[[#This Row],[PMT NO]]&lt;&gt;"",PaymentSchedule[[#This Row],[TOTAL PAYMENT]]-PaymentSchedule[[#This Row],[INTEREST]],"")</f>
        <v>2275.2390628700286</v>
      </c>
      <c r="I87" s="19">
        <f>IF(PaymentSchedule[[#This Row],[PMT NO]]&lt;&gt;"",PaymentSchedule[[#This Row],[BEGINNING BALANCE]]*(InterestRate/PaymentsPerYear),"")</f>
        <v>5775.2810580770965</v>
      </c>
      <c r="J8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1845814.6995218012</v>
      </c>
      <c r="K87" s="19">
        <f>IF(PaymentSchedule[[#This Row],[PMT NO]]&lt;&gt;"",SUM(INDEX(PaymentSchedule[INTEREST],1,1):PaymentSchedule[[#This Row],[INTEREST]]),"")</f>
        <v>457654.22871378175</v>
      </c>
    </row>
    <row r="88" spans="2:11" x14ac:dyDescent="0.3">
      <c r="B88" s="21">
        <f>IF(LoanIsGood,IF(ROW()-ROW(PaymentSchedule[[#Headers],[PMT NO]])&gt;ScheduledNumberOfPayments,"",ROW()-ROW(PaymentSchedule[[#Headers],[PMT NO]])),"")</f>
        <v>77</v>
      </c>
      <c r="C88" s="20">
        <f>IF(PaymentSchedule[[#This Row],[PMT NO]]&lt;&gt;"",EOMONTH(LoanStartDate,ROW(PaymentSchedule[[#This Row],[PMT NO]])-ROW(PaymentSchedule[[#Headers],[PMT NO]])-2)+DAY(LoanStartDate),"")</f>
        <v>45962</v>
      </c>
      <c r="D88" s="19">
        <f>IF(PaymentSchedule[[#This Row],[PMT NO]]&lt;&gt;"",IF(ROW()-ROW(PaymentSchedule[[#Headers],[BEGINNING BALANCE]])=1,LoanAmount,INDEX(PaymentSchedule[ENDING BALANCE],ROW()-ROW(PaymentSchedule[[#Headers],[BEGINNING BALANCE]])-1)),"")</f>
        <v>1845814.6995218012</v>
      </c>
      <c r="E88" s="19">
        <f>IF(PaymentSchedule[[#This Row],[PMT NO]]&lt;&gt;"",ScheduledPayment,"")</f>
        <v>8050.5201209471252</v>
      </c>
      <c r="F8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88" s="19">
        <f>IF(PaymentSchedule[[#This Row],[PMT NO]]&lt;&gt;"",PaymentSchedule[[#This Row],[TOTAL PAYMENT]]-PaymentSchedule[[#This Row],[INTEREST]],"")</f>
        <v>2282.3491849414968</v>
      </c>
      <c r="I88" s="19">
        <f>IF(PaymentSchedule[[#This Row],[PMT NO]]&lt;&gt;"",PaymentSchedule[[#This Row],[BEGINNING BALANCE]]*(InterestRate/PaymentsPerYear),"")</f>
        <v>5768.1709360056284</v>
      </c>
      <c r="J8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1843532.3503368597</v>
      </c>
      <c r="K88" s="19">
        <f>IF(PaymentSchedule[[#This Row],[PMT NO]]&lt;&gt;"",SUM(INDEX(PaymentSchedule[INTEREST],1,1):PaymentSchedule[[#This Row],[INTEREST]]),"")</f>
        <v>463422.3996497874</v>
      </c>
    </row>
    <row r="89" spans="2:11" x14ac:dyDescent="0.3">
      <c r="B89" s="21">
        <f>IF(LoanIsGood,IF(ROW()-ROW(PaymentSchedule[[#Headers],[PMT NO]])&gt;ScheduledNumberOfPayments,"",ROW()-ROW(PaymentSchedule[[#Headers],[PMT NO]])),"")</f>
        <v>78</v>
      </c>
      <c r="C89" s="20">
        <f>IF(PaymentSchedule[[#This Row],[PMT NO]]&lt;&gt;"",EOMONTH(LoanStartDate,ROW(PaymentSchedule[[#This Row],[PMT NO]])-ROW(PaymentSchedule[[#Headers],[PMT NO]])-2)+DAY(LoanStartDate),"")</f>
        <v>45992</v>
      </c>
      <c r="D89" s="19">
        <f>IF(PaymentSchedule[[#This Row],[PMT NO]]&lt;&gt;"",IF(ROW()-ROW(PaymentSchedule[[#Headers],[BEGINNING BALANCE]])=1,LoanAmount,INDEX(PaymentSchedule[ENDING BALANCE],ROW()-ROW(PaymentSchedule[[#Headers],[BEGINNING BALANCE]])-1)),"")</f>
        <v>1843532.3503368597</v>
      </c>
      <c r="E89" s="19">
        <f>IF(PaymentSchedule[[#This Row],[PMT NO]]&lt;&gt;"",ScheduledPayment,"")</f>
        <v>8050.5201209471252</v>
      </c>
      <c r="F8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89" s="19">
        <f>IF(PaymentSchedule[[#This Row],[PMT NO]]&lt;&gt;"",PaymentSchedule[[#This Row],[TOTAL PAYMENT]]-PaymentSchedule[[#This Row],[INTEREST]],"")</f>
        <v>2289.4815261444392</v>
      </c>
      <c r="I89" s="19">
        <f>IF(PaymentSchedule[[#This Row],[PMT NO]]&lt;&gt;"",PaymentSchedule[[#This Row],[BEGINNING BALANCE]]*(InterestRate/PaymentsPerYear),"")</f>
        <v>5761.038594802686</v>
      </c>
      <c r="J8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1841242.8688107152</v>
      </c>
      <c r="K89" s="19">
        <f>IF(PaymentSchedule[[#This Row],[PMT NO]]&lt;&gt;"",SUM(INDEX(PaymentSchedule[INTEREST],1,1):PaymentSchedule[[#This Row],[INTEREST]]),"")</f>
        <v>469183.43824459007</v>
      </c>
    </row>
    <row r="90" spans="2:11" x14ac:dyDescent="0.3">
      <c r="B90" s="21">
        <f>IF(LoanIsGood,IF(ROW()-ROW(PaymentSchedule[[#Headers],[PMT NO]])&gt;ScheduledNumberOfPayments,"",ROW()-ROW(PaymentSchedule[[#Headers],[PMT NO]])),"")</f>
        <v>79</v>
      </c>
      <c r="C90" s="20">
        <f>IF(PaymentSchedule[[#This Row],[PMT NO]]&lt;&gt;"",EOMONTH(LoanStartDate,ROW(PaymentSchedule[[#This Row],[PMT NO]])-ROW(PaymentSchedule[[#Headers],[PMT NO]])-2)+DAY(LoanStartDate),"")</f>
        <v>46023</v>
      </c>
      <c r="D90" s="19">
        <f>IF(PaymentSchedule[[#This Row],[PMT NO]]&lt;&gt;"",IF(ROW()-ROW(PaymentSchedule[[#Headers],[BEGINNING BALANCE]])=1,LoanAmount,INDEX(PaymentSchedule[ENDING BALANCE],ROW()-ROW(PaymentSchedule[[#Headers],[BEGINNING BALANCE]])-1)),"")</f>
        <v>1841242.8688107152</v>
      </c>
      <c r="E90" s="19">
        <f>IF(PaymentSchedule[[#This Row],[PMT NO]]&lt;&gt;"",ScheduledPayment,"")</f>
        <v>8050.5201209471252</v>
      </c>
      <c r="F9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90" s="19">
        <f>IF(PaymentSchedule[[#This Row],[PMT NO]]&lt;&gt;"",PaymentSchedule[[#This Row],[TOTAL PAYMENT]]-PaymentSchedule[[#This Row],[INTEREST]],"")</f>
        <v>2296.6361559136412</v>
      </c>
      <c r="I90" s="19">
        <f>IF(PaymentSchedule[[#This Row],[PMT NO]]&lt;&gt;"",PaymentSchedule[[#This Row],[BEGINNING BALANCE]]*(InterestRate/PaymentsPerYear),"")</f>
        <v>5753.8839650334839</v>
      </c>
      <c r="J9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1838946.2326548016</v>
      </c>
      <c r="K90" s="19">
        <f>IF(PaymentSchedule[[#This Row],[PMT NO]]&lt;&gt;"",SUM(INDEX(PaymentSchedule[INTEREST],1,1):PaymentSchedule[[#This Row],[INTEREST]]),"")</f>
        <v>474937.32220962353</v>
      </c>
    </row>
    <row r="91" spans="2:11" x14ac:dyDescent="0.3">
      <c r="B91" s="21">
        <f>IF(LoanIsGood,IF(ROW()-ROW(PaymentSchedule[[#Headers],[PMT NO]])&gt;ScheduledNumberOfPayments,"",ROW()-ROW(PaymentSchedule[[#Headers],[PMT NO]])),"")</f>
        <v>80</v>
      </c>
      <c r="C91" s="20">
        <f>IF(PaymentSchedule[[#This Row],[PMT NO]]&lt;&gt;"",EOMONTH(LoanStartDate,ROW(PaymentSchedule[[#This Row],[PMT NO]])-ROW(PaymentSchedule[[#Headers],[PMT NO]])-2)+DAY(LoanStartDate),"")</f>
        <v>46054</v>
      </c>
      <c r="D91" s="19">
        <f>IF(PaymentSchedule[[#This Row],[PMT NO]]&lt;&gt;"",IF(ROW()-ROW(PaymentSchedule[[#Headers],[BEGINNING BALANCE]])=1,LoanAmount,INDEX(PaymentSchedule[ENDING BALANCE],ROW()-ROW(PaymentSchedule[[#Headers],[BEGINNING BALANCE]])-1)),"")</f>
        <v>1838946.2326548016</v>
      </c>
      <c r="E91" s="19">
        <f>IF(PaymentSchedule[[#This Row],[PMT NO]]&lt;&gt;"",ScheduledPayment,"")</f>
        <v>8050.5201209471252</v>
      </c>
      <c r="F9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91" s="19">
        <f>IF(PaymentSchedule[[#This Row],[PMT NO]]&lt;&gt;"",PaymentSchedule[[#This Row],[TOTAL PAYMENT]]-PaymentSchedule[[#This Row],[INTEREST]],"")</f>
        <v>2303.8131439008712</v>
      </c>
      <c r="I91" s="19">
        <f>IF(PaymentSchedule[[#This Row],[PMT NO]]&lt;&gt;"",PaymentSchedule[[#This Row],[BEGINNING BALANCE]]*(InterestRate/PaymentsPerYear),"")</f>
        <v>5746.706977046254</v>
      </c>
      <c r="J9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1836642.4195109007</v>
      </c>
      <c r="K91" s="19">
        <f>IF(PaymentSchedule[[#This Row],[PMT NO]]&lt;&gt;"",SUM(INDEX(PaymentSchedule[INTEREST],1,1):PaymentSchedule[[#This Row],[INTEREST]]),"")</f>
        <v>480684.0291866698</v>
      </c>
    </row>
    <row r="92" spans="2:11" x14ac:dyDescent="0.3">
      <c r="B92" s="21">
        <f>IF(LoanIsGood,IF(ROW()-ROW(PaymentSchedule[[#Headers],[PMT NO]])&gt;ScheduledNumberOfPayments,"",ROW()-ROW(PaymentSchedule[[#Headers],[PMT NO]])),"")</f>
        <v>81</v>
      </c>
      <c r="C92" s="20">
        <f>IF(PaymentSchedule[[#This Row],[PMT NO]]&lt;&gt;"",EOMONTH(LoanStartDate,ROW(PaymentSchedule[[#This Row],[PMT NO]])-ROW(PaymentSchedule[[#Headers],[PMT NO]])-2)+DAY(LoanStartDate),"")</f>
        <v>46082</v>
      </c>
      <c r="D92" s="19">
        <f>IF(PaymentSchedule[[#This Row],[PMT NO]]&lt;&gt;"",IF(ROW()-ROW(PaymentSchedule[[#Headers],[BEGINNING BALANCE]])=1,LoanAmount,INDEX(PaymentSchedule[ENDING BALANCE],ROW()-ROW(PaymentSchedule[[#Headers],[BEGINNING BALANCE]])-1)),"")</f>
        <v>1836642.4195109007</v>
      </c>
      <c r="E92" s="19">
        <f>IF(PaymentSchedule[[#This Row],[PMT NO]]&lt;&gt;"",ScheduledPayment,"")</f>
        <v>8050.5201209471252</v>
      </c>
      <c r="F9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92" s="19">
        <f>IF(PaymentSchedule[[#This Row],[PMT NO]]&lt;&gt;"",PaymentSchedule[[#This Row],[TOTAL PAYMENT]]-PaymentSchedule[[#This Row],[INTEREST]],"")</f>
        <v>2311.0125599755611</v>
      </c>
      <c r="I92" s="19">
        <f>IF(PaymentSchedule[[#This Row],[PMT NO]]&lt;&gt;"",PaymentSchedule[[#This Row],[BEGINNING BALANCE]]*(InterestRate/PaymentsPerYear),"")</f>
        <v>5739.5075609715641</v>
      </c>
      <c r="J9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1834331.4069509252</v>
      </c>
      <c r="K92" s="19">
        <f>IF(PaymentSchedule[[#This Row],[PMT NO]]&lt;&gt;"",SUM(INDEX(PaymentSchedule[INTEREST],1,1):PaymentSchedule[[#This Row],[INTEREST]]),"")</f>
        <v>486423.53674764134</v>
      </c>
    </row>
    <row r="93" spans="2:11" x14ac:dyDescent="0.3">
      <c r="B93" s="21">
        <f>IF(LoanIsGood,IF(ROW()-ROW(PaymentSchedule[[#Headers],[PMT NO]])&gt;ScheduledNumberOfPayments,"",ROW()-ROW(PaymentSchedule[[#Headers],[PMT NO]])),"")</f>
        <v>82</v>
      </c>
      <c r="C93" s="20">
        <f>IF(PaymentSchedule[[#This Row],[PMT NO]]&lt;&gt;"",EOMONTH(LoanStartDate,ROW(PaymentSchedule[[#This Row],[PMT NO]])-ROW(PaymentSchedule[[#Headers],[PMT NO]])-2)+DAY(LoanStartDate),"")</f>
        <v>46113</v>
      </c>
      <c r="D93" s="19">
        <f>IF(PaymentSchedule[[#This Row],[PMT NO]]&lt;&gt;"",IF(ROW()-ROW(PaymentSchedule[[#Headers],[BEGINNING BALANCE]])=1,LoanAmount,INDEX(PaymentSchedule[ENDING BALANCE],ROW()-ROW(PaymentSchedule[[#Headers],[BEGINNING BALANCE]])-1)),"")</f>
        <v>1834331.4069509252</v>
      </c>
      <c r="E93" s="19">
        <f>IF(PaymentSchedule[[#This Row],[PMT NO]]&lt;&gt;"",ScheduledPayment,"")</f>
        <v>8050.5201209471252</v>
      </c>
      <c r="F9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93" s="19">
        <f>IF(PaymentSchedule[[#This Row],[PMT NO]]&lt;&gt;"",PaymentSchedule[[#This Row],[TOTAL PAYMENT]]-PaymentSchedule[[#This Row],[INTEREST]],"")</f>
        <v>2318.2344742254845</v>
      </c>
      <c r="I93" s="19">
        <f>IF(PaymentSchedule[[#This Row],[PMT NO]]&lt;&gt;"",PaymentSchedule[[#This Row],[BEGINNING BALANCE]]*(InterestRate/PaymentsPerYear),"")</f>
        <v>5732.2856467216407</v>
      </c>
      <c r="J9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1832013.1724766998</v>
      </c>
      <c r="K93" s="19">
        <f>IF(PaymentSchedule[[#This Row],[PMT NO]]&lt;&gt;"",SUM(INDEX(PaymentSchedule[INTEREST],1,1):PaymentSchedule[[#This Row],[INTEREST]]),"")</f>
        <v>492155.822394363</v>
      </c>
    </row>
    <row r="94" spans="2:11" x14ac:dyDescent="0.3">
      <c r="B94" s="21">
        <f>IF(LoanIsGood,IF(ROW()-ROW(PaymentSchedule[[#Headers],[PMT NO]])&gt;ScheduledNumberOfPayments,"",ROW()-ROW(PaymentSchedule[[#Headers],[PMT NO]])),"")</f>
        <v>83</v>
      </c>
      <c r="C94" s="20">
        <f>IF(PaymentSchedule[[#This Row],[PMT NO]]&lt;&gt;"",EOMONTH(LoanStartDate,ROW(PaymentSchedule[[#This Row],[PMT NO]])-ROW(PaymentSchedule[[#Headers],[PMT NO]])-2)+DAY(LoanStartDate),"")</f>
        <v>46143</v>
      </c>
      <c r="D94" s="19">
        <f>IF(PaymentSchedule[[#This Row],[PMT NO]]&lt;&gt;"",IF(ROW()-ROW(PaymentSchedule[[#Headers],[BEGINNING BALANCE]])=1,LoanAmount,INDEX(PaymentSchedule[ENDING BALANCE],ROW()-ROW(PaymentSchedule[[#Headers],[BEGINNING BALANCE]])-1)),"")</f>
        <v>1832013.1724766998</v>
      </c>
      <c r="E94" s="19">
        <f>IF(PaymentSchedule[[#This Row],[PMT NO]]&lt;&gt;"",ScheduledPayment,"")</f>
        <v>8050.5201209471252</v>
      </c>
      <c r="F9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94" s="19">
        <f>IF(PaymentSchedule[[#This Row],[PMT NO]]&lt;&gt;"",PaymentSchedule[[#This Row],[TOTAL PAYMENT]]-PaymentSchedule[[#This Row],[INTEREST]],"")</f>
        <v>2325.4789569574386</v>
      </c>
      <c r="I94" s="19">
        <f>IF(PaymentSchedule[[#This Row],[PMT NO]]&lt;&gt;"",PaymentSchedule[[#This Row],[BEGINNING BALANCE]]*(InterestRate/PaymentsPerYear),"")</f>
        <v>5725.0411639896865</v>
      </c>
      <c r="J9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1829687.6935197425</v>
      </c>
      <c r="K94" s="19">
        <f>IF(PaymentSchedule[[#This Row],[PMT NO]]&lt;&gt;"",SUM(INDEX(PaymentSchedule[INTEREST],1,1):PaymentSchedule[[#This Row],[INTEREST]]),"")</f>
        <v>497880.86355835269</v>
      </c>
    </row>
    <row r="95" spans="2:11" x14ac:dyDescent="0.3">
      <c r="B95" s="21">
        <f>IF(LoanIsGood,IF(ROW()-ROW(PaymentSchedule[[#Headers],[PMT NO]])&gt;ScheduledNumberOfPayments,"",ROW()-ROW(PaymentSchedule[[#Headers],[PMT NO]])),"")</f>
        <v>84</v>
      </c>
      <c r="C95" s="20">
        <f>IF(PaymentSchedule[[#This Row],[PMT NO]]&lt;&gt;"",EOMONTH(LoanStartDate,ROW(PaymentSchedule[[#This Row],[PMT NO]])-ROW(PaymentSchedule[[#Headers],[PMT NO]])-2)+DAY(LoanStartDate),"")</f>
        <v>46174</v>
      </c>
      <c r="D95" s="19">
        <f>IF(PaymentSchedule[[#This Row],[PMT NO]]&lt;&gt;"",IF(ROW()-ROW(PaymentSchedule[[#Headers],[BEGINNING BALANCE]])=1,LoanAmount,INDEX(PaymentSchedule[ENDING BALANCE],ROW()-ROW(PaymentSchedule[[#Headers],[BEGINNING BALANCE]])-1)),"")</f>
        <v>1829687.6935197425</v>
      </c>
      <c r="E95" s="19">
        <f>IF(PaymentSchedule[[#This Row],[PMT NO]]&lt;&gt;"",ScheduledPayment,"")</f>
        <v>8050.5201209471252</v>
      </c>
      <c r="F9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95" s="19">
        <f>IF(PaymentSchedule[[#This Row],[PMT NO]]&lt;&gt;"",PaymentSchedule[[#This Row],[TOTAL PAYMENT]]-PaymentSchedule[[#This Row],[INTEREST]],"")</f>
        <v>2332.7460786979309</v>
      </c>
      <c r="I95" s="19">
        <f>IF(PaymentSchedule[[#This Row],[PMT NO]]&lt;&gt;"",PaymentSchedule[[#This Row],[BEGINNING BALANCE]]*(InterestRate/PaymentsPerYear),"")</f>
        <v>5717.7740422491943</v>
      </c>
      <c r="J9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1827354.9474410445</v>
      </c>
      <c r="K95" s="19">
        <f>IF(PaymentSchedule[[#This Row],[PMT NO]]&lt;&gt;"",SUM(INDEX(PaymentSchedule[INTEREST],1,1):PaymentSchedule[[#This Row],[INTEREST]]),"")</f>
        <v>503598.63760060188</v>
      </c>
    </row>
    <row r="96" spans="2:11" x14ac:dyDescent="0.3">
      <c r="B96" s="21">
        <f>IF(LoanIsGood,IF(ROW()-ROW(PaymentSchedule[[#Headers],[PMT NO]])&gt;ScheduledNumberOfPayments,"",ROW()-ROW(PaymentSchedule[[#Headers],[PMT NO]])),"")</f>
        <v>85</v>
      </c>
      <c r="C96" s="20">
        <f>IF(PaymentSchedule[[#This Row],[PMT NO]]&lt;&gt;"",EOMONTH(LoanStartDate,ROW(PaymentSchedule[[#This Row],[PMT NO]])-ROW(PaymentSchedule[[#Headers],[PMT NO]])-2)+DAY(LoanStartDate),"")</f>
        <v>46204</v>
      </c>
      <c r="D96" s="19">
        <f>IF(PaymentSchedule[[#This Row],[PMT NO]]&lt;&gt;"",IF(ROW()-ROW(PaymentSchedule[[#Headers],[BEGINNING BALANCE]])=1,LoanAmount,INDEX(PaymentSchedule[ENDING BALANCE],ROW()-ROW(PaymentSchedule[[#Headers],[BEGINNING BALANCE]])-1)),"")</f>
        <v>1827354.9474410445</v>
      </c>
      <c r="E96" s="19">
        <f>IF(PaymentSchedule[[#This Row],[PMT NO]]&lt;&gt;"",ScheduledPayment,"")</f>
        <v>8050.5201209471252</v>
      </c>
      <c r="F9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96" s="19">
        <f>IF(PaymentSchedule[[#This Row],[PMT NO]]&lt;&gt;"",PaymentSchedule[[#This Row],[TOTAL PAYMENT]]-PaymentSchedule[[#This Row],[INTEREST]],"")</f>
        <v>2340.035910193862</v>
      </c>
      <c r="I96" s="19">
        <f>IF(PaymentSchedule[[#This Row],[PMT NO]]&lt;&gt;"",PaymentSchedule[[#This Row],[BEGINNING BALANCE]]*(InterestRate/PaymentsPerYear),"")</f>
        <v>5710.4842107532631</v>
      </c>
      <c r="J9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1825014.9115308507</v>
      </c>
      <c r="K96" s="19">
        <f>IF(PaymentSchedule[[#This Row],[PMT NO]]&lt;&gt;"",SUM(INDEX(PaymentSchedule[INTEREST],1,1):PaymentSchedule[[#This Row],[INTEREST]]),"")</f>
        <v>509309.12181135517</v>
      </c>
    </row>
    <row r="97" spans="2:11" x14ac:dyDescent="0.3">
      <c r="B97" s="21">
        <f>IF(LoanIsGood,IF(ROW()-ROW(PaymentSchedule[[#Headers],[PMT NO]])&gt;ScheduledNumberOfPayments,"",ROW()-ROW(PaymentSchedule[[#Headers],[PMT NO]])),"")</f>
        <v>86</v>
      </c>
      <c r="C97" s="20">
        <f>IF(PaymentSchedule[[#This Row],[PMT NO]]&lt;&gt;"",EOMONTH(LoanStartDate,ROW(PaymentSchedule[[#This Row],[PMT NO]])-ROW(PaymentSchedule[[#Headers],[PMT NO]])-2)+DAY(LoanStartDate),"")</f>
        <v>46235</v>
      </c>
      <c r="D97" s="19">
        <f>IF(PaymentSchedule[[#This Row],[PMT NO]]&lt;&gt;"",IF(ROW()-ROW(PaymentSchedule[[#Headers],[BEGINNING BALANCE]])=1,LoanAmount,INDEX(PaymentSchedule[ENDING BALANCE],ROW()-ROW(PaymentSchedule[[#Headers],[BEGINNING BALANCE]])-1)),"")</f>
        <v>1825014.9115308507</v>
      </c>
      <c r="E97" s="19">
        <f>IF(PaymentSchedule[[#This Row],[PMT NO]]&lt;&gt;"",ScheduledPayment,"")</f>
        <v>8050.5201209471252</v>
      </c>
      <c r="F9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97" s="19">
        <f>IF(PaymentSchedule[[#This Row],[PMT NO]]&lt;&gt;"",PaymentSchedule[[#This Row],[TOTAL PAYMENT]]-PaymentSchedule[[#This Row],[INTEREST]],"")</f>
        <v>2347.3485224132173</v>
      </c>
      <c r="I97" s="19">
        <f>IF(PaymentSchedule[[#This Row],[PMT NO]]&lt;&gt;"",PaymentSchedule[[#This Row],[BEGINNING BALANCE]]*(InterestRate/PaymentsPerYear),"")</f>
        <v>5703.1715985339079</v>
      </c>
      <c r="J9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1822667.5630084374</v>
      </c>
      <c r="K97" s="19">
        <f>IF(PaymentSchedule[[#This Row],[PMT NO]]&lt;&gt;"",SUM(INDEX(PaymentSchedule[INTEREST],1,1):PaymentSchedule[[#This Row],[INTEREST]]),"")</f>
        <v>515012.2934098891</v>
      </c>
    </row>
    <row r="98" spans="2:11" x14ac:dyDescent="0.3">
      <c r="B98" s="21">
        <f>IF(LoanIsGood,IF(ROW()-ROW(PaymentSchedule[[#Headers],[PMT NO]])&gt;ScheduledNumberOfPayments,"",ROW()-ROW(PaymentSchedule[[#Headers],[PMT NO]])),"")</f>
        <v>87</v>
      </c>
      <c r="C98" s="20">
        <f>IF(PaymentSchedule[[#This Row],[PMT NO]]&lt;&gt;"",EOMONTH(LoanStartDate,ROW(PaymentSchedule[[#This Row],[PMT NO]])-ROW(PaymentSchedule[[#Headers],[PMT NO]])-2)+DAY(LoanStartDate),"")</f>
        <v>46266</v>
      </c>
      <c r="D98" s="19">
        <f>IF(PaymentSchedule[[#This Row],[PMT NO]]&lt;&gt;"",IF(ROW()-ROW(PaymentSchedule[[#Headers],[BEGINNING BALANCE]])=1,LoanAmount,INDEX(PaymentSchedule[ENDING BALANCE],ROW()-ROW(PaymentSchedule[[#Headers],[BEGINNING BALANCE]])-1)),"")</f>
        <v>1822667.5630084374</v>
      </c>
      <c r="E98" s="19">
        <f>IF(PaymentSchedule[[#This Row],[PMT NO]]&lt;&gt;"",ScheduledPayment,"")</f>
        <v>8050.5201209471252</v>
      </c>
      <c r="F9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98" s="19">
        <f>IF(PaymentSchedule[[#This Row],[PMT NO]]&lt;&gt;"",PaymentSchedule[[#This Row],[TOTAL PAYMENT]]-PaymentSchedule[[#This Row],[INTEREST]],"")</f>
        <v>2354.6839865457587</v>
      </c>
      <c r="I98" s="19">
        <f>IF(PaymentSchedule[[#This Row],[PMT NO]]&lt;&gt;"",PaymentSchedule[[#This Row],[BEGINNING BALANCE]]*(InterestRate/PaymentsPerYear),"")</f>
        <v>5695.8361344013665</v>
      </c>
      <c r="J9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1820312.8790218916</v>
      </c>
      <c r="K98" s="19">
        <f>IF(PaymentSchedule[[#This Row],[PMT NO]]&lt;&gt;"",SUM(INDEX(PaymentSchedule[INTEREST],1,1):PaymentSchedule[[#This Row],[INTEREST]]),"")</f>
        <v>520708.12954429048</v>
      </c>
    </row>
    <row r="99" spans="2:11" x14ac:dyDescent="0.3">
      <c r="B99" s="21">
        <f>IF(LoanIsGood,IF(ROW()-ROW(PaymentSchedule[[#Headers],[PMT NO]])&gt;ScheduledNumberOfPayments,"",ROW()-ROW(PaymentSchedule[[#Headers],[PMT NO]])),"")</f>
        <v>88</v>
      </c>
      <c r="C99" s="20">
        <f>IF(PaymentSchedule[[#This Row],[PMT NO]]&lt;&gt;"",EOMONTH(LoanStartDate,ROW(PaymentSchedule[[#This Row],[PMT NO]])-ROW(PaymentSchedule[[#Headers],[PMT NO]])-2)+DAY(LoanStartDate),"")</f>
        <v>46296</v>
      </c>
      <c r="D99" s="19">
        <f>IF(PaymentSchedule[[#This Row],[PMT NO]]&lt;&gt;"",IF(ROW()-ROW(PaymentSchedule[[#Headers],[BEGINNING BALANCE]])=1,LoanAmount,INDEX(PaymentSchedule[ENDING BALANCE],ROW()-ROW(PaymentSchedule[[#Headers],[BEGINNING BALANCE]])-1)),"")</f>
        <v>1820312.8790218916</v>
      </c>
      <c r="E99" s="19">
        <f>IF(PaymentSchedule[[#This Row],[PMT NO]]&lt;&gt;"",ScheduledPayment,"")</f>
        <v>8050.5201209471252</v>
      </c>
      <c r="F9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99" s="19">
        <f>IF(PaymentSchedule[[#This Row],[PMT NO]]&lt;&gt;"",PaymentSchedule[[#This Row],[TOTAL PAYMENT]]-PaymentSchedule[[#This Row],[INTEREST]],"")</f>
        <v>2362.042374003714</v>
      </c>
      <c r="I99" s="19">
        <f>IF(PaymentSchedule[[#This Row],[PMT NO]]&lt;&gt;"",PaymentSchedule[[#This Row],[BEGINNING BALANCE]]*(InterestRate/PaymentsPerYear),"")</f>
        <v>5688.4777469434111</v>
      </c>
      <c r="J9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1817950.8366478879</v>
      </c>
      <c r="K99" s="19">
        <f>IF(PaymentSchedule[[#This Row],[PMT NO]]&lt;&gt;"",SUM(INDEX(PaymentSchedule[INTEREST],1,1):PaymentSchedule[[#This Row],[INTEREST]]),"")</f>
        <v>526396.60729123384</v>
      </c>
    </row>
    <row r="100" spans="2:11" x14ac:dyDescent="0.3">
      <c r="B100" s="21">
        <f>IF(LoanIsGood,IF(ROW()-ROW(PaymentSchedule[[#Headers],[PMT NO]])&gt;ScheduledNumberOfPayments,"",ROW()-ROW(PaymentSchedule[[#Headers],[PMT NO]])),"")</f>
        <v>89</v>
      </c>
      <c r="C100" s="20">
        <f>IF(PaymentSchedule[[#This Row],[PMT NO]]&lt;&gt;"",EOMONTH(LoanStartDate,ROW(PaymentSchedule[[#This Row],[PMT NO]])-ROW(PaymentSchedule[[#Headers],[PMT NO]])-2)+DAY(LoanStartDate),"")</f>
        <v>46327</v>
      </c>
      <c r="D100" s="19">
        <f>IF(PaymentSchedule[[#This Row],[PMT NO]]&lt;&gt;"",IF(ROW()-ROW(PaymentSchedule[[#Headers],[BEGINNING BALANCE]])=1,LoanAmount,INDEX(PaymentSchedule[ENDING BALANCE],ROW()-ROW(PaymentSchedule[[#Headers],[BEGINNING BALANCE]])-1)),"")</f>
        <v>1817950.8366478879</v>
      </c>
      <c r="E100" s="19">
        <f>IF(PaymentSchedule[[#This Row],[PMT NO]]&lt;&gt;"",ScheduledPayment,"")</f>
        <v>8050.5201209471252</v>
      </c>
      <c r="F10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00" s="19">
        <f>IF(PaymentSchedule[[#This Row],[PMT NO]]&lt;&gt;"",PaymentSchedule[[#This Row],[TOTAL PAYMENT]]-PaymentSchedule[[#This Row],[INTEREST]],"")</f>
        <v>2369.4237564224759</v>
      </c>
      <c r="I100" s="19">
        <f>IF(PaymentSchedule[[#This Row],[PMT NO]]&lt;&gt;"",PaymentSchedule[[#This Row],[BEGINNING BALANCE]]*(InterestRate/PaymentsPerYear),"")</f>
        <v>5681.0963645246493</v>
      </c>
      <c r="J10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1815581.4128914655</v>
      </c>
      <c r="K100" s="19">
        <f>IF(PaymentSchedule[[#This Row],[PMT NO]]&lt;&gt;"",SUM(INDEX(PaymentSchedule[INTEREST],1,1):PaymentSchedule[[#This Row],[INTEREST]]),"")</f>
        <v>532077.70365575852</v>
      </c>
    </row>
    <row r="101" spans="2:11" x14ac:dyDescent="0.3">
      <c r="B101" s="21">
        <f>IF(LoanIsGood,IF(ROW()-ROW(PaymentSchedule[[#Headers],[PMT NO]])&gt;ScheduledNumberOfPayments,"",ROW()-ROW(PaymentSchedule[[#Headers],[PMT NO]])),"")</f>
        <v>90</v>
      </c>
      <c r="C101" s="20">
        <f>IF(PaymentSchedule[[#This Row],[PMT NO]]&lt;&gt;"",EOMONTH(LoanStartDate,ROW(PaymentSchedule[[#This Row],[PMT NO]])-ROW(PaymentSchedule[[#Headers],[PMT NO]])-2)+DAY(LoanStartDate),"")</f>
        <v>46357</v>
      </c>
      <c r="D101" s="19">
        <f>IF(PaymentSchedule[[#This Row],[PMT NO]]&lt;&gt;"",IF(ROW()-ROW(PaymentSchedule[[#Headers],[BEGINNING BALANCE]])=1,LoanAmount,INDEX(PaymentSchedule[ENDING BALANCE],ROW()-ROW(PaymentSchedule[[#Headers],[BEGINNING BALANCE]])-1)),"")</f>
        <v>1815581.4128914655</v>
      </c>
      <c r="E101" s="19">
        <f>IF(PaymentSchedule[[#This Row],[PMT NO]]&lt;&gt;"",ScheduledPayment,"")</f>
        <v>8050.5201209471252</v>
      </c>
      <c r="F10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01" s="19">
        <f>IF(PaymentSchedule[[#This Row],[PMT NO]]&lt;&gt;"",PaymentSchedule[[#This Row],[TOTAL PAYMENT]]-PaymentSchedule[[#This Row],[INTEREST]],"")</f>
        <v>2376.8282056612961</v>
      </c>
      <c r="I101" s="19">
        <f>IF(PaymentSchedule[[#This Row],[PMT NO]]&lt;&gt;"",PaymentSchedule[[#This Row],[BEGINNING BALANCE]]*(InterestRate/PaymentsPerYear),"")</f>
        <v>5673.6919152858291</v>
      </c>
      <c r="J10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1813204.5846858041</v>
      </c>
      <c r="K101" s="19">
        <f>IF(PaymentSchedule[[#This Row],[PMT NO]]&lt;&gt;"",SUM(INDEX(PaymentSchedule[INTEREST],1,1):PaymentSchedule[[#This Row],[INTEREST]]),"")</f>
        <v>537751.3955710443</v>
      </c>
    </row>
    <row r="102" spans="2:11" x14ac:dyDescent="0.3">
      <c r="B102" s="21">
        <f>IF(LoanIsGood,IF(ROW()-ROW(PaymentSchedule[[#Headers],[PMT NO]])&gt;ScheduledNumberOfPayments,"",ROW()-ROW(PaymentSchedule[[#Headers],[PMT NO]])),"")</f>
        <v>91</v>
      </c>
      <c r="C102" s="20">
        <f>IF(PaymentSchedule[[#This Row],[PMT NO]]&lt;&gt;"",EOMONTH(LoanStartDate,ROW(PaymentSchedule[[#This Row],[PMT NO]])-ROW(PaymentSchedule[[#Headers],[PMT NO]])-2)+DAY(LoanStartDate),"")</f>
        <v>46388</v>
      </c>
      <c r="D102" s="19">
        <f>IF(PaymentSchedule[[#This Row],[PMT NO]]&lt;&gt;"",IF(ROW()-ROW(PaymentSchedule[[#Headers],[BEGINNING BALANCE]])=1,LoanAmount,INDEX(PaymentSchedule[ENDING BALANCE],ROW()-ROW(PaymentSchedule[[#Headers],[BEGINNING BALANCE]])-1)),"")</f>
        <v>1813204.5846858041</v>
      </c>
      <c r="E102" s="19">
        <f>IF(PaymentSchedule[[#This Row],[PMT NO]]&lt;&gt;"",ScheduledPayment,"")</f>
        <v>8050.5201209471252</v>
      </c>
      <c r="F10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02" s="19">
        <f>IF(PaymentSchedule[[#This Row],[PMT NO]]&lt;&gt;"",PaymentSchedule[[#This Row],[TOTAL PAYMENT]]-PaymentSchedule[[#This Row],[INTEREST]],"")</f>
        <v>2384.2557938039881</v>
      </c>
      <c r="I102" s="19">
        <f>IF(PaymentSchedule[[#This Row],[PMT NO]]&lt;&gt;"",PaymentSchedule[[#This Row],[BEGINNING BALANCE]]*(InterestRate/PaymentsPerYear),"")</f>
        <v>5666.2643271431371</v>
      </c>
      <c r="J10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1810820.328892</v>
      </c>
      <c r="K102" s="19">
        <f>IF(PaymentSchedule[[#This Row],[PMT NO]]&lt;&gt;"",SUM(INDEX(PaymentSchedule[INTEREST],1,1):PaymentSchedule[[#This Row],[INTEREST]]),"")</f>
        <v>543417.65989818738</v>
      </c>
    </row>
    <row r="103" spans="2:11" x14ac:dyDescent="0.3">
      <c r="B103" s="21">
        <f>IF(LoanIsGood,IF(ROW()-ROW(PaymentSchedule[[#Headers],[PMT NO]])&gt;ScheduledNumberOfPayments,"",ROW()-ROW(PaymentSchedule[[#Headers],[PMT NO]])),"")</f>
        <v>92</v>
      </c>
      <c r="C103" s="20">
        <f>IF(PaymentSchedule[[#This Row],[PMT NO]]&lt;&gt;"",EOMONTH(LoanStartDate,ROW(PaymentSchedule[[#This Row],[PMT NO]])-ROW(PaymentSchedule[[#Headers],[PMT NO]])-2)+DAY(LoanStartDate),"")</f>
        <v>46419</v>
      </c>
      <c r="D103" s="19">
        <f>IF(PaymentSchedule[[#This Row],[PMT NO]]&lt;&gt;"",IF(ROW()-ROW(PaymentSchedule[[#Headers],[BEGINNING BALANCE]])=1,LoanAmount,INDEX(PaymentSchedule[ENDING BALANCE],ROW()-ROW(PaymentSchedule[[#Headers],[BEGINNING BALANCE]])-1)),"")</f>
        <v>1810820.328892</v>
      </c>
      <c r="E103" s="19">
        <f>IF(PaymentSchedule[[#This Row],[PMT NO]]&lt;&gt;"",ScheduledPayment,"")</f>
        <v>8050.5201209471252</v>
      </c>
      <c r="F10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03" s="19">
        <f>IF(PaymentSchedule[[#This Row],[PMT NO]]&lt;&gt;"",PaymentSchedule[[#This Row],[TOTAL PAYMENT]]-PaymentSchedule[[#This Row],[INTEREST]],"")</f>
        <v>2391.7065931596253</v>
      </c>
      <c r="I103" s="19">
        <f>IF(PaymentSchedule[[#This Row],[PMT NO]]&lt;&gt;"",PaymentSchedule[[#This Row],[BEGINNING BALANCE]]*(InterestRate/PaymentsPerYear),"")</f>
        <v>5658.8135277874999</v>
      </c>
      <c r="J10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1808428.6222988404</v>
      </c>
      <c r="K103" s="19">
        <f>IF(PaymentSchedule[[#This Row],[PMT NO]]&lt;&gt;"",SUM(INDEX(PaymentSchedule[INTEREST],1,1):PaymentSchedule[[#This Row],[INTEREST]]),"")</f>
        <v>549076.47342597484</v>
      </c>
    </row>
    <row r="104" spans="2:11" x14ac:dyDescent="0.3">
      <c r="B104" s="21">
        <f>IF(LoanIsGood,IF(ROW()-ROW(PaymentSchedule[[#Headers],[PMT NO]])&gt;ScheduledNumberOfPayments,"",ROW()-ROW(PaymentSchedule[[#Headers],[PMT NO]])),"")</f>
        <v>93</v>
      </c>
      <c r="C104" s="20">
        <f>IF(PaymentSchedule[[#This Row],[PMT NO]]&lt;&gt;"",EOMONTH(LoanStartDate,ROW(PaymentSchedule[[#This Row],[PMT NO]])-ROW(PaymentSchedule[[#Headers],[PMT NO]])-2)+DAY(LoanStartDate),"")</f>
        <v>46447</v>
      </c>
      <c r="D104" s="19">
        <f>IF(PaymentSchedule[[#This Row],[PMT NO]]&lt;&gt;"",IF(ROW()-ROW(PaymentSchedule[[#Headers],[BEGINNING BALANCE]])=1,LoanAmount,INDEX(PaymentSchedule[ENDING BALANCE],ROW()-ROW(PaymentSchedule[[#Headers],[BEGINNING BALANCE]])-1)),"")</f>
        <v>1808428.6222988404</v>
      </c>
      <c r="E104" s="19">
        <f>IF(PaymentSchedule[[#This Row],[PMT NO]]&lt;&gt;"",ScheduledPayment,"")</f>
        <v>8050.5201209471252</v>
      </c>
      <c r="F10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04" s="19">
        <f>IF(PaymentSchedule[[#This Row],[PMT NO]]&lt;&gt;"",PaymentSchedule[[#This Row],[TOTAL PAYMENT]]-PaymentSchedule[[#This Row],[INTEREST]],"")</f>
        <v>2399.1806762632496</v>
      </c>
      <c r="I104" s="19">
        <f>IF(PaymentSchedule[[#This Row],[PMT NO]]&lt;&gt;"",PaymentSchedule[[#This Row],[BEGINNING BALANCE]]*(InterestRate/PaymentsPerYear),"")</f>
        <v>5651.3394446838756</v>
      </c>
      <c r="J10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1806029.4416225771</v>
      </c>
      <c r="K104" s="19">
        <f>IF(PaymentSchedule[[#This Row],[PMT NO]]&lt;&gt;"",SUM(INDEX(PaymentSchedule[INTEREST],1,1):PaymentSchedule[[#This Row],[INTEREST]]),"")</f>
        <v>554727.8128706587</v>
      </c>
    </row>
    <row r="105" spans="2:11" x14ac:dyDescent="0.3">
      <c r="B105" s="21">
        <f>IF(LoanIsGood,IF(ROW()-ROW(PaymentSchedule[[#Headers],[PMT NO]])&gt;ScheduledNumberOfPayments,"",ROW()-ROW(PaymentSchedule[[#Headers],[PMT NO]])),"")</f>
        <v>94</v>
      </c>
      <c r="C105" s="20">
        <f>IF(PaymentSchedule[[#This Row],[PMT NO]]&lt;&gt;"",EOMONTH(LoanStartDate,ROW(PaymentSchedule[[#This Row],[PMT NO]])-ROW(PaymentSchedule[[#Headers],[PMT NO]])-2)+DAY(LoanStartDate),"")</f>
        <v>46478</v>
      </c>
      <c r="D105" s="19">
        <f>IF(PaymentSchedule[[#This Row],[PMT NO]]&lt;&gt;"",IF(ROW()-ROW(PaymentSchedule[[#Headers],[BEGINNING BALANCE]])=1,LoanAmount,INDEX(PaymentSchedule[ENDING BALANCE],ROW()-ROW(PaymentSchedule[[#Headers],[BEGINNING BALANCE]])-1)),"")</f>
        <v>1806029.4416225771</v>
      </c>
      <c r="E105" s="19">
        <f>IF(PaymentSchedule[[#This Row],[PMT NO]]&lt;&gt;"",ScheduledPayment,"")</f>
        <v>8050.5201209471252</v>
      </c>
      <c r="F10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05" s="19">
        <f>IF(PaymentSchedule[[#This Row],[PMT NO]]&lt;&gt;"",PaymentSchedule[[#This Row],[TOTAL PAYMENT]]-PaymentSchedule[[#This Row],[INTEREST]],"")</f>
        <v>2406.6781158765725</v>
      </c>
      <c r="I105" s="19">
        <f>IF(PaymentSchedule[[#This Row],[PMT NO]]&lt;&gt;"",PaymentSchedule[[#This Row],[BEGINNING BALANCE]]*(InterestRate/PaymentsPerYear),"")</f>
        <v>5643.8420050705527</v>
      </c>
      <c r="J10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1803622.7635067005</v>
      </c>
      <c r="K105" s="19">
        <f>IF(PaymentSchedule[[#This Row],[PMT NO]]&lt;&gt;"",SUM(INDEX(PaymentSchedule[INTEREST],1,1):PaymentSchedule[[#This Row],[INTEREST]]),"")</f>
        <v>560371.65487572923</v>
      </c>
    </row>
    <row r="106" spans="2:11" x14ac:dyDescent="0.3">
      <c r="B106" s="21">
        <f>IF(LoanIsGood,IF(ROW()-ROW(PaymentSchedule[[#Headers],[PMT NO]])&gt;ScheduledNumberOfPayments,"",ROW()-ROW(PaymentSchedule[[#Headers],[PMT NO]])),"")</f>
        <v>95</v>
      </c>
      <c r="C106" s="20">
        <f>IF(PaymentSchedule[[#This Row],[PMT NO]]&lt;&gt;"",EOMONTH(LoanStartDate,ROW(PaymentSchedule[[#This Row],[PMT NO]])-ROW(PaymentSchedule[[#Headers],[PMT NO]])-2)+DAY(LoanStartDate),"")</f>
        <v>46508</v>
      </c>
      <c r="D106" s="19">
        <f>IF(PaymentSchedule[[#This Row],[PMT NO]]&lt;&gt;"",IF(ROW()-ROW(PaymentSchedule[[#Headers],[BEGINNING BALANCE]])=1,LoanAmount,INDEX(PaymentSchedule[ENDING BALANCE],ROW()-ROW(PaymentSchedule[[#Headers],[BEGINNING BALANCE]])-1)),"")</f>
        <v>1803622.7635067005</v>
      </c>
      <c r="E106" s="19">
        <f>IF(PaymentSchedule[[#This Row],[PMT NO]]&lt;&gt;"",ScheduledPayment,"")</f>
        <v>8050.5201209471252</v>
      </c>
      <c r="F10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06" s="19">
        <f>IF(PaymentSchedule[[#This Row],[PMT NO]]&lt;&gt;"",PaymentSchedule[[#This Row],[TOTAL PAYMENT]]-PaymentSchedule[[#This Row],[INTEREST]],"")</f>
        <v>2414.1989849886868</v>
      </c>
      <c r="I106" s="19">
        <f>IF(PaymentSchedule[[#This Row],[PMT NO]]&lt;&gt;"",PaymentSchedule[[#This Row],[BEGINNING BALANCE]]*(InterestRate/PaymentsPerYear),"")</f>
        <v>5636.3211359584384</v>
      </c>
      <c r="J10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1801208.5645217118</v>
      </c>
      <c r="K106" s="19">
        <f>IF(PaymentSchedule[[#This Row],[PMT NO]]&lt;&gt;"",SUM(INDEX(PaymentSchedule[INTEREST],1,1):PaymentSchedule[[#This Row],[INTEREST]]),"")</f>
        <v>566007.97601168766</v>
      </c>
    </row>
    <row r="107" spans="2:11" x14ac:dyDescent="0.3">
      <c r="B107" s="21">
        <f>IF(LoanIsGood,IF(ROW()-ROW(PaymentSchedule[[#Headers],[PMT NO]])&gt;ScheduledNumberOfPayments,"",ROW()-ROW(PaymentSchedule[[#Headers],[PMT NO]])),"")</f>
        <v>96</v>
      </c>
      <c r="C107" s="20">
        <f>IF(PaymentSchedule[[#This Row],[PMT NO]]&lt;&gt;"",EOMONTH(LoanStartDate,ROW(PaymentSchedule[[#This Row],[PMT NO]])-ROW(PaymentSchedule[[#Headers],[PMT NO]])-2)+DAY(LoanStartDate),"")</f>
        <v>46539</v>
      </c>
      <c r="D107" s="19">
        <f>IF(PaymentSchedule[[#This Row],[PMT NO]]&lt;&gt;"",IF(ROW()-ROW(PaymentSchedule[[#Headers],[BEGINNING BALANCE]])=1,LoanAmount,INDEX(PaymentSchedule[ENDING BALANCE],ROW()-ROW(PaymentSchedule[[#Headers],[BEGINNING BALANCE]])-1)),"")</f>
        <v>1801208.5645217118</v>
      </c>
      <c r="E107" s="19">
        <f>IF(PaymentSchedule[[#This Row],[PMT NO]]&lt;&gt;"",ScheduledPayment,"")</f>
        <v>8050.5201209471252</v>
      </c>
      <c r="F10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07" s="19">
        <f>IF(PaymentSchedule[[#This Row],[PMT NO]]&lt;&gt;"",PaymentSchedule[[#This Row],[TOTAL PAYMENT]]-PaymentSchedule[[#This Row],[INTEREST]],"")</f>
        <v>2421.7433568167762</v>
      </c>
      <c r="I107" s="19">
        <f>IF(PaymentSchedule[[#This Row],[PMT NO]]&lt;&gt;"",PaymentSchedule[[#This Row],[BEGINNING BALANCE]]*(InterestRate/PaymentsPerYear),"")</f>
        <v>5628.776764130349</v>
      </c>
      <c r="J10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1798786.8211648951</v>
      </c>
      <c r="K107" s="19">
        <f>IF(PaymentSchedule[[#This Row],[PMT NO]]&lt;&gt;"",SUM(INDEX(PaymentSchedule[INTEREST],1,1):PaymentSchedule[[#This Row],[INTEREST]]),"")</f>
        <v>571636.75277581799</v>
      </c>
    </row>
    <row r="108" spans="2:11" x14ac:dyDescent="0.3">
      <c r="B108" s="21">
        <f>IF(LoanIsGood,IF(ROW()-ROW(PaymentSchedule[[#Headers],[PMT NO]])&gt;ScheduledNumberOfPayments,"",ROW()-ROW(PaymentSchedule[[#Headers],[PMT NO]])),"")</f>
        <v>97</v>
      </c>
      <c r="C108" s="20">
        <f>IF(PaymentSchedule[[#This Row],[PMT NO]]&lt;&gt;"",EOMONTH(LoanStartDate,ROW(PaymentSchedule[[#This Row],[PMT NO]])-ROW(PaymentSchedule[[#Headers],[PMT NO]])-2)+DAY(LoanStartDate),"")</f>
        <v>46569</v>
      </c>
      <c r="D108" s="19">
        <f>IF(PaymentSchedule[[#This Row],[PMT NO]]&lt;&gt;"",IF(ROW()-ROW(PaymentSchedule[[#Headers],[BEGINNING BALANCE]])=1,LoanAmount,INDEX(PaymentSchedule[ENDING BALANCE],ROW()-ROW(PaymentSchedule[[#Headers],[BEGINNING BALANCE]])-1)),"")</f>
        <v>1798786.8211648951</v>
      </c>
      <c r="E108" s="19">
        <f>IF(PaymentSchedule[[#This Row],[PMT NO]]&lt;&gt;"",ScheduledPayment,"")</f>
        <v>8050.5201209471252</v>
      </c>
      <c r="F10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08" s="19">
        <f>IF(PaymentSchedule[[#This Row],[PMT NO]]&lt;&gt;"",PaymentSchedule[[#This Row],[TOTAL PAYMENT]]-PaymentSchedule[[#This Row],[INTEREST]],"")</f>
        <v>2429.311304806829</v>
      </c>
      <c r="I108" s="19">
        <f>IF(PaymentSchedule[[#This Row],[PMT NO]]&lt;&gt;"",PaymentSchedule[[#This Row],[BEGINNING BALANCE]]*(InterestRate/PaymentsPerYear),"")</f>
        <v>5621.2088161402962</v>
      </c>
      <c r="J10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1796357.5098600884</v>
      </c>
      <c r="K108" s="19">
        <f>IF(PaymentSchedule[[#This Row],[PMT NO]]&lt;&gt;"",SUM(INDEX(PaymentSchedule[INTEREST],1,1):PaymentSchedule[[#This Row],[INTEREST]]),"")</f>
        <v>577257.9615919583</v>
      </c>
    </row>
    <row r="109" spans="2:11" x14ac:dyDescent="0.3">
      <c r="B109" s="21">
        <f>IF(LoanIsGood,IF(ROW()-ROW(PaymentSchedule[[#Headers],[PMT NO]])&gt;ScheduledNumberOfPayments,"",ROW()-ROW(PaymentSchedule[[#Headers],[PMT NO]])),"")</f>
        <v>98</v>
      </c>
      <c r="C109" s="20">
        <f>IF(PaymentSchedule[[#This Row],[PMT NO]]&lt;&gt;"",EOMONTH(LoanStartDate,ROW(PaymentSchedule[[#This Row],[PMT NO]])-ROW(PaymentSchedule[[#Headers],[PMT NO]])-2)+DAY(LoanStartDate),"")</f>
        <v>46600</v>
      </c>
      <c r="D109" s="19">
        <f>IF(PaymentSchedule[[#This Row],[PMT NO]]&lt;&gt;"",IF(ROW()-ROW(PaymentSchedule[[#Headers],[BEGINNING BALANCE]])=1,LoanAmount,INDEX(PaymentSchedule[ENDING BALANCE],ROW()-ROW(PaymentSchedule[[#Headers],[BEGINNING BALANCE]])-1)),"")</f>
        <v>1796357.5098600884</v>
      </c>
      <c r="E109" s="19">
        <f>IF(PaymentSchedule[[#This Row],[PMT NO]]&lt;&gt;"",ScheduledPayment,"")</f>
        <v>8050.5201209471252</v>
      </c>
      <c r="F10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09" s="19">
        <f>IF(PaymentSchedule[[#This Row],[PMT NO]]&lt;&gt;"",PaymentSchedule[[#This Row],[TOTAL PAYMENT]]-PaymentSchedule[[#This Row],[INTEREST]],"")</f>
        <v>2436.9029026343496</v>
      </c>
      <c r="I109" s="19">
        <f>IF(PaymentSchedule[[#This Row],[PMT NO]]&lt;&gt;"",PaymentSchedule[[#This Row],[BEGINNING BALANCE]]*(InterestRate/PaymentsPerYear),"")</f>
        <v>5613.6172183127755</v>
      </c>
      <c r="J10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1793920.606957454</v>
      </c>
      <c r="K109" s="19">
        <f>IF(PaymentSchedule[[#This Row],[PMT NO]]&lt;&gt;"",SUM(INDEX(PaymentSchedule[INTEREST],1,1):PaymentSchedule[[#This Row],[INTEREST]]),"")</f>
        <v>582871.57881027111</v>
      </c>
    </row>
    <row r="110" spans="2:11" x14ac:dyDescent="0.3">
      <c r="B110" s="21">
        <f>IF(LoanIsGood,IF(ROW()-ROW(PaymentSchedule[[#Headers],[PMT NO]])&gt;ScheduledNumberOfPayments,"",ROW()-ROW(PaymentSchedule[[#Headers],[PMT NO]])),"")</f>
        <v>99</v>
      </c>
      <c r="C110" s="20">
        <f>IF(PaymentSchedule[[#This Row],[PMT NO]]&lt;&gt;"",EOMONTH(LoanStartDate,ROW(PaymentSchedule[[#This Row],[PMT NO]])-ROW(PaymentSchedule[[#Headers],[PMT NO]])-2)+DAY(LoanStartDate),"")</f>
        <v>46631</v>
      </c>
      <c r="D110" s="19">
        <f>IF(PaymentSchedule[[#This Row],[PMT NO]]&lt;&gt;"",IF(ROW()-ROW(PaymentSchedule[[#Headers],[BEGINNING BALANCE]])=1,LoanAmount,INDEX(PaymentSchedule[ENDING BALANCE],ROW()-ROW(PaymentSchedule[[#Headers],[BEGINNING BALANCE]])-1)),"")</f>
        <v>1793920.606957454</v>
      </c>
      <c r="E110" s="19">
        <f>IF(PaymentSchedule[[#This Row],[PMT NO]]&lt;&gt;"",ScheduledPayment,"")</f>
        <v>8050.5201209471252</v>
      </c>
      <c r="F11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10" s="19">
        <f>IF(PaymentSchedule[[#This Row],[PMT NO]]&lt;&gt;"",PaymentSchedule[[#This Row],[TOTAL PAYMENT]]-PaymentSchedule[[#This Row],[INTEREST]],"")</f>
        <v>2444.5182242050823</v>
      </c>
      <c r="I110" s="19">
        <f>IF(PaymentSchedule[[#This Row],[PMT NO]]&lt;&gt;"",PaymentSchedule[[#This Row],[BEGINNING BALANCE]]*(InterestRate/PaymentsPerYear),"")</f>
        <v>5606.0018967420428</v>
      </c>
      <c r="J11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1791476.0887332489</v>
      </c>
      <c r="K110" s="19">
        <f>IF(PaymentSchedule[[#This Row],[PMT NO]]&lt;&gt;"",SUM(INDEX(PaymentSchedule[INTEREST],1,1):PaymentSchedule[[#This Row],[INTEREST]]),"")</f>
        <v>588477.58070701314</v>
      </c>
    </row>
    <row r="111" spans="2:11" x14ac:dyDescent="0.3">
      <c r="B111" s="21">
        <f>IF(LoanIsGood,IF(ROW()-ROW(PaymentSchedule[[#Headers],[PMT NO]])&gt;ScheduledNumberOfPayments,"",ROW()-ROW(PaymentSchedule[[#Headers],[PMT NO]])),"")</f>
        <v>100</v>
      </c>
      <c r="C111" s="20">
        <f>IF(PaymentSchedule[[#This Row],[PMT NO]]&lt;&gt;"",EOMONTH(LoanStartDate,ROW(PaymentSchedule[[#This Row],[PMT NO]])-ROW(PaymentSchedule[[#Headers],[PMT NO]])-2)+DAY(LoanStartDate),"")</f>
        <v>46661</v>
      </c>
      <c r="D111" s="19">
        <f>IF(PaymentSchedule[[#This Row],[PMT NO]]&lt;&gt;"",IF(ROW()-ROW(PaymentSchedule[[#Headers],[BEGINNING BALANCE]])=1,LoanAmount,INDEX(PaymentSchedule[ENDING BALANCE],ROW()-ROW(PaymentSchedule[[#Headers],[BEGINNING BALANCE]])-1)),"")</f>
        <v>1791476.0887332489</v>
      </c>
      <c r="E111" s="19">
        <f>IF(PaymentSchedule[[#This Row],[PMT NO]]&lt;&gt;"",ScheduledPayment,"")</f>
        <v>8050.5201209471252</v>
      </c>
      <c r="F11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11" s="19">
        <f>IF(PaymentSchedule[[#This Row],[PMT NO]]&lt;&gt;"",PaymentSchedule[[#This Row],[TOTAL PAYMENT]]-PaymentSchedule[[#This Row],[INTEREST]],"")</f>
        <v>2452.1573436557228</v>
      </c>
      <c r="I111" s="19">
        <f>IF(PaymentSchedule[[#This Row],[PMT NO]]&lt;&gt;"",PaymentSchedule[[#This Row],[BEGINNING BALANCE]]*(InterestRate/PaymentsPerYear),"")</f>
        <v>5598.3627772914024</v>
      </c>
      <c r="J11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1789023.9313895931</v>
      </c>
      <c r="K111" s="19">
        <f>IF(PaymentSchedule[[#This Row],[PMT NO]]&lt;&gt;"",SUM(INDEX(PaymentSchedule[INTEREST],1,1):PaymentSchedule[[#This Row],[INTEREST]]),"")</f>
        <v>594075.94348430459</v>
      </c>
    </row>
    <row r="112" spans="2:11" x14ac:dyDescent="0.3">
      <c r="B112" s="21">
        <f>IF(LoanIsGood,IF(ROW()-ROW(PaymentSchedule[[#Headers],[PMT NO]])&gt;ScheduledNumberOfPayments,"",ROW()-ROW(PaymentSchedule[[#Headers],[PMT NO]])),"")</f>
        <v>101</v>
      </c>
      <c r="C112" s="20">
        <f>IF(PaymentSchedule[[#This Row],[PMT NO]]&lt;&gt;"",EOMONTH(LoanStartDate,ROW(PaymentSchedule[[#This Row],[PMT NO]])-ROW(PaymentSchedule[[#Headers],[PMT NO]])-2)+DAY(LoanStartDate),"")</f>
        <v>46692</v>
      </c>
      <c r="D112" s="19">
        <f>IF(PaymentSchedule[[#This Row],[PMT NO]]&lt;&gt;"",IF(ROW()-ROW(PaymentSchedule[[#Headers],[BEGINNING BALANCE]])=1,LoanAmount,INDEX(PaymentSchedule[ENDING BALANCE],ROW()-ROW(PaymentSchedule[[#Headers],[BEGINNING BALANCE]])-1)),"")</f>
        <v>1789023.9313895931</v>
      </c>
      <c r="E112" s="19">
        <f>IF(PaymentSchedule[[#This Row],[PMT NO]]&lt;&gt;"",ScheduledPayment,"")</f>
        <v>8050.5201209471252</v>
      </c>
      <c r="F11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12" s="19">
        <f>IF(PaymentSchedule[[#This Row],[PMT NO]]&lt;&gt;"",PaymentSchedule[[#This Row],[TOTAL PAYMENT]]-PaymentSchedule[[#This Row],[INTEREST]],"")</f>
        <v>2459.8203353546478</v>
      </c>
      <c r="I112" s="19">
        <f>IF(PaymentSchedule[[#This Row],[PMT NO]]&lt;&gt;"",PaymentSchedule[[#This Row],[BEGINNING BALANCE]]*(InterestRate/PaymentsPerYear),"")</f>
        <v>5590.6997855924774</v>
      </c>
      <c r="J11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1786564.1110542384</v>
      </c>
      <c r="K112" s="19">
        <f>IF(PaymentSchedule[[#This Row],[PMT NO]]&lt;&gt;"",SUM(INDEX(PaymentSchedule[INTEREST],1,1):PaymentSchedule[[#This Row],[INTEREST]]),"")</f>
        <v>599666.64326989709</v>
      </c>
    </row>
    <row r="113" spans="2:11" x14ac:dyDescent="0.3">
      <c r="B113" s="21">
        <f>IF(LoanIsGood,IF(ROW()-ROW(PaymentSchedule[[#Headers],[PMT NO]])&gt;ScheduledNumberOfPayments,"",ROW()-ROW(PaymentSchedule[[#Headers],[PMT NO]])),"")</f>
        <v>102</v>
      </c>
      <c r="C113" s="20">
        <f>IF(PaymentSchedule[[#This Row],[PMT NO]]&lt;&gt;"",EOMONTH(LoanStartDate,ROW(PaymentSchedule[[#This Row],[PMT NO]])-ROW(PaymentSchedule[[#Headers],[PMT NO]])-2)+DAY(LoanStartDate),"")</f>
        <v>46722</v>
      </c>
      <c r="D113" s="19">
        <f>IF(PaymentSchedule[[#This Row],[PMT NO]]&lt;&gt;"",IF(ROW()-ROW(PaymentSchedule[[#Headers],[BEGINNING BALANCE]])=1,LoanAmount,INDEX(PaymentSchedule[ENDING BALANCE],ROW()-ROW(PaymentSchedule[[#Headers],[BEGINNING BALANCE]])-1)),"")</f>
        <v>1786564.1110542384</v>
      </c>
      <c r="E113" s="19">
        <f>IF(PaymentSchedule[[#This Row],[PMT NO]]&lt;&gt;"",ScheduledPayment,"")</f>
        <v>8050.5201209471252</v>
      </c>
      <c r="F11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13" s="19">
        <f>IF(PaymentSchedule[[#This Row],[PMT NO]]&lt;&gt;"",PaymentSchedule[[#This Row],[TOTAL PAYMENT]]-PaymentSchedule[[#This Row],[INTEREST]],"")</f>
        <v>2467.5072739026309</v>
      </c>
      <c r="I113" s="19">
        <f>IF(PaymentSchedule[[#This Row],[PMT NO]]&lt;&gt;"",PaymentSchedule[[#This Row],[BEGINNING BALANCE]]*(InterestRate/PaymentsPerYear),"")</f>
        <v>5583.0128470444943</v>
      </c>
      <c r="J11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1784096.6037803357</v>
      </c>
      <c r="K113" s="19">
        <f>IF(PaymentSchedule[[#This Row],[PMT NO]]&lt;&gt;"",SUM(INDEX(PaymentSchedule[INTEREST],1,1):PaymentSchedule[[#This Row],[INTEREST]]),"")</f>
        <v>605249.65611694159</v>
      </c>
    </row>
    <row r="114" spans="2:11" x14ac:dyDescent="0.3">
      <c r="B114" s="21">
        <f>IF(LoanIsGood,IF(ROW()-ROW(PaymentSchedule[[#Headers],[PMT NO]])&gt;ScheduledNumberOfPayments,"",ROW()-ROW(PaymentSchedule[[#Headers],[PMT NO]])),"")</f>
        <v>103</v>
      </c>
      <c r="C114" s="20">
        <f>IF(PaymentSchedule[[#This Row],[PMT NO]]&lt;&gt;"",EOMONTH(LoanStartDate,ROW(PaymentSchedule[[#This Row],[PMT NO]])-ROW(PaymentSchedule[[#Headers],[PMT NO]])-2)+DAY(LoanStartDate),"")</f>
        <v>46753</v>
      </c>
      <c r="D114" s="19">
        <f>IF(PaymentSchedule[[#This Row],[PMT NO]]&lt;&gt;"",IF(ROW()-ROW(PaymentSchedule[[#Headers],[BEGINNING BALANCE]])=1,LoanAmount,INDEX(PaymentSchedule[ENDING BALANCE],ROW()-ROW(PaymentSchedule[[#Headers],[BEGINNING BALANCE]])-1)),"")</f>
        <v>1784096.6037803357</v>
      </c>
      <c r="E114" s="19">
        <f>IF(PaymentSchedule[[#This Row],[PMT NO]]&lt;&gt;"",ScheduledPayment,"")</f>
        <v>8050.5201209471252</v>
      </c>
      <c r="F11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14" s="19">
        <f>IF(PaymentSchedule[[#This Row],[PMT NO]]&lt;&gt;"",PaymentSchedule[[#This Row],[TOTAL PAYMENT]]-PaymentSchedule[[#This Row],[INTEREST]],"")</f>
        <v>2475.2182341335765</v>
      </c>
      <c r="I114" s="19">
        <f>IF(PaymentSchedule[[#This Row],[PMT NO]]&lt;&gt;"",PaymentSchedule[[#This Row],[BEGINNING BALANCE]]*(InterestRate/PaymentsPerYear),"")</f>
        <v>5575.3018868135487</v>
      </c>
      <c r="J11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1781621.3855462021</v>
      </c>
      <c r="K114" s="19">
        <f>IF(PaymentSchedule[[#This Row],[PMT NO]]&lt;&gt;"",SUM(INDEX(PaymentSchedule[INTEREST],1,1):PaymentSchedule[[#This Row],[INTEREST]]),"")</f>
        <v>610824.95800375519</v>
      </c>
    </row>
    <row r="115" spans="2:11" x14ac:dyDescent="0.3">
      <c r="B115" s="21">
        <f>IF(LoanIsGood,IF(ROW()-ROW(PaymentSchedule[[#Headers],[PMT NO]])&gt;ScheduledNumberOfPayments,"",ROW()-ROW(PaymentSchedule[[#Headers],[PMT NO]])),"")</f>
        <v>104</v>
      </c>
      <c r="C115" s="20">
        <f>IF(PaymentSchedule[[#This Row],[PMT NO]]&lt;&gt;"",EOMONTH(LoanStartDate,ROW(PaymentSchedule[[#This Row],[PMT NO]])-ROW(PaymentSchedule[[#Headers],[PMT NO]])-2)+DAY(LoanStartDate),"")</f>
        <v>46784</v>
      </c>
      <c r="D115" s="19">
        <f>IF(PaymentSchedule[[#This Row],[PMT NO]]&lt;&gt;"",IF(ROW()-ROW(PaymentSchedule[[#Headers],[BEGINNING BALANCE]])=1,LoanAmount,INDEX(PaymentSchedule[ENDING BALANCE],ROW()-ROW(PaymentSchedule[[#Headers],[BEGINNING BALANCE]])-1)),"")</f>
        <v>1781621.3855462021</v>
      </c>
      <c r="E115" s="19">
        <f>IF(PaymentSchedule[[#This Row],[PMT NO]]&lt;&gt;"",ScheduledPayment,"")</f>
        <v>8050.5201209471252</v>
      </c>
      <c r="F11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15" s="19">
        <f>IF(PaymentSchedule[[#This Row],[PMT NO]]&lt;&gt;"",PaymentSchedule[[#This Row],[TOTAL PAYMENT]]-PaymentSchedule[[#This Row],[INTEREST]],"")</f>
        <v>2482.9532911152446</v>
      </c>
      <c r="I115" s="19">
        <f>IF(PaymentSchedule[[#This Row],[PMT NO]]&lt;&gt;"",PaymentSchedule[[#This Row],[BEGINNING BALANCE]]*(InterestRate/PaymentsPerYear),"")</f>
        <v>5567.5668298318806</v>
      </c>
      <c r="J11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1779138.4322550867</v>
      </c>
      <c r="K115" s="19">
        <f>IF(PaymentSchedule[[#This Row],[PMT NO]]&lt;&gt;"",SUM(INDEX(PaymentSchedule[INTEREST],1,1):PaymentSchedule[[#This Row],[INTEREST]]),"")</f>
        <v>616392.52483358711</v>
      </c>
    </row>
    <row r="116" spans="2:11" x14ac:dyDescent="0.3">
      <c r="B116" s="21">
        <f>IF(LoanIsGood,IF(ROW()-ROW(PaymentSchedule[[#Headers],[PMT NO]])&gt;ScheduledNumberOfPayments,"",ROW()-ROW(PaymentSchedule[[#Headers],[PMT NO]])),"")</f>
        <v>105</v>
      </c>
      <c r="C116" s="20">
        <f>IF(PaymentSchedule[[#This Row],[PMT NO]]&lt;&gt;"",EOMONTH(LoanStartDate,ROW(PaymentSchedule[[#This Row],[PMT NO]])-ROW(PaymentSchedule[[#Headers],[PMT NO]])-2)+DAY(LoanStartDate),"")</f>
        <v>46813</v>
      </c>
      <c r="D116" s="19">
        <f>IF(PaymentSchedule[[#This Row],[PMT NO]]&lt;&gt;"",IF(ROW()-ROW(PaymentSchedule[[#Headers],[BEGINNING BALANCE]])=1,LoanAmount,INDEX(PaymentSchedule[ENDING BALANCE],ROW()-ROW(PaymentSchedule[[#Headers],[BEGINNING BALANCE]])-1)),"")</f>
        <v>1779138.4322550867</v>
      </c>
      <c r="E116" s="19">
        <f>IF(PaymentSchedule[[#This Row],[PMT NO]]&lt;&gt;"",ScheduledPayment,"")</f>
        <v>8050.5201209471252</v>
      </c>
      <c r="F11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16" s="19">
        <f>IF(PaymentSchedule[[#This Row],[PMT NO]]&lt;&gt;"",PaymentSchedule[[#This Row],[TOTAL PAYMENT]]-PaymentSchedule[[#This Row],[INTEREST]],"")</f>
        <v>2490.7125201499794</v>
      </c>
      <c r="I116" s="19">
        <f>IF(PaymentSchedule[[#This Row],[PMT NO]]&lt;&gt;"",PaymentSchedule[[#This Row],[BEGINNING BALANCE]]*(InterestRate/PaymentsPerYear),"")</f>
        <v>5559.8076007971458</v>
      </c>
      <c r="J11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1776647.7197349367</v>
      </c>
      <c r="K116" s="19">
        <f>IF(PaymentSchedule[[#This Row],[PMT NO]]&lt;&gt;"",SUM(INDEX(PaymentSchedule[INTEREST],1,1):PaymentSchedule[[#This Row],[INTEREST]]),"")</f>
        <v>621952.33243438427</v>
      </c>
    </row>
    <row r="117" spans="2:11" x14ac:dyDescent="0.3">
      <c r="B117" s="21">
        <f>IF(LoanIsGood,IF(ROW()-ROW(PaymentSchedule[[#Headers],[PMT NO]])&gt;ScheduledNumberOfPayments,"",ROW()-ROW(PaymentSchedule[[#Headers],[PMT NO]])),"")</f>
        <v>106</v>
      </c>
      <c r="C117" s="20">
        <f>IF(PaymentSchedule[[#This Row],[PMT NO]]&lt;&gt;"",EOMONTH(LoanStartDate,ROW(PaymentSchedule[[#This Row],[PMT NO]])-ROW(PaymentSchedule[[#Headers],[PMT NO]])-2)+DAY(LoanStartDate),"")</f>
        <v>46844</v>
      </c>
      <c r="D117" s="19">
        <f>IF(PaymentSchedule[[#This Row],[PMT NO]]&lt;&gt;"",IF(ROW()-ROW(PaymentSchedule[[#Headers],[BEGINNING BALANCE]])=1,LoanAmount,INDEX(PaymentSchedule[ENDING BALANCE],ROW()-ROW(PaymentSchedule[[#Headers],[BEGINNING BALANCE]])-1)),"")</f>
        <v>1776647.7197349367</v>
      </c>
      <c r="E117" s="19">
        <f>IF(PaymentSchedule[[#This Row],[PMT NO]]&lt;&gt;"",ScheduledPayment,"")</f>
        <v>8050.5201209471252</v>
      </c>
      <c r="F11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17" s="19">
        <f>IF(PaymentSchedule[[#This Row],[PMT NO]]&lt;&gt;"",PaymentSchedule[[#This Row],[TOTAL PAYMENT]]-PaymentSchedule[[#This Row],[INTEREST]],"")</f>
        <v>2498.4959967754485</v>
      </c>
      <c r="I117" s="19">
        <f>IF(PaymentSchedule[[#This Row],[PMT NO]]&lt;&gt;"",PaymentSchedule[[#This Row],[BEGINNING BALANCE]]*(InterestRate/PaymentsPerYear),"")</f>
        <v>5552.0241241716767</v>
      </c>
      <c r="J11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1774149.2237381614</v>
      </c>
      <c r="K117" s="19">
        <f>IF(PaymentSchedule[[#This Row],[PMT NO]]&lt;&gt;"",SUM(INDEX(PaymentSchedule[INTEREST],1,1):PaymentSchedule[[#This Row],[INTEREST]]),"")</f>
        <v>627504.35655855597</v>
      </c>
    </row>
    <row r="118" spans="2:11" x14ac:dyDescent="0.3">
      <c r="B118" s="21">
        <f>IF(LoanIsGood,IF(ROW()-ROW(PaymentSchedule[[#Headers],[PMT NO]])&gt;ScheduledNumberOfPayments,"",ROW()-ROW(PaymentSchedule[[#Headers],[PMT NO]])),"")</f>
        <v>107</v>
      </c>
      <c r="C118" s="20">
        <f>IF(PaymentSchedule[[#This Row],[PMT NO]]&lt;&gt;"",EOMONTH(LoanStartDate,ROW(PaymentSchedule[[#This Row],[PMT NO]])-ROW(PaymentSchedule[[#Headers],[PMT NO]])-2)+DAY(LoanStartDate),"")</f>
        <v>46874</v>
      </c>
      <c r="D118" s="19">
        <f>IF(PaymentSchedule[[#This Row],[PMT NO]]&lt;&gt;"",IF(ROW()-ROW(PaymentSchedule[[#Headers],[BEGINNING BALANCE]])=1,LoanAmount,INDEX(PaymentSchedule[ENDING BALANCE],ROW()-ROW(PaymentSchedule[[#Headers],[BEGINNING BALANCE]])-1)),"")</f>
        <v>1774149.2237381614</v>
      </c>
      <c r="E118" s="19">
        <f>IF(PaymentSchedule[[#This Row],[PMT NO]]&lt;&gt;"",ScheduledPayment,"")</f>
        <v>8050.5201209471252</v>
      </c>
      <c r="F11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18" s="19">
        <f>IF(PaymentSchedule[[#This Row],[PMT NO]]&lt;&gt;"",PaymentSchedule[[#This Row],[TOTAL PAYMENT]]-PaymentSchedule[[#This Row],[INTEREST]],"")</f>
        <v>2506.3037967653718</v>
      </c>
      <c r="I118" s="19">
        <f>IF(PaymentSchedule[[#This Row],[PMT NO]]&lt;&gt;"",PaymentSchedule[[#This Row],[BEGINNING BALANCE]]*(InterestRate/PaymentsPerYear),"")</f>
        <v>5544.2163241817534</v>
      </c>
      <c r="J11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1771642.919941396</v>
      </c>
      <c r="K118" s="19">
        <f>IF(PaymentSchedule[[#This Row],[PMT NO]]&lt;&gt;"",SUM(INDEX(PaymentSchedule[INTEREST],1,1):PaymentSchedule[[#This Row],[INTEREST]]),"")</f>
        <v>633048.57288273773</v>
      </c>
    </row>
    <row r="119" spans="2:11" x14ac:dyDescent="0.3">
      <c r="B119" s="21">
        <f>IF(LoanIsGood,IF(ROW()-ROW(PaymentSchedule[[#Headers],[PMT NO]])&gt;ScheduledNumberOfPayments,"",ROW()-ROW(PaymentSchedule[[#Headers],[PMT NO]])),"")</f>
        <v>108</v>
      </c>
      <c r="C119" s="20">
        <f>IF(PaymentSchedule[[#This Row],[PMT NO]]&lt;&gt;"",EOMONTH(LoanStartDate,ROW(PaymentSchedule[[#This Row],[PMT NO]])-ROW(PaymentSchedule[[#Headers],[PMT NO]])-2)+DAY(LoanStartDate),"")</f>
        <v>46905</v>
      </c>
      <c r="D119" s="19">
        <f>IF(PaymentSchedule[[#This Row],[PMT NO]]&lt;&gt;"",IF(ROW()-ROW(PaymentSchedule[[#Headers],[BEGINNING BALANCE]])=1,LoanAmount,INDEX(PaymentSchedule[ENDING BALANCE],ROW()-ROW(PaymentSchedule[[#Headers],[BEGINNING BALANCE]])-1)),"")</f>
        <v>1771642.919941396</v>
      </c>
      <c r="E119" s="19">
        <f>IF(PaymentSchedule[[#This Row],[PMT NO]]&lt;&gt;"",ScheduledPayment,"")</f>
        <v>8050.5201209471252</v>
      </c>
      <c r="F11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19" s="19">
        <f>IF(PaymentSchedule[[#This Row],[PMT NO]]&lt;&gt;"",PaymentSchedule[[#This Row],[TOTAL PAYMENT]]-PaymentSchedule[[#This Row],[INTEREST]],"")</f>
        <v>2514.1359961302633</v>
      </c>
      <c r="I119" s="19">
        <f>IF(PaymentSchedule[[#This Row],[PMT NO]]&lt;&gt;"",PaymentSchedule[[#This Row],[BEGINNING BALANCE]]*(InterestRate/PaymentsPerYear),"")</f>
        <v>5536.3841248168619</v>
      </c>
      <c r="J11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1769128.7839452657</v>
      </c>
      <c r="K119" s="19">
        <f>IF(PaymentSchedule[[#This Row],[PMT NO]]&lt;&gt;"",SUM(INDEX(PaymentSchedule[INTEREST],1,1):PaymentSchedule[[#This Row],[INTEREST]]),"")</f>
        <v>638584.95700755459</v>
      </c>
    </row>
    <row r="120" spans="2:11" x14ac:dyDescent="0.3">
      <c r="B120" s="21">
        <f>IF(LoanIsGood,IF(ROW()-ROW(PaymentSchedule[[#Headers],[PMT NO]])&gt;ScheduledNumberOfPayments,"",ROW()-ROW(PaymentSchedule[[#Headers],[PMT NO]])),"")</f>
        <v>109</v>
      </c>
      <c r="C120" s="20">
        <f>IF(PaymentSchedule[[#This Row],[PMT NO]]&lt;&gt;"",EOMONTH(LoanStartDate,ROW(PaymentSchedule[[#This Row],[PMT NO]])-ROW(PaymentSchedule[[#Headers],[PMT NO]])-2)+DAY(LoanStartDate),"")</f>
        <v>46935</v>
      </c>
      <c r="D120" s="19">
        <f>IF(PaymentSchedule[[#This Row],[PMT NO]]&lt;&gt;"",IF(ROW()-ROW(PaymentSchedule[[#Headers],[BEGINNING BALANCE]])=1,LoanAmount,INDEX(PaymentSchedule[ENDING BALANCE],ROW()-ROW(PaymentSchedule[[#Headers],[BEGINNING BALANCE]])-1)),"")</f>
        <v>1769128.7839452657</v>
      </c>
      <c r="E120" s="19">
        <f>IF(PaymentSchedule[[#This Row],[PMT NO]]&lt;&gt;"",ScheduledPayment,"")</f>
        <v>8050.5201209471252</v>
      </c>
      <c r="F12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20" s="19">
        <f>IF(PaymentSchedule[[#This Row],[PMT NO]]&lt;&gt;"",PaymentSchedule[[#This Row],[TOTAL PAYMENT]]-PaymentSchedule[[#This Row],[INTEREST]],"")</f>
        <v>2521.9926711181706</v>
      </c>
      <c r="I120" s="19">
        <f>IF(PaymentSchedule[[#This Row],[PMT NO]]&lt;&gt;"",PaymentSchedule[[#This Row],[BEGINNING BALANCE]]*(InterestRate/PaymentsPerYear),"")</f>
        <v>5528.5274498289546</v>
      </c>
      <c r="J12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1766606.7912741476</v>
      </c>
      <c r="K120" s="19">
        <f>IF(PaymentSchedule[[#This Row],[PMT NO]]&lt;&gt;"",SUM(INDEX(PaymentSchedule[INTEREST],1,1):PaymentSchedule[[#This Row],[INTEREST]]),"")</f>
        <v>644113.48445738351</v>
      </c>
    </row>
    <row r="121" spans="2:11" x14ac:dyDescent="0.3">
      <c r="B121" s="21">
        <f>IF(LoanIsGood,IF(ROW()-ROW(PaymentSchedule[[#Headers],[PMT NO]])&gt;ScheduledNumberOfPayments,"",ROW()-ROW(PaymentSchedule[[#Headers],[PMT NO]])),"")</f>
        <v>110</v>
      </c>
      <c r="C121" s="20">
        <f>IF(PaymentSchedule[[#This Row],[PMT NO]]&lt;&gt;"",EOMONTH(LoanStartDate,ROW(PaymentSchedule[[#This Row],[PMT NO]])-ROW(PaymentSchedule[[#Headers],[PMT NO]])-2)+DAY(LoanStartDate),"")</f>
        <v>46966</v>
      </c>
      <c r="D121" s="19">
        <f>IF(PaymentSchedule[[#This Row],[PMT NO]]&lt;&gt;"",IF(ROW()-ROW(PaymentSchedule[[#Headers],[BEGINNING BALANCE]])=1,LoanAmount,INDEX(PaymentSchedule[ENDING BALANCE],ROW()-ROW(PaymentSchedule[[#Headers],[BEGINNING BALANCE]])-1)),"")</f>
        <v>1766606.7912741476</v>
      </c>
      <c r="E121" s="19">
        <f>IF(PaymentSchedule[[#This Row],[PMT NO]]&lt;&gt;"",ScheduledPayment,"")</f>
        <v>8050.5201209471252</v>
      </c>
      <c r="F12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21" s="19">
        <f>IF(PaymentSchedule[[#This Row],[PMT NO]]&lt;&gt;"",PaymentSchedule[[#This Row],[TOTAL PAYMENT]]-PaymentSchedule[[#This Row],[INTEREST]],"")</f>
        <v>2529.8738982154146</v>
      </c>
      <c r="I121" s="19">
        <f>IF(PaymentSchedule[[#This Row],[PMT NO]]&lt;&gt;"",PaymentSchedule[[#This Row],[BEGINNING BALANCE]]*(InterestRate/PaymentsPerYear),"")</f>
        <v>5520.6462227317106</v>
      </c>
      <c r="J12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1764076.9173759322</v>
      </c>
      <c r="K121" s="19">
        <f>IF(PaymentSchedule[[#This Row],[PMT NO]]&lt;&gt;"",SUM(INDEX(PaymentSchedule[INTEREST],1,1):PaymentSchedule[[#This Row],[INTEREST]]),"")</f>
        <v>649634.13068011519</v>
      </c>
    </row>
    <row r="122" spans="2:11" x14ac:dyDescent="0.3">
      <c r="B122" s="21">
        <f>IF(LoanIsGood,IF(ROW()-ROW(PaymentSchedule[[#Headers],[PMT NO]])&gt;ScheduledNumberOfPayments,"",ROW()-ROW(PaymentSchedule[[#Headers],[PMT NO]])),"")</f>
        <v>111</v>
      </c>
      <c r="C122" s="20">
        <f>IF(PaymentSchedule[[#This Row],[PMT NO]]&lt;&gt;"",EOMONTH(LoanStartDate,ROW(PaymentSchedule[[#This Row],[PMT NO]])-ROW(PaymentSchedule[[#Headers],[PMT NO]])-2)+DAY(LoanStartDate),"")</f>
        <v>46997</v>
      </c>
      <c r="D122" s="19">
        <f>IF(PaymentSchedule[[#This Row],[PMT NO]]&lt;&gt;"",IF(ROW()-ROW(PaymentSchedule[[#Headers],[BEGINNING BALANCE]])=1,LoanAmount,INDEX(PaymentSchedule[ENDING BALANCE],ROW()-ROW(PaymentSchedule[[#Headers],[BEGINNING BALANCE]])-1)),"")</f>
        <v>1764076.9173759322</v>
      </c>
      <c r="E122" s="19">
        <f>IF(PaymentSchedule[[#This Row],[PMT NO]]&lt;&gt;"",ScheduledPayment,"")</f>
        <v>8050.5201209471252</v>
      </c>
      <c r="F12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22" s="19">
        <f>IF(PaymentSchedule[[#This Row],[PMT NO]]&lt;&gt;"",PaymentSchedule[[#This Row],[TOTAL PAYMENT]]-PaymentSchedule[[#This Row],[INTEREST]],"")</f>
        <v>2537.7797541473374</v>
      </c>
      <c r="I122" s="19">
        <f>IF(PaymentSchedule[[#This Row],[PMT NO]]&lt;&gt;"",PaymentSchedule[[#This Row],[BEGINNING BALANCE]]*(InterestRate/PaymentsPerYear),"")</f>
        <v>5512.7403667997878</v>
      </c>
      <c r="J12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1761539.1376217848</v>
      </c>
      <c r="K122" s="19">
        <f>IF(PaymentSchedule[[#This Row],[PMT NO]]&lt;&gt;"",SUM(INDEX(PaymentSchedule[INTEREST],1,1):PaymentSchedule[[#This Row],[INTEREST]]),"")</f>
        <v>655146.87104691495</v>
      </c>
    </row>
    <row r="123" spans="2:11" x14ac:dyDescent="0.3">
      <c r="B123" s="21">
        <f>IF(LoanIsGood,IF(ROW()-ROW(PaymentSchedule[[#Headers],[PMT NO]])&gt;ScheduledNumberOfPayments,"",ROW()-ROW(PaymentSchedule[[#Headers],[PMT NO]])),"")</f>
        <v>112</v>
      </c>
      <c r="C123" s="20">
        <f>IF(PaymentSchedule[[#This Row],[PMT NO]]&lt;&gt;"",EOMONTH(LoanStartDate,ROW(PaymentSchedule[[#This Row],[PMT NO]])-ROW(PaymentSchedule[[#Headers],[PMT NO]])-2)+DAY(LoanStartDate),"")</f>
        <v>47027</v>
      </c>
      <c r="D123" s="19">
        <f>IF(PaymentSchedule[[#This Row],[PMT NO]]&lt;&gt;"",IF(ROW()-ROW(PaymentSchedule[[#Headers],[BEGINNING BALANCE]])=1,LoanAmount,INDEX(PaymentSchedule[ENDING BALANCE],ROW()-ROW(PaymentSchedule[[#Headers],[BEGINNING BALANCE]])-1)),"")</f>
        <v>1761539.1376217848</v>
      </c>
      <c r="E123" s="19">
        <f>IF(PaymentSchedule[[#This Row],[PMT NO]]&lt;&gt;"",ScheduledPayment,"")</f>
        <v>8050.5201209471252</v>
      </c>
      <c r="F12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23" s="19">
        <f>IF(PaymentSchedule[[#This Row],[PMT NO]]&lt;&gt;"",PaymentSchedule[[#This Row],[TOTAL PAYMENT]]-PaymentSchedule[[#This Row],[INTEREST]],"")</f>
        <v>2545.7103158790478</v>
      </c>
      <c r="I123" s="19">
        <f>IF(PaymentSchedule[[#This Row],[PMT NO]]&lt;&gt;"",PaymentSchedule[[#This Row],[BEGINNING BALANCE]]*(InterestRate/PaymentsPerYear),"")</f>
        <v>5504.8098050680774</v>
      </c>
      <c r="J12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1758993.4273059058</v>
      </c>
      <c r="K123" s="19">
        <f>IF(PaymentSchedule[[#This Row],[PMT NO]]&lt;&gt;"",SUM(INDEX(PaymentSchedule[INTEREST],1,1):PaymentSchedule[[#This Row],[INTEREST]]),"")</f>
        <v>660651.68085198302</v>
      </c>
    </row>
    <row r="124" spans="2:11" x14ac:dyDescent="0.3">
      <c r="B124" s="21">
        <f>IF(LoanIsGood,IF(ROW()-ROW(PaymentSchedule[[#Headers],[PMT NO]])&gt;ScheduledNumberOfPayments,"",ROW()-ROW(PaymentSchedule[[#Headers],[PMT NO]])),"")</f>
        <v>113</v>
      </c>
      <c r="C124" s="20">
        <f>IF(PaymentSchedule[[#This Row],[PMT NO]]&lt;&gt;"",EOMONTH(LoanStartDate,ROW(PaymentSchedule[[#This Row],[PMT NO]])-ROW(PaymentSchedule[[#Headers],[PMT NO]])-2)+DAY(LoanStartDate),"")</f>
        <v>47058</v>
      </c>
      <c r="D124" s="19">
        <f>IF(PaymentSchedule[[#This Row],[PMT NO]]&lt;&gt;"",IF(ROW()-ROW(PaymentSchedule[[#Headers],[BEGINNING BALANCE]])=1,LoanAmount,INDEX(PaymentSchedule[ENDING BALANCE],ROW()-ROW(PaymentSchedule[[#Headers],[BEGINNING BALANCE]])-1)),"")</f>
        <v>1758993.4273059058</v>
      </c>
      <c r="E124" s="19">
        <f>IF(PaymentSchedule[[#This Row],[PMT NO]]&lt;&gt;"",ScheduledPayment,"")</f>
        <v>8050.5201209471252</v>
      </c>
      <c r="F12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24" s="19">
        <f>IF(PaymentSchedule[[#This Row],[PMT NO]]&lt;&gt;"",PaymentSchedule[[#This Row],[TOTAL PAYMENT]]-PaymentSchedule[[#This Row],[INTEREST]],"")</f>
        <v>2553.6656606161696</v>
      </c>
      <c r="I124" s="19">
        <f>IF(PaymentSchedule[[#This Row],[PMT NO]]&lt;&gt;"",PaymentSchedule[[#This Row],[BEGINNING BALANCE]]*(InterestRate/PaymentsPerYear),"")</f>
        <v>5496.8544603309556</v>
      </c>
      <c r="J12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1756439.7616452896</v>
      </c>
      <c r="K124" s="19">
        <f>IF(PaymentSchedule[[#This Row],[PMT NO]]&lt;&gt;"",SUM(INDEX(PaymentSchedule[INTEREST],1,1):PaymentSchedule[[#This Row],[INTEREST]]),"")</f>
        <v>666148.53531231394</v>
      </c>
    </row>
    <row r="125" spans="2:11" x14ac:dyDescent="0.3">
      <c r="B125" s="21">
        <f>IF(LoanIsGood,IF(ROW()-ROW(PaymentSchedule[[#Headers],[PMT NO]])&gt;ScheduledNumberOfPayments,"",ROW()-ROW(PaymentSchedule[[#Headers],[PMT NO]])),"")</f>
        <v>114</v>
      </c>
      <c r="C125" s="20">
        <f>IF(PaymentSchedule[[#This Row],[PMT NO]]&lt;&gt;"",EOMONTH(LoanStartDate,ROW(PaymentSchedule[[#This Row],[PMT NO]])-ROW(PaymentSchedule[[#Headers],[PMT NO]])-2)+DAY(LoanStartDate),"")</f>
        <v>47088</v>
      </c>
      <c r="D125" s="19">
        <f>IF(PaymentSchedule[[#This Row],[PMT NO]]&lt;&gt;"",IF(ROW()-ROW(PaymentSchedule[[#Headers],[BEGINNING BALANCE]])=1,LoanAmount,INDEX(PaymentSchedule[ENDING BALANCE],ROW()-ROW(PaymentSchedule[[#Headers],[BEGINNING BALANCE]])-1)),"")</f>
        <v>1756439.7616452896</v>
      </c>
      <c r="E125" s="19">
        <f>IF(PaymentSchedule[[#This Row],[PMT NO]]&lt;&gt;"",ScheduledPayment,"")</f>
        <v>8050.5201209471252</v>
      </c>
      <c r="F12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25" s="19">
        <f>IF(PaymentSchedule[[#This Row],[PMT NO]]&lt;&gt;"",PaymentSchedule[[#This Row],[TOTAL PAYMENT]]-PaymentSchedule[[#This Row],[INTEREST]],"")</f>
        <v>2561.6458658055953</v>
      </c>
      <c r="I125" s="19">
        <f>IF(PaymentSchedule[[#This Row],[PMT NO]]&lt;&gt;"",PaymentSchedule[[#This Row],[BEGINNING BALANCE]]*(InterestRate/PaymentsPerYear),"")</f>
        <v>5488.8742551415298</v>
      </c>
      <c r="J12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1753878.1157794839</v>
      </c>
      <c r="K125" s="19">
        <f>IF(PaymentSchedule[[#This Row],[PMT NO]]&lt;&gt;"",SUM(INDEX(PaymentSchedule[INTEREST],1,1):PaymentSchedule[[#This Row],[INTEREST]]),"")</f>
        <v>671637.40956745541</v>
      </c>
    </row>
    <row r="126" spans="2:11" x14ac:dyDescent="0.3">
      <c r="B126" s="21">
        <f>IF(LoanIsGood,IF(ROW()-ROW(PaymentSchedule[[#Headers],[PMT NO]])&gt;ScheduledNumberOfPayments,"",ROW()-ROW(PaymentSchedule[[#Headers],[PMT NO]])),"")</f>
        <v>115</v>
      </c>
      <c r="C126" s="20">
        <f>IF(PaymentSchedule[[#This Row],[PMT NO]]&lt;&gt;"",EOMONTH(LoanStartDate,ROW(PaymentSchedule[[#This Row],[PMT NO]])-ROW(PaymentSchedule[[#Headers],[PMT NO]])-2)+DAY(LoanStartDate),"")</f>
        <v>47119</v>
      </c>
      <c r="D126" s="19">
        <f>IF(PaymentSchedule[[#This Row],[PMT NO]]&lt;&gt;"",IF(ROW()-ROW(PaymentSchedule[[#Headers],[BEGINNING BALANCE]])=1,LoanAmount,INDEX(PaymentSchedule[ENDING BALANCE],ROW()-ROW(PaymentSchedule[[#Headers],[BEGINNING BALANCE]])-1)),"")</f>
        <v>1753878.1157794839</v>
      </c>
      <c r="E126" s="19">
        <f>IF(PaymentSchedule[[#This Row],[PMT NO]]&lt;&gt;"",ScheduledPayment,"")</f>
        <v>8050.5201209471252</v>
      </c>
      <c r="F12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26" s="19">
        <f>IF(PaymentSchedule[[#This Row],[PMT NO]]&lt;&gt;"",PaymentSchedule[[#This Row],[TOTAL PAYMENT]]-PaymentSchedule[[#This Row],[INTEREST]],"")</f>
        <v>2569.6510091362388</v>
      </c>
      <c r="I126" s="19">
        <f>IF(PaymentSchedule[[#This Row],[PMT NO]]&lt;&gt;"",PaymentSchedule[[#This Row],[BEGINNING BALANCE]]*(InterestRate/PaymentsPerYear),"")</f>
        <v>5480.8691118108864</v>
      </c>
      <c r="J12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1751308.4647703476</v>
      </c>
      <c r="K126" s="19">
        <f>IF(PaymentSchedule[[#This Row],[PMT NO]]&lt;&gt;"",SUM(INDEX(PaymentSchedule[INTEREST],1,1):PaymentSchedule[[#This Row],[INTEREST]]),"")</f>
        <v>677118.27867926634</v>
      </c>
    </row>
    <row r="127" spans="2:11" x14ac:dyDescent="0.3">
      <c r="B127" s="21">
        <f>IF(LoanIsGood,IF(ROW()-ROW(PaymentSchedule[[#Headers],[PMT NO]])&gt;ScheduledNumberOfPayments,"",ROW()-ROW(PaymentSchedule[[#Headers],[PMT NO]])),"")</f>
        <v>116</v>
      </c>
      <c r="C127" s="20">
        <f>IF(PaymentSchedule[[#This Row],[PMT NO]]&lt;&gt;"",EOMONTH(LoanStartDate,ROW(PaymentSchedule[[#This Row],[PMT NO]])-ROW(PaymentSchedule[[#Headers],[PMT NO]])-2)+DAY(LoanStartDate),"")</f>
        <v>47150</v>
      </c>
      <c r="D127" s="19">
        <f>IF(PaymentSchedule[[#This Row],[PMT NO]]&lt;&gt;"",IF(ROW()-ROW(PaymentSchedule[[#Headers],[BEGINNING BALANCE]])=1,LoanAmount,INDEX(PaymentSchedule[ENDING BALANCE],ROW()-ROW(PaymentSchedule[[#Headers],[BEGINNING BALANCE]])-1)),"")</f>
        <v>1751308.4647703476</v>
      </c>
      <c r="E127" s="19">
        <f>IF(PaymentSchedule[[#This Row],[PMT NO]]&lt;&gt;"",ScheduledPayment,"")</f>
        <v>8050.5201209471252</v>
      </c>
      <c r="F12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27" s="19">
        <f>IF(PaymentSchedule[[#This Row],[PMT NO]]&lt;&gt;"",PaymentSchedule[[#This Row],[TOTAL PAYMENT]]-PaymentSchedule[[#This Row],[INTEREST]],"")</f>
        <v>2577.6811685397897</v>
      </c>
      <c r="I127" s="19">
        <f>IF(PaymentSchedule[[#This Row],[PMT NO]]&lt;&gt;"",PaymentSchedule[[#This Row],[BEGINNING BALANCE]]*(InterestRate/PaymentsPerYear),"")</f>
        <v>5472.8389524073355</v>
      </c>
      <c r="J12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1748730.7836018079</v>
      </c>
      <c r="K127" s="19">
        <f>IF(PaymentSchedule[[#This Row],[PMT NO]]&lt;&gt;"",SUM(INDEX(PaymentSchedule[INTEREST],1,1):PaymentSchedule[[#This Row],[INTEREST]]),"")</f>
        <v>682591.1176316737</v>
      </c>
    </row>
    <row r="128" spans="2:11" x14ac:dyDescent="0.3">
      <c r="B128" s="21">
        <f>IF(LoanIsGood,IF(ROW()-ROW(PaymentSchedule[[#Headers],[PMT NO]])&gt;ScheduledNumberOfPayments,"",ROW()-ROW(PaymentSchedule[[#Headers],[PMT NO]])),"")</f>
        <v>117</v>
      </c>
      <c r="C128" s="20">
        <f>IF(PaymentSchedule[[#This Row],[PMT NO]]&lt;&gt;"",EOMONTH(LoanStartDate,ROW(PaymentSchedule[[#This Row],[PMT NO]])-ROW(PaymentSchedule[[#Headers],[PMT NO]])-2)+DAY(LoanStartDate),"")</f>
        <v>47178</v>
      </c>
      <c r="D128" s="19">
        <f>IF(PaymentSchedule[[#This Row],[PMT NO]]&lt;&gt;"",IF(ROW()-ROW(PaymentSchedule[[#Headers],[BEGINNING BALANCE]])=1,LoanAmount,INDEX(PaymentSchedule[ENDING BALANCE],ROW()-ROW(PaymentSchedule[[#Headers],[BEGINNING BALANCE]])-1)),"")</f>
        <v>1748730.7836018079</v>
      </c>
      <c r="E128" s="19">
        <f>IF(PaymentSchedule[[#This Row],[PMT NO]]&lt;&gt;"",ScheduledPayment,"")</f>
        <v>8050.5201209471252</v>
      </c>
      <c r="F12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28" s="19">
        <f>IF(PaymentSchedule[[#This Row],[PMT NO]]&lt;&gt;"",PaymentSchedule[[#This Row],[TOTAL PAYMENT]]-PaymentSchedule[[#This Row],[INTEREST]],"")</f>
        <v>2585.7364221914759</v>
      </c>
      <c r="I128" s="19">
        <f>IF(PaymentSchedule[[#This Row],[PMT NO]]&lt;&gt;"",PaymentSchedule[[#This Row],[BEGINNING BALANCE]]*(InterestRate/PaymentsPerYear),"")</f>
        <v>5464.7836987556493</v>
      </c>
      <c r="J12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1746145.0471796165</v>
      </c>
      <c r="K128" s="19">
        <f>IF(PaymentSchedule[[#This Row],[PMT NO]]&lt;&gt;"",SUM(INDEX(PaymentSchedule[INTEREST],1,1):PaymentSchedule[[#This Row],[INTEREST]]),"")</f>
        <v>688055.90133042936</v>
      </c>
    </row>
    <row r="129" spans="2:11" x14ac:dyDescent="0.3">
      <c r="B129" s="21">
        <f>IF(LoanIsGood,IF(ROW()-ROW(PaymentSchedule[[#Headers],[PMT NO]])&gt;ScheduledNumberOfPayments,"",ROW()-ROW(PaymentSchedule[[#Headers],[PMT NO]])),"")</f>
        <v>118</v>
      </c>
      <c r="C129" s="20">
        <f>IF(PaymentSchedule[[#This Row],[PMT NO]]&lt;&gt;"",EOMONTH(LoanStartDate,ROW(PaymentSchedule[[#This Row],[PMT NO]])-ROW(PaymentSchedule[[#Headers],[PMT NO]])-2)+DAY(LoanStartDate),"")</f>
        <v>47209</v>
      </c>
      <c r="D129" s="19">
        <f>IF(PaymentSchedule[[#This Row],[PMT NO]]&lt;&gt;"",IF(ROW()-ROW(PaymentSchedule[[#Headers],[BEGINNING BALANCE]])=1,LoanAmount,INDEX(PaymentSchedule[ENDING BALANCE],ROW()-ROW(PaymentSchedule[[#Headers],[BEGINNING BALANCE]])-1)),"")</f>
        <v>1746145.0471796165</v>
      </c>
      <c r="E129" s="19">
        <f>IF(PaymentSchedule[[#This Row],[PMT NO]]&lt;&gt;"",ScheduledPayment,"")</f>
        <v>8050.5201209471252</v>
      </c>
      <c r="F12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29" s="19">
        <f>IF(PaymentSchedule[[#This Row],[PMT NO]]&lt;&gt;"",PaymentSchedule[[#This Row],[TOTAL PAYMENT]]-PaymentSchedule[[#This Row],[INTEREST]],"")</f>
        <v>2593.8168485108235</v>
      </c>
      <c r="I129" s="19">
        <f>IF(PaymentSchedule[[#This Row],[PMT NO]]&lt;&gt;"",PaymentSchedule[[#This Row],[BEGINNING BALANCE]]*(InterestRate/PaymentsPerYear),"")</f>
        <v>5456.7032724363016</v>
      </c>
      <c r="J12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1743551.2303311056</v>
      </c>
      <c r="K129" s="19">
        <f>IF(PaymentSchedule[[#This Row],[PMT NO]]&lt;&gt;"",SUM(INDEX(PaymentSchedule[INTEREST],1,1):PaymentSchedule[[#This Row],[INTEREST]]),"")</f>
        <v>693512.60460286564</v>
      </c>
    </row>
    <row r="130" spans="2:11" x14ac:dyDescent="0.3">
      <c r="B130" s="21">
        <f>IF(LoanIsGood,IF(ROW()-ROW(PaymentSchedule[[#Headers],[PMT NO]])&gt;ScheduledNumberOfPayments,"",ROW()-ROW(PaymentSchedule[[#Headers],[PMT NO]])),"")</f>
        <v>119</v>
      </c>
      <c r="C130" s="20">
        <f>IF(PaymentSchedule[[#This Row],[PMT NO]]&lt;&gt;"",EOMONTH(LoanStartDate,ROW(PaymentSchedule[[#This Row],[PMT NO]])-ROW(PaymentSchedule[[#Headers],[PMT NO]])-2)+DAY(LoanStartDate),"")</f>
        <v>47239</v>
      </c>
      <c r="D130" s="19">
        <f>IF(PaymentSchedule[[#This Row],[PMT NO]]&lt;&gt;"",IF(ROW()-ROW(PaymentSchedule[[#Headers],[BEGINNING BALANCE]])=1,LoanAmount,INDEX(PaymentSchedule[ENDING BALANCE],ROW()-ROW(PaymentSchedule[[#Headers],[BEGINNING BALANCE]])-1)),"")</f>
        <v>1743551.2303311056</v>
      </c>
      <c r="E130" s="19">
        <f>IF(PaymentSchedule[[#This Row],[PMT NO]]&lt;&gt;"",ScheduledPayment,"")</f>
        <v>8050.5201209471252</v>
      </c>
      <c r="F13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30" s="19">
        <f>IF(PaymentSchedule[[#This Row],[PMT NO]]&lt;&gt;"",PaymentSchedule[[#This Row],[TOTAL PAYMENT]]-PaymentSchedule[[#This Row],[INTEREST]],"")</f>
        <v>2601.9225261624206</v>
      </c>
      <c r="I130" s="19">
        <f>IF(PaymentSchedule[[#This Row],[PMT NO]]&lt;&gt;"",PaymentSchedule[[#This Row],[BEGINNING BALANCE]]*(InterestRate/PaymentsPerYear),"")</f>
        <v>5448.5975947847046</v>
      </c>
      <c r="J13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1740949.3078049433</v>
      </c>
      <c r="K130" s="19">
        <f>IF(PaymentSchedule[[#This Row],[PMT NO]]&lt;&gt;"",SUM(INDEX(PaymentSchedule[INTEREST],1,1):PaymentSchedule[[#This Row],[INTEREST]]),"")</f>
        <v>698961.20219765033</v>
      </c>
    </row>
    <row r="131" spans="2:11" x14ac:dyDescent="0.3">
      <c r="B131" s="21">
        <f>IF(LoanIsGood,IF(ROW()-ROW(PaymentSchedule[[#Headers],[PMT NO]])&gt;ScheduledNumberOfPayments,"",ROW()-ROW(PaymentSchedule[[#Headers],[PMT NO]])),"")</f>
        <v>120</v>
      </c>
      <c r="C131" s="20">
        <f>IF(PaymentSchedule[[#This Row],[PMT NO]]&lt;&gt;"",EOMONTH(LoanStartDate,ROW(PaymentSchedule[[#This Row],[PMT NO]])-ROW(PaymentSchedule[[#Headers],[PMT NO]])-2)+DAY(LoanStartDate),"")</f>
        <v>47270</v>
      </c>
      <c r="D131" s="19">
        <f>IF(PaymentSchedule[[#This Row],[PMT NO]]&lt;&gt;"",IF(ROW()-ROW(PaymentSchedule[[#Headers],[BEGINNING BALANCE]])=1,LoanAmount,INDEX(PaymentSchedule[ENDING BALANCE],ROW()-ROW(PaymentSchedule[[#Headers],[BEGINNING BALANCE]])-1)),"")</f>
        <v>1740949.3078049433</v>
      </c>
      <c r="E131" s="19">
        <f>IF(PaymentSchedule[[#This Row],[PMT NO]]&lt;&gt;"",ScheduledPayment,"")</f>
        <v>8050.5201209471252</v>
      </c>
      <c r="F13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31" s="19">
        <f>IF(PaymentSchedule[[#This Row],[PMT NO]]&lt;&gt;"",PaymentSchedule[[#This Row],[TOTAL PAYMENT]]-PaymentSchedule[[#This Row],[INTEREST]],"")</f>
        <v>2610.0535340566776</v>
      </c>
      <c r="I131" s="19">
        <f>IF(PaymentSchedule[[#This Row],[PMT NO]]&lt;&gt;"",PaymentSchedule[[#This Row],[BEGINNING BALANCE]]*(InterestRate/PaymentsPerYear),"")</f>
        <v>5440.4665868904476</v>
      </c>
      <c r="J13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1738339.2542708865</v>
      </c>
      <c r="K131" s="19">
        <f>IF(PaymentSchedule[[#This Row],[PMT NO]]&lt;&gt;"",SUM(INDEX(PaymentSchedule[INTEREST],1,1):PaymentSchedule[[#This Row],[INTEREST]]),"")</f>
        <v>704401.66878454073</v>
      </c>
    </row>
    <row r="132" spans="2:11" x14ac:dyDescent="0.3">
      <c r="B132" s="21">
        <f>IF(LoanIsGood,IF(ROW()-ROW(PaymentSchedule[[#Headers],[PMT NO]])&gt;ScheduledNumberOfPayments,"",ROW()-ROW(PaymentSchedule[[#Headers],[PMT NO]])),"")</f>
        <v>121</v>
      </c>
      <c r="C132" s="20">
        <f>IF(PaymentSchedule[[#This Row],[PMT NO]]&lt;&gt;"",EOMONTH(LoanStartDate,ROW(PaymentSchedule[[#This Row],[PMT NO]])-ROW(PaymentSchedule[[#Headers],[PMT NO]])-2)+DAY(LoanStartDate),"")</f>
        <v>47300</v>
      </c>
      <c r="D132" s="19">
        <f>IF(PaymentSchedule[[#This Row],[PMT NO]]&lt;&gt;"",IF(ROW()-ROW(PaymentSchedule[[#Headers],[BEGINNING BALANCE]])=1,LoanAmount,INDEX(PaymentSchedule[ENDING BALANCE],ROW()-ROW(PaymentSchedule[[#Headers],[BEGINNING BALANCE]])-1)),"")</f>
        <v>1738339.2542708865</v>
      </c>
      <c r="E132" s="19">
        <f>IF(PaymentSchedule[[#This Row],[PMT NO]]&lt;&gt;"",ScheduledPayment,"")</f>
        <v>8050.5201209471252</v>
      </c>
      <c r="F13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32" s="19">
        <f>IF(PaymentSchedule[[#This Row],[PMT NO]]&lt;&gt;"",PaymentSchedule[[#This Row],[TOTAL PAYMENT]]-PaymentSchedule[[#This Row],[INTEREST]],"")</f>
        <v>2618.2099513506055</v>
      </c>
      <c r="I132" s="19">
        <f>IF(PaymentSchedule[[#This Row],[PMT NO]]&lt;&gt;"",PaymentSchedule[[#This Row],[BEGINNING BALANCE]]*(InterestRate/PaymentsPerYear),"")</f>
        <v>5432.3101695965197</v>
      </c>
      <c r="J13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1735721.0443195358</v>
      </c>
      <c r="K132" s="19">
        <f>IF(PaymentSchedule[[#This Row],[PMT NO]]&lt;&gt;"",SUM(INDEX(PaymentSchedule[INTEREST],1,1):PaymentSchedule[[#This Row],[INTEREST]]),"")</f>
        <v>709833.9789541373</v>
      </c>
    </row>
    <row r="133" spans="2:11" x14ac:dyDescent="0.3">
      <c r="B133" s="21">
        <f>IF(LoanIsGood,IF(ROW()-ROW(PaymentSchedule[[#Headers],[PMT NO]])&gt;ScheduledNumberOfPayments,"",ROW()-ROW(PaymentSchedule[[#Headers],[PMT NO]])),"")</f>
        <v>122</v>
      </c>
      <c r="C133" s="20">
        <f>IF(PaymentSchedule[[#This Row],[PMT NO]]&lt;&gt;"",EOMONTH(LoanStartDate,ROW(PaymentSchedule[[#This Row],[PMT NO]])-ROW(PaymentSchedule[[#Headers],[PMT NO]])-2)+DAY(LoanStartDate),"")</f>
        <v>47331</v>
      </c>
      <c r="D133" s="19">
        <f>IF(PaymentSchedule[[#This Row],[PMT NO]]&lt;&gt;"",IF(ROW()-ROW(PaymentSchedule[[#Headers],[BEGINNING BALANCE]])=1,LoanAmount,INDEX(PaymentSchedule[ENDING BALANCE],ROW()-ROW(PaymentSchedule[[#Headers],[BEGINNING BALANCE]])-1)),"")</f>
        <v>1735721.0443195358</v>
      </c>
      <c r="E133" s="19">
        <f>IF(PaymentSchedule[[#This Row],[PMT NO]]&lt;&gt;"",ScheduledPayment,"")</f>
        <v>8050.5201209471252</v>
      </c>
      <c r="F13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33" s="19">
        <f>IF(PaymentSchedule[[#This Row],[PMT NO]]&lt;&gt;"",PaymentSchedule[[#This Row],[TOTAL PAYMENT]]-PaymentSchedule[[#This Row],[INTEREST]],"")</f>
        <v>2626.391857448576</v>
      </c>
      <c r="I133" s="19">
        <f>IF(PaymentSchedule[[#This Row],[PMT NO]]&lt;&gt;"",PaymentSchedule[[#This Row],[BEGINNING BALANCE]]*(InterestRate/PaymentsPerYear),"")</f>
        <v>5424.1282634985491</v>
      </c>
      <c r="J13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1733094.6524620873</v>
      </c>
      <c r="K133" s="19">
        <f>IF(PaymentSchedule[[#This Row],[PMT NO]]&lt;&gt;"",SUM(INDEX(PaymentSchedule[INTEREST],1,1):PaymentSchedule[[#This Row],[INTEREST]]),"")</f>
        <v>715258.10721763584</v>
      </c>
    </row>
    <row r="134" spans="2:11" x14ac:dyDescent="0.3">
      <c r="B134" s="21">
        <f>IF(LoanIsGood,IF(ROW()-ROW(PaymentSchedule[[#Headers],[PMT NO]])&gt;ScheduledNumberOfPayments,"",ROW()-ROW(PaymentSchedule[[#Headers],[PMT NO]])),"")</f>
        <v>123</v>
      </c>
      <c r="C134" s="20">
        <f>IF(PaymentSchedule[[#This Row],[PMT NO]]&lt;&gt;"",EOMONTH(LoanStartDate,ROW(PaymentSchedule[[#This Row],[PMT NO]])-ROW(PaymentSchedule[[#Headers],[PMT NO]])-2)+DAY(LoanStartDate),"")</f>
        <v>47362</v>
      </c>
      <c r="D134" s="19">
        <f>IF(PaymentSchedule[[#This Row],[PMT NO]]&lt;&gt;"",IF(ROW()-ROW(PaymentSchedule[[#Headers],[BEGINNING BALANCE]])=1,LoanAmount,INDEX(PaymentSchedule[ENDING BALANCE],ROW()-ROW(PaymentSchedule[[#Headers],[BEGINNING BALANCE]])-1)),"")</f>
        <v>1733094.6524620873</v>
      </c>
      <c r="E134" s="19">
        <f>IF(PaymentSchedule[[#This Row],[PMT NO]]&lt;&gt;"",ScheduledPayment,"")</f>
        <v>8050.5201209471252</v>
      </c>
      <c r="F13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34" s="19">
        <f>IF(PaymentSchedule[[#This Row],[PMT NO]]&lt;&gt;"",PaymentSchedule[[#This Row],[TOTAL PAYMENT]]-PaymentSchedule[[#This Row],[INTEREST]],"")</f>
        <v>2634.599332003103</v>
      </c>
      <c r="I134" s="19">
        <f>IF(PaymentSchedule[[#This Row],[PMT NO]]&lt;&gt;"",PaymentSchedule[[#This Row],[BEGINNING BALANCE]]*(InterestRate/PaymentsPerYear),"")</f>
        <v>5415.9207889440222</v>
      </c>
      <c r="J13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1730460.0531300842</v>
      </c>
      <c r="K134" s="19">
        <f>IF(PaymentSchedule[[#This Row],[PMT NO]]&lt;&gt;"",SUM(INDEX(PaymentSchedule[INTEREST],1,1):PaymentSchedule[[#This Row],[INTEREST]]),"")</f>
        <v>720674.02800657984</v>
      </c>
    </row>
    <row r="135" spans="2:11" x14ac:dyDescent="0.3">
      <c r="B135" s="21">
        <f>IF(LoanIsGood,IF(ROW()-ROW(PaymentSchedule[[#Headers],[PMT NO]])&gt;ScheduledNumberOfPayments,"",ROW()-ROW(PaymentSchedule[[#Headers],[PMT NO]])),"")</f>
        <v>124</v>
      </c>
      <c r="C135" s="20">
        <f>IF(PaymentSchedule[[#This Row],[PMT NO]]&lt;&gt;"",EOMONTH(LoanStartDate,ROW(PaymentSchedule[[#This Row],[PMT NO]])-ROW(PaymentSchedule[[#Headers],[PMT NO]])-2)+DAY(LoanStartDate),"")</f>
        <v>47392</v>
      </c>
      <c r="D135" s="19">
        <f>IF(PaymentSchedule[[#This Row],[PMT NO]]&lt;&gt;"",IF(ROW()-ROW(PaymentSchedule[[#Headers],[BEGINNING BALANCE]])=1,LoanAmount,INDEX(PaymentSchedule[ENDING BALANCE],ROW()-ROW(PaymentSchedule[[#Headers],[BEGINNING BALANCE]])-1)),"")</f>
        <v>1730460.0531300842</v>
      </c>
      <c r="E135" s="19">
        <f>IF(PaymentSchedule[[#This Row],[PMT NO]]&lt;&gt;"",ScheduledPayment,"")</f>
        <v>8050.5201209471252</v>
      </c>
      <c r="F13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35" s="19">
        <f>IF(PaymentSchedule[[#This Row],[PMT NO]]&lt;&gt;"",PaymentSchedule[[#This Row],[TOTAL PAYMENT]]-PaymentSchedule[[#This Row],[INTEREST]],"")</f>
        <v>2642.8324549156123</v>
      </c>
      <c r="I135" s="19">
        <f>IF(PaymentSchedule[[#This Row],[PMT NO]]&lt;&gt;"",PaymentSchedule[[#This Row],[BEGINNING BALANCE]]*(InterestRate/PaymentsPerYear),"")</f>
        <v>5407.6876660315129</v>
      </c>
      <c r="J13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1727817.2206751686</v>
      </c>
      <c r="K135" s="19">
        <f>IF(PaymentSchedule[[#This Row],[PMT NO]]&lt;&gt;"",SUM(INDEX(PaymentSchedule[INTEREST],1,1):PaymentSchedule[[#This Row],[INTEREST]]),"")</f>
        <v>726081.71567261138</v>
      </c>
    </row>
    <row r="136" spans="2:11" x14ac:dyDescent="0.3">
      <c r="B136" s="21">
        <f>IF(LoanIsGood,IF(ROW()-ROW(PaymentSchedule[[#Headers],[PMT NO]])&gt;ScheduledNumberOfPayments,"",ROW()-ROW(PaymentSchedule[[#Headers],[PMT NO]])),"")</f>
        <v>125</v>
      </c>
      <c r="C136" s="20">
        <f>IF(PaymentSchedule[[#This Row],[PMT NO]]&lt;&gt;"",EOMONTH(LoanStartDate,ROW(PaymentSchedule[[#This Row],[PMT NO]])-ROW(PaymentSchedule[[#Headers],[PMT NO]])-2)+DAY(LoanStartDate),"")</f>
        <v>47423</v>
      </c>
      <c r="D136" s="19">
        <f>IF(PaymentSchedule[[#This Row],[PMT NO]]&lt;&gt;"",IF(ROW()-ROW(PaymentSchedule[[#Headers],[BEGINNING BALANCE]])=1,LoanAmount,INDEX(PaymentSchedule[ENDING BALANCE],ROW()-ROW(PaymentSchedule[[#Headers],[BEGINNING BALANCE]])-1)),"")</f>
        <v>1727817.2206751686</v>
      </c>
      <c r="E136" s="19">
        <f>IF(PaymentSchedule[[#This Row],[PMT NO]]&lt;&gt;"",ScheduledPayment,"")</f>
        <v>8050.5201209471252</v>
      </c>
      <c r="F13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36" s="19">
        <f>IF(PaymentSchedule[[#This Row],[PMT NO]]&lt;&gt;"",PaymentSchedule[[#This Row],[TOTAL PAYMENT]]-PaymentSchedule[[#This Row],[INTEREST]],"")</f>
        <v>2651.0913063372236</v>
      </c>
      <c r="I136" s="19">
        <f>IF(PaymentSchedule[[#This Row],[PMT NO]]&lt;&gt;"",PaymentSchedule[[#This Row],[BEGINNING BALANCE]]*(InterestRate/PaymentsPerYear),"")</f>
        <v>5399.4288146099016</v>
      </c>
      <c r="J13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1725166.1293688314</v>
      </c>
      <c r="K136" s="19">
        <f>IF(PaymentSchedule[[#This Row],[PMT NO]]&lt;&gt;"",SUM(INDEX(PaymentSchedule[INTEREST],1,1):PaymentSchedule[[#This Row],[INTEREST]]),"")</f>
        <v>731481.14448722126</v>
      </c>
    </row>
    <row r="137" spans="2:11" x14ac:dyDescent="0.3">
      <c r="B137" s="21">
        <f>IF(LoanIsGood,IF(ROW()-ROW(PaymentSchedule[[#Headers],[PMT NO]])&gt;ScheduledNumberOfPayments,"",ROW()-ROW(PaymentSchedule[[#Headers],[PMT NO]])),"")</f>
        <v>126</v>
      </c>
      <c r="C137" s="20">
        <f>IF(PaymentSchedule[[#This Row],[PMT NO]]&lt;&gt;"",EOMONTH(LoanStartDate,ROW(PaymentSchedule[[#This Row],[PMT NO]])-ROW(PaymentSchedule[[#Headers],[PMT NO]])-2)+DAY(LoanStartDate),"")</f>
        <v>47453</v>
      </c>
      <c r="D137" s="19">
        <f>IF(PaymentSchedule[[#This Row],[PMT NO]]&lt;&gt;"",IF(ROW()-ROW(PaymentSchedule[[#Headers],[BEGINNING BALANCE]])=1,LoanAmount,INDEX(PaymentSchedule[ENDING BALANCE],ROW()-ROW(PaymentSchedule[[#Headers],[BEGINNING BALANCE]])-1)),"")</f>
        <v>1725166.1293688314</v>
      </c>
      <c r="E137" s="19">
        <f>IF(PaymentSchedule[[#This Row],[PMT NO]]&lt;&gt;"",ScheduledPayment,"")</f>
        <v>8050.5201209471252</v>
      </c>
      <c r="F13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37" s="19">
        <f>IF(PaymentSchedule[[#This Row],[PMT NO]]&lt;&gt;"",PaymentSchedule[[#This Row],[TOTAL PAYMENT]]-PaymentSchedule[[#This Row],[INTEREST]],"")</f>
        <v>2659.3759666695278</v>
      </c>
      <c r="I137" s="19">
        <f>IF(PaymentSchedule[[#This Row],[PMT NO]]&lt;&gt;"",PaymentSchedule[[#This Row],[BEGINNING BALANCE]]*(InterestRate/PaymentsPerYear),"")</f>
        <v>5391.1441542775974</v>
      </c>
      <c r="J13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1722506.7534021619</v>
      </c>
      <c r="K137" s="19">
        <f>IF(PaymentSchedule[[#This Row],[PMT NO]]&lt;&gt;"",SUM(INDEX(PaymentSchedule[INTEREST],1,1):PaymentSchedule[[#This Row],[INTEREST]]),"")</f>
        <v>736872.28864149889</v>
      </c>
    </row>
    <row r="138" spans="2:11" x14ac:dyDescent="0.3">
      <c r="B138" s="21">
        <f>IF(LoanIsGood,IF(ROW()-ROW(PaymentSchedule[[#Headers],[PMT NO]])&gt;ScheduledNumberOfPayments,"",ROW()-ROW(PaymentSchedule[[#Headers],[PMT NO]])),"")</f>
        <v>127</v>
      </c>
      <c r="C138" s="20">
        <f>IF(PaymentSchedule[[#This Row],[PMT NO]]&lt;&gt;"",EOMONTH(LoanStartDate,ROW(PaymentSchedule[[#This Row],[PMT NO]])-ROW(PaymentSchedule[[#Headers],[PMT NO]])-2)+DAY(LoanStartDate),"")</f>
        <v>47484</v>
      </c>
      <c r="D138" s="19">
        <f>IF(PaymentSchedule[[#This Row],[PMT NO]]&lt;&gt;"",IF(ROW()-ROW(PaymentSchedule[[#Headers],[BEGINNING BALANCE]])=1,LoanAmount,INDEX(PaymentSchedule[ENDING BALANCE],ROW()-ROW(PaymentSchedule[[#Headers],[BEGINNING BALANCE]])-1)),"")</f>
        <v>1722506.7534021619</v>
      </c>
      <c r="E138" s="19">
        <f>IF(PaymentSchedule[[#This Row],[PMT NO]]&lt;&gt;"",ScheduledPayment,"")</f>
        <v>8050.5201209471252</v>
      </c>
      <c r="F13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38" s="19">
        <f>IF(PaymentSchedule[[#This Row],[PMT NO]]&lt;&gt;"",PaymentSchedule[[#This Row],[TOTAL PAYMENT]]-PaymentSchedule[[#This Row],[INTEREST]],"")</f>
        <v>2667.6865165653699</v>
      </c>
      <c r="I138" s="19">
        <f>IF(PaymentSchedule[[#This Row],[PMT NO]]&lt;&gt;"",PaymentSchedule[[#This Row],[BEGINNING BALANCE]]*(InterestRate/PaymentsPerYear),"")</f>
        <v>5382.8336043817553</v>
      </c>
      <c r="J13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1719839.0668855966</v>
      </c>
      <c r="K138" s="19">
        <f>IF(PaymentSchedule[[#This Row],[PMT NO]]&lt;&gt;"",SUM(INDEX(PaymentSchedule[INTEREST],1,1):PaymentSchedule[[#This Row],[INTEREST]]),"")</f>
        <v>742255.12224588066</v>
      </c>
    </row>
    <row r="139" spans="2:11" x14ac:dyDescent="0.3">
      <c r="B139" s="21">
        <f>IF(LoanIsGood,IF(ROW()-ROW(PaymentSchedule[[#Headers],[PMT NO]])&gt;ScheduledNumberOfPayments,"",ROW()-ROW(PaymentSchedule[[#Headers],[PMT NO]])),"")</f>
        <v>128</v>
      </c>
      <c r="C139" s="20">
        <f>IF(PaymentSchedule[[#This Row],[PMT NO]]&lt;&gt;"",EOMONTH(LoanStartDate,ROW(PaymentSchedule[[#This Row],[PMT NO]])-ROW(PaymentSchedule[[#Headers],[PMT NO]])-2)+DAY(LoanStartDate),"")</f>
        <v>47515</v>
      </c>
      <c r="D139" s="19">
        <f>IF(PaymentSchedule[[#This Row],[PMT NO]]&lt;&gt;"",IF(ROW()-ROW(PaymentSchedule[[#Headers],[BEGINNING BALANCE]])=1,LoanAmount,INDEX(PaymentSchedule[ENDING BALANCE],ROW()-ROW(PaymentSchedule[[#Headers],[BEGINNING BALANCE]])-1)),"")</f>
        <v>1719839.0668855966</v>
      </c>
      <c r="E139" s="19">
        <f>IF(PaymentSchedule[[#This Row],[PMT NO]]&lt;&gt;"",ScheduledPayment,"")</f>
        <v>8050.5201209471252</v>
      </c>
      <c r="F13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39" s="19">
        <f>IF(PaymentSchedule[[#This Row],[PMT NO]]&lt;&gt;"",PaymentSchedule[[#This Row],[TOTAL PAYMENT]]-PaymentSchedule[[#This Row],[INTEREST]],"")</f>
        <v>2676.023036929636</v>
      </c>
      <c r="I139" s="19">
        <f>IF(PaymentSchedule[[#This Row],[PMT NO]]&lt;&gt;"",PaymentSchedule[[#This Row],[BEGINNING BALANCE]]*(InterestRate/PaymentsPerYear),"")</f>
        <v>5374.4970840174892</v>
      </c>
      <c r="J13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1717163.0438486671</v>
      </c>
      <c r="K139" s="19">
        <f>IF(PaymentSchedule[[#This Row],[PMT NO]]&lt;&gt;"",SUM(INDEX(PaymentSchedule[INTEREST],1,1):PaymentSchedule[[#This Row],[INTEREST]]),"")</f>
        <v>747629.61932989815</v>
      </c>
    </row>
    <row r="140" spans="2:11" x14ac:dyDescent="0.3">
      <c r="B140" s="21">
        <f>IF(LoanIsGood,IF(ROW()-ROW(PaymentSchedule[[#Headers],[PMT NO]])&gt;ScheduledNumberOfPayments,"",ROW()-ROW(PaymentSchedule[[#Headers],[PMT NO]])),"")</f>
        <v>129</v>
      </c>
      <c r="C140" s="20">
        <f>IF(PaymentSchedule[[#This Row],[PMT NO]]&lt;&gt;"",EOMONTH(LoanStartDate,ROW(PaymentSchedule[[#This Row],[PMT NO]])-ROW(PaymentSchedule[[#Headers],[PMT NO]])-2)+DAY(LoanStartDate),"")</f>
        <v>47543</v>
      </c>
      <c r="D140" s="19">
        <f>IF(PaymentSchedule[[#This Row],[PMT NO]]&lt;&gt;"",IF(ROW()-ROW(PaymentSchedule[[#Headers],[BEGINNING BALANCE]])=1,LoanAmount,INDEX(PaymentSchedule[ENDING BALANCE],ROW()-ROW(PaymentSchedule[[#Headers],[BEGINNING BALANCE]])-1)),"")</f>
        <v>1717163.0438486671</v>
      </c>
      <c r="E140" s="19">
        <f>IF(PaymentSchedule[[#This Row],[PMT NO]]&lt;&gt;"",ScheduledPayment,"")</f>
        <v>8050.5201209471252</v>
      </c>
      <c r="F14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40" s="19">
        <f>IF(PaymentSchedule[[#This Row],[PMT NO]]&lt;&gt;"",PaymentSchedule[[#This Row],[TOTAL PAYMENT]]-PaymentSchedule[[#This Row],[INTEREST]],"")</f>
        <v>2684.3856089200408</v>
      </c>
      <c r="I140" s="19">
        <f>IF(PaymentSchedule[[#This Row],[PMT NO]]&lt;&gt;"",PaymentSchedule[[#This Row],[BEGINNING BALANCE]]*(InterestRate/PaymentsPerYear),"")</f>
        <v>5366.1345120270844</v>
      </c>
      <c r="J14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1714478.6582397469</v>
      </c>
      <c r="K140" s="19">
        <f>IF(PaymentSchedule[[#This Row],[PMT NO]]&lt;&gt;"",SUM(INDEX(PaymentSchedule[INTEREST],1,1):PaymentSchedule[[#This Row],[INTEREST]]),"")</f>
        <v>752995.75384192518</v>
      </c>
    </row>
    <row r="141" spans="2:11" x14ac:dyDescent="0.3">
      <c r="B141" s="21">
        <f>IF(LoanIsGood,IF(ROW()-ROW(PaymentSchedule[[#Headers],[PMT NO]])&gt;ScheduledNumberOfPayments,"",ROW()-ROW(PaymentSchedule[[#Headers],[PMT NO]])),"")</f>
        <v>130</v>
      </c>
      <c r="C141" s="20">
        <f>IF(PaymentSchedule[[#This Row],[PMT NO]]&lt;&gt;"",EOMONTH(LoanStartDate,ROW(PaymentSchedule[[#This Row],[PMT NO]])-ROW(PaymentSchedule[[#Headers],[PMT NO]])-2)+DAY(LoanStartDate),"")</f>
        <v>47574</v>
      </c>
      <c r="D141" s="19">
        <f>IF(PaymentSchedule[[#This Row],[PMT NO]]&lt;&gt;"",IF(ROW()-ROW(PaymentSchedule[[#Headers],[BEGINNING BALANCE]])=1,LoanAmount,INDEX(PaymentSchedule[ENDING BALANCE],ROW()-ROW(PaymentSchedule[[#Headers],[BEGINNING BALANCE]])-1)),"")</f>
        <v>1714478.6582397469</v>
      </c>
      <c r="E141" s="19">
        <f>IF(PaymentSchedule[[#This Row],[PMT NO]]&lt;&gt;"",ScheduledPayment,"")</f>
        <v>8050.5201209471252</v>
      </c>
      <c r="F14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41" s="19">
        <f>IF(PaymentSchedule[[#This Row],[PMT NO]]&lt;&gt;"",PaymentSchedule[[#This Row],[TOTAL PAYMENT]]-PaymentSchedule[[#This Row],[INTEREST]],"")</f>
        <v>2692.7743139479162</v>
      </c>
      <c r="I141" s="19">
        <f>IF(PaymentSchedule[[#This Row],[PMT NO]]&lt;&gt;"",PaymentSchedule[[#This Row],[BEGINNING BALANCE]]*(InterestRate/PaymentsPerYear),"")</f>
        <v>5357.745806999209</v>
      </c>
      <c r="J14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1711785.883925799</v>
      </c>
      <c r="K141" s="19">
        <f>IF(PaymentSchedule[[#This Row],[PMT NO]]&lt;&gt;"",SUM(INDEX(PaymentSchedule[INTEREST],1,1):PaymentSchedule[[#This Row],[INTEREST]]),"")</f>
        <v>758353.49964892433</v>
      </c>
    </row>
    <row r="142" spans="2:11" x14ac:dyDescent="0.3">
      <c r="B142" s="21">
        <f>IF(LoanIsGood,IF(ROW()-ROW(PaymentSchedule[[#Headers],[PMT NO]])&gt;ScheduledNumberOfPayments,"",ROW()-ROW(PaymentSchedule[[#Headers],[PMT NO]])),"")</f>
        <v>131</v>
      </c>
      <c r="C142" s="20">
        <f>IF(PaymentSchedule[[#This Row],[PMT NO]]&lt;&gt;"",EOMONTH(LoanStartDate,ROW(PaymentSchedule[[#This Row],[PMT NO]])-ROW(PaymentSchedule[[#Headers],[PMT NO]])-2)+DAY(LoanStartDate),"")</f>
        <v>47604</v>
      </c>
      <c r="D142" s="19">
        <f>IF(PaymentSchedule[[#This Row],[PMT NO]]&lt;&gt;"",IF(ROW()-ROW(PaymentSchedule[[#Headers],[BEGINNING BALANCE]])=1,LoanAmount,INDEX(PaymentSchedule[ENDING BALANCE],ROW()-ROW(PaymentSchedule[[#Headers],[BEGINNING BALANCE]])-1)),"")</f>
        <v>1711785.883925799</v>
      </c>
      <c r="E142" s="19">
        <f>IF(PaymentSchedule[[#This Row],[PMT NO]]&lt;&gt;"",ScheduledPayment,"")</f>
        <v>8050.5201209471252</v>
      </c>
      <c r="F14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42" s="19">
        <f>IF(PaymentSchedule[[#This Row],[PMT NO]]&lt;&gt;"",PaymentSchedule[[#This Row],[TOTAL PAYMENT]]-PaymentSchedule[[#This Row],[INTEREST]],"")</f>
        <v>2701.1892336790033</v>
      </c>
      <c r="I142" s="19">
        <f>IF(PaymentSchedule[[#This Row],[PMT NO]]&lt;&gt;"",PaymentSchedule[[#This Row],[BEGINNING BALANCE]]*(InterestRate/PaymentsPerYear),"")</f>
        <v>5349.3308872681218</v>
      </c>
      <c r="J14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1709084.69469212</v>
      </c>
      <c r="K142" s="19">
        <f>IF(PaymentSchedule[[#This Row],[PMT NO]]&lt;&gt;"",SUM(INDEX(PaymentSchedule[INTEREST],1,1):PaymentSchedule[[#This Row],[INTEREST]]),"")</f>
        <v>763702.8305361924</v>
      </c>
    </row>
    <row r="143" spans="2:11" x14ac:dyDescent="0.3">
      <c r="B143" s="21">
        <f>IF(LoanIsGood,IF(ROW()-ROW(PaymentSchedule[[#Headers],[PMT NO]])&gt;ScheduledNumberOfPayments,"",ROW()-ROW(PaymentSchedule[[#Headers],[PMT NO]])),"")</f>
        <v>132</v>
      </c>
      <c r="C143" s="20">
        <f>IF(PaymentSchedule[[#This Row],[PMT NO]]&lt;&gt;"",EOMONTH(LoanStartDate,ROW(PaymentSchedule[[#This Row],[PMT NO]])-ROW(PaymentSchedule[[#Headers],[PMT NO]])-2)+DAY(LoanStartDate),"")</f>
        <v>47635</v>
      </c>
      <c r="D143" s="19">
        <f>IF(PaymentSchedule[[#This Row],[PMT NO]]&lt;&gt;"",IF(ROW()-ROW(PaymentSchedule[[#Headers],[BEGINNING BALANCE]])=1,LoanAmount,INDEX(PaymentSchedule[ENDING BALANCE],ROW()-ROW(PaymentSchedule[[#Headers],[BEGINNING BALANCE]])-1)),"")</f>
        <v>1709084.69469212</v>
      </c>
      <c r="E143" s="19">
        <f>IF(PaymentSchedule[[#This Row],[PMT NO]]&lt;&gt;"",ScheduledPayment,"")</f>
        <v>8050.5201209471252</v>
      </c>
      <c r="F14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43" s="19">
        <f>IF(PaymentSchedule[[#This Row],[PMT NO]]&lt;&gt;"",PaymentSchedule[[#This Row],[TOTAL PAYMENT]]-PaymentSchedule[[#This Row],[INTEREST]],"")</f>
        <v>2709.6304500342503</v>
      </c>
      <c r="I143" s="19">
        <f>IF(PaymentSchedule[[#This Row],[PMT NO]]&lt;&gt;"",PaymentSchedule[[#This Row],[BEGINNING BALANCE]]*(InterestRate/PaymentsPerYear),"")</f>
        <v>5340.8896709128749</v>
      </c>
      <c r="J14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1706375.0642420857</v>
      </c>
      <c r="K143" s="19">
        <f>IF(PaymentSchedule[[#This Row],[PMT NO]]&lt;&gt;"",SUM(INDEX(PaymentSchedule[INTEREST],1,1):PaymentSchedule[[#This Row],[INTEREST]]),"")</f>
        <v>769043.72020710527</v>
      </c>
    </row>
    <row r="144" spans="2:11" x14ac:dyDescent="0.3">
      <c r="B144" s="21">
        <f>IF(LoanIsGood,IF(ROW()-ROW(PaymentSchedule[[#Headers],[PMT NO]])&gt;ScheduledNumberOfPayments,"",ROW()-ROW(PaymentSchedule[[#Headers],[PMT NO]])),"")</f>
        <v>133</v>
      </c>
      <c r="C144" s="20">
        <f>IF(PaymentSchedule[[#This Row],[PMT NO]]&lt;&gt;"",EOMONTH(LoanStartDate,ROW(PaymentSchedule[[#This Row],[PMT NO]])-ROW(PaymentSchedule[[#Headers],[PMT NO]])-2)+DAY(LoanStartDate),"")</f>
        <v>47665</v>
      </c>
      <c r="D144" s="19">
        <f>IF(PaymentSchedule[[#This Row],[PMT NO]]&lt;&gt;"",IF(ROW()-ROW(PaymentSchedule[[#Headers],[BEGINNING BALANCE]])=1,LoanAmount,INDEX(PaymentSchedule[ENDING BALANCE],ROW()-ROW(PaymentSchedule[[#Headers],[BEGINNING BALANCE]])-1)),"")</f>
        <v>1706375.0642420857</v>
      </c>
      <c r="E144" s="19">
        <f>IF(PaymentSchedule[[#This Row],[PMT NO]]&lt;&gt;"",ScheduledPayment,"")</f>
        <v>8050.5201209471252</v>
      </c>
      <c r="F14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44" s="19">
        <f>IF(PaymentSchedule[[#This Row],[PMT NO]]&lt;&gt;"",PaymentSchedule[[#This Row],[TOTAL PAYMENT]]-PaymentSchedule[[#This Row],[INTEREST]],"")</f>
        <v>2718.098045190608</v>
      </c>
      <c r="I144" s="19">
        <f>IF(PaymentSchedule[[#This Row],[PMT NO]]&lt;&gt;"",PaymentSchedule[[#This Row],[BEGINNING BALANCE]]*(InterestRate/PaymentsPerYear),"")</f>
        <v>5332.4220757565172</v>
      </c>
      <c r="J14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1703656.9661968951</v>
      </c>
      <c r="K144" s="19">
        <f>IF(PaymentSchedule[[#This Row],[PMT NO]]&lt;&gt;"",SUM(INDEX(PaymentSchedule[INTEREST],1,1):PaymentSchedule[[#This Row],[INTEREST]]),"")</f>
        <v>774376.14228286175</v>
      </c>
    </row>
    <row r="145" spans="2:11" x14ac:dyDescent="0.3">
      <c r="B145" s="21">
        <f>IF(LoanIsGood,IF(ROW()-ROW(PaymentSchedule[[#Headers],[PMT NO]])&gt;ScheduledNumberOfPayments,"",ROW()-ROW(PaymentSchedule[[#Headers],[PMT NO]])),"")</f>
        <v>134</v>
      </c>
      <c r="C145" s="20">
        <f>IF(PaymentSchedule[[#This Row],[PMT NO]]&lt;&gt;"",EOMONTH(LoanStartDate,ROW(PaymentSchedule[[#This Row],[PMT NO]])-ROW(PaymentSchedule[[#Headers],[PMT NO]])-2)+DAY(LoanStartDate),"")</f>
        <v>47696</v>
      </c>
      <c r="D145" s="19">
        <f>IF(PaymentSchedule[[#This Row],[PMT NO]]&lt;&gt;"",IF(ROW()-ROW(PaymentSchedule[[#Headers],[BEGINNING BALANCE]])=1,LoanAmount,INDEX(PaymentSchedule[ENDING BALANCE],ROW()-ROW(PaymentSchedule[[#Headers],[BEGINNING BALANCE]])-1)),"")</f>
        <v>1703656.9661968951</v>
      </c>
      <c r="E145" s="19">
        <f>IF(PaymentSchedule[[#This Row],[PMT NO]]&lt;&gt;"",ScheduledPayment,"")</f>
        <v>8050.5201209471252</v>
      </c>
      <c r="F14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45" s="19">
        <f>IF(PaymentSchedule[[#This Row],[PMT NO]]&lt;&gt;"",PaymentSchedule[[#This Row],[TOTAL PAYMENT]]-PaymentSchedule[[#This Row],[INTEREST]],"")</f>
        <v>2726.5921015818285</v>
      </c>
      <c r="I145" s="19">
        <f>IF(PaymentSchedule[[#This Row],[PMT NO]]&lt;&gt;"",PaymentSchedule[[#This Row],[BEGINNING BALANCE]]*(InterestRate/PaymentsPerYear),"")</f>
        <v>5323.9280193652967</v>
      </c>
      <c r="J14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1700930.3740953133</v>
      </c>
      <c r="K145" s="19">
        <f>IF(PaymentSchedule[[#This Row],[PMT NO]]&lt;&gt;"",SUM(INDEX(PaymentSchedule[INTEREST],1,1):PaymentSchedule[[#This Row],[INTEREST]]),"")</f>
        <v>779700.07030222705</v>
      </c>
    </row>
    <row r="146" spans="2:11" x14ac:dyDescent="0.3">
      <c r="B146" s="21">
        <f>IF(LoanIsGood,IF(ROW()-ROW(PaymentSchedule[[#Headers],[PMT NO]])&gt;ScheduledNumberOfPayments,"",ROW()-ROW(PaymentSchedule[[#Headers],[PMT NO]])),"")</f>
        <v>135</v>
      </c>
      <c r="C146" s="20">
        <f>IF(PaymentSchedule[[#This Row],[PMT NO]]&lt;&gt;"",EOMONTH(LoanStartDate,ROW(PaymentSchedule[[#This Row],[PMT NO]])-ROW(PaymentSchedule[[#Headers],[PMT NO]])-2)+DAY(LoanStartDate),"")</f>
        <v>47727</v>
      </c>
      <c r="D146" s="19">
        <f>IF(PaymentSchedule[[#This Row],[PMT NO]]&lt;&gt;"",IF(ROW()-ROW(PaymentSchedule[[#Headers],[BEGINNING BALANCE]])=1,LoanAmount,INDEX(PaymentSchedule[ENDING BALANCE],ROW()-ROW(PaymentSchedule[[#Headers],[BEGINNING BALANCE]])-1)),"")</f>
        <v>1700930.3740953133</v>
      </c>
      <c r="E146" s="19">
        <f>IF(PaymentSchedule[[#This Row],[PMT NO]]&lt;&gt;"",ScheduledPayment,"")</f>
        <v>8050.5201209471252</v>
      </c>
      <c r="F14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46" s="19">
        <f>IF(PaymentSchedule[[#This Row],[PMT NO]]&lt;&gt;"",PaymentSchedule[[#This Row],[TOTAL PAYMENT]]-PaymentSchedule[[#This Row],[INTEREST]],"")</f>
        <v>2735.112701899272</v>
      </c>
      <c r="I146" s="19">
        <f>IF(PaymentSchedule[[#This Row],[PMT NO]]&lt;&gt;"",PaymentSchedule[[#This Row],[BEGINNING BALANCE]]*(InterestRate/PaymentsPerYear),"")</f>
        <v>5315.4074190478532</v>
      </c>
      <c r="J14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1698195.2613934139</v>
      </c>
      <c r="K146" s="19">
        <f>IF(PaymentSchedule[[#This Row],[PMT NO]]&lt;&gt;"",SUM(INDEX(PaymentSchedule[INTEREST],1,1):PaymentSchedule[[#This Row],[INTEREST]]),"")</f>
        <v>785015.47772127495</v>
      </c>
    </row>
    <row r="147" spans="2:11" x14ac:dyDescent="0.3">
      <c r="B147" s="21">
        <f>IF(LoanIsGood,IF(ROW()-ROW(PaymentSchedule[[#Headers],[PMT NO]])&gt;ScheduledNumberOfPayments,"",ROW()-ROW(PaymentSchedule[[#Headers],[PMT NO]])),"")</f>
        <v>136</v>
      </c>
      <c r="C147" s="20">
        <f>IF(PaymentSchedule[[#This Row],[PMT NO]]&lt;&gt;"",EOMONTH(LoanStartDate,ROW(PaymentSchedule[[#This Row],[PMT NO]])-ROW(PaymentSchedule[[#Headers],[PMT NO]])-2)+DAY(LoanStartDate),"")</f>
        <v>47757</v>
      </c>
      <c r="D147" s="19">
        <f>IF(PaymentSchedule[[#This Row],[PMT NO]]&lt;&gt;"",IF(ROW()-ROW(PaymentSchedule[[#Headers],[BEGINNING BALANCE]])=1,LoanAmount,INDEX(PaymentSchedule[ENDING BALANCE],ROW()-ROW(PaymentSchedule[[#Headers],[BEGINNING BALANCE]])-1)),"")</f>
        <v>1698195.2613934139</v>
      </c>
      <c r="E147" s="19">
        <f>IF(PaymentSchedule[[#This Row],[PMT NO]]&lt;&gt;"",ScheduledPayment,"")</f>
        <v>8050.5201209471252</v>
      </c>
      <c r="F14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47" s="19">
        <f>IF(PaymentSchedule[[#This Row],[PMT NO]]&lt;&gt;"",PaymentSchedule[[#This Row],[TOTAL PAYMENT]]-PaymentSchedule[[#This Row],[INTEREST]],"")</f>
        <v>2743.659929092707</v>
      </c>
      <c r="I147" s="19">
        <f>IF(PaymentSchedule[[#This Row],[PMT NO]]&lt;&gt;"",PaymentSchedule[[#This Row],[BEGINNING BALANCE]]*(InterestRate/PaymentsPerYear),"")</f>
        <v>5306.8601918544182</v>
      </c>
      <c r="J14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1695451.6014643211</v>
      </c>
      <c r="K147" s="19">
        <f>IF(PaymentSchedule[[#This Row],[PMT NO]]&lt;&gt;"",SUM(INDEX(PaymentSchedule[INTEREST],1,1):PaymentSchedule[[#This Row],[INTEREST]]),"")</f>
        <v>790322.33791312936</v>
      </c>
    </row>
    <row r="148" spans="2:11" x14ac:dyDescent="0.3">
      <c r="B148" s="21">
        <f>IF(LoanIsGood,IF(ROW()-ROW(PaymentSchedule[[#Headers],[PMT NO]])&gt;ScheduledNumberOfPayments,"",ROW()-ROW(PaymentSchedule[[#Headers],[PMT NO]])),"")</f>
        <v>137</v>
      </c>
      <c r="C148" s="20">
        <f>IF(PaymentSchedule[[#This Row],[PMT NO]]&lt;&gt;"",EOMONTH(LoanStartDate,ROW(PaymentSchedule[[#This Row],[PMT NO]])-ROW(PaymentSchedule[[#Headers],[PMT NO]])-2)+DAY(LoanStartDate),"")</f>
        <v>47788</v>
      </c>
      <c r="D148" s="19">
        <f>IF(PaymentSchedule[[#This Row],[PMT NO]]&lt;&gt;"",IF(ROW()-ROW(PaymentSchedule[[#Headers],[BEGINNING BALANCE]])=1,LoanAmount,INDEX(PaymentSchedule[ENDING BALANCE],ROW()-ROW(PaymentSchedule[[#Headers],[BEGINNING BALANCE]])-1)),"")</f>
        <v>1695451.6014643211</v>
      </c>
      <c r="E148" s="19">
        <f>IF(PaymentSchedule[[#This Row],[PMT NO]]&lt;&gt;"",ScheduledPayment,"")</f>
        <v>8050.5201209471252</v>
      </c>
      <c r="F14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48" s="19">
        <f>IF(PaymentSchedule[[#This Row],[PMT NO]]&lt;&gt;"",PaymentSchedule[[#This Row],[TOTAL PAYMENT]]-PaymentSchedule[[#This Row],[INTEREST]],"")</f>
        <v>2752.2338663711216</v>
      </c>
      <c r="I148" s="19">
        <f>IF(PaymentSchedule[[#This Row],[PMT NO]]&lt;&gt;"",PaymentSchedule[[#This Row],[BEGINNING BALANCE]]*(InterestRate/PaymentsPerYear),"")</f>
        <v>5298.2862545760036</v>
      </c>
      <c r="J14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1692699.3675979499</v>
      </c>
      <c r="K148" s="19">
        <f>IF(PaymentSchedule[[#This Row],[PMT NO]]&lt;&gt;"",SUM(INDEX(PaymentSchedule[INTEREST],1,1):PaymentSchedule[[#This Row],[INTEREST]]),"")</f>
        <v>795620.62416770542</v>
      </c>
    </row>
    <row r="149" spans="2:11" x14ac:dyDescent="0.3">
      <c r="B149" s="21">
        <f>IF(LoanIsGood,IF(ROW()-ROW(PaymentSchedule[[#Headers],[PMT NO]])&gt;ScheduledNumberOfPayments,"",ROW()-ROW(PaymentSchedule[[#Headers],[PMT NO]])),"")</f>
        <v>138</v>
      </c>
      <c r="C149" s="20">
        <f>IF(PaymentSchedule[[#This Row],[PMT NO]]&lt;&gt;"",EOMONTH(LoanStartDate,ROW(PaymentSchedule[[#This Row],[PMT NO]])-ROW(PaymentSchedule[[#Headers],[PMT NO]])-2)+DAY(LoanStartDate),"")</f>
        <v>47818</v>
      </c>
      <c r="D149" s="19">
        <f>IF(PaymentSchedule[[#This Row],[PMT NO]]&lt;&gt;"",IF(ROW()-ROW(PaymentSchedule[[#Headers],[BEGINNING BALANCE]])=1,LoanAmount,INDEX(PaymentSchedule[ENDING BALANCE],ROW()-ROW(PaymentSchedule[[#Headers],[BEGINNING BALANCE]])-1)),"")</f>
        <v>1692699.3675979499</v>
      </c>
      <c r="E149" s="19">
        <f>IF(PaymentSchedule[[#This Row],[PMT NO]]&lt;&gt;"",ScheduledPayment,"")</f>
        <v>8050.5201209471252</v>
      </c>
      <c r="F14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49" s="19">
        <f>IF(PaymentSchedule[[#This Row],[PMT NO]]&lt;&gt;"",PaymentSchedule[[#This Row],[TOTAL PAYMENT]]-PaymentSchedule[[#This Row],[INTEREST]],"")</f>
        <v>2760.8345972035322</v>
      </c>
      <c r="I149" s="19">
        <f>IF(PaymentSchedule[[#This Row],[PMT NO]]&lt;&gt;"",PaymentSchedule[[#This Row],[BEGINNING BALANCE]]*(InterestRate/PaymentsPerYear),"")</f>
        <v>5289.685523743593</v>
      </c>
      <c r="J14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1689938.5330007463</v>
      </c>
      <c r="K149" s="19">
        <f>IF(PaymentSchedule[[#This Row],[PMT NO]]&lt;&gt;"",SUM(INDEX(PaymentSchedule[INTEREST],1,1):PaymentSchedule[[#This Row],[INTEREST]]),"")</f>
        <v>800910.30969144905</v>
      </c>
    </row>
    <row r="150" spans="2:11" x14ac:dyDescent="0.3">
      <c r="B150" s="21">
        <f>IF(LoanIsGood,IF(ROW()-ROW(PaymentSchedule[[#Headers],[PMT NO]])&gt;ScheduledNumberOfPayments,"",ROW()-ROW(PaymentSchedule[[#Headers],[PMT NO]])),"")</f>
        <v>139</v>
      </c>
      <c r="C150" s="20">
        <f>IF(PaymentSchedule[[#This Row],[PMT NO]]&lt;&gt;"",EOMONTH(LoanStartDate,ROW(PaymentSchedule[[#This Row],[PMT NO]])-ROW(PaymentSchedule[[#Headers],[PMT NO]])-2)+DAY(LoanStartDate),"")</f>
        <v>47849</v>
      </c>
      <c r="D150" s="19">
        <f>IF(PaymentSchedule[[#This Row],[PMT NO]]&lt;&gt;"",IF(ROW()-ROW(PaymentSchedule[[#Headers],[BEGINNING BALANCE]])=1,LoanAmount,INDEX(PaymentSchedule[ENDING BALANCE],ROW()-ROW(PaymentSchedule[[#Headers],[BEGINNING BALANCE]])-1)),"")</f>
        <v>1689938.5330007463</v>
      </c>
      <c r="E150" s="19">
        <f>IF(PaymentSchedule[[#This Row],[PMT NO]]&lt;&gt;"",ScheduledPayment,"")</f>
        <v>8050.5201209471252</v>
      </c>
      <c r="F15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50" s="19">
        <f>IF(PaymentSchedule[[#This Row],[PMT NO]]&lt;&gt;"",PaymentSchedule[[#This Row],[TOTAL PAYMENT]]-PaymentSchedule[[#This Row],[INTEREST]],"")</f>
        <v>2769.4622053197936</v>
      </c>
      <c r="I150" s="19">
        <f>IF(PaymentSchedule[[#This Row],[PMT NO]]&lt;&gt;"",PaymentSchedule[[#This Row],[BEGINNING BALANCE]]*(InterestRate/PaymentsPerYear),"")</f>
        <v>5281.0579156273316</v>
      </c>
      <c r="J15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1687169.0707954264</v>
      </c>
      <c r="K150" s="19">
        <f>IF(PaymentSchedule[[#This Row],[PMT NO]]&lt;&gt;"",SUM(INDEX(PaymentSchedule[INTEREST],1,1):PaymentSchedule[[#This Row],[INTEREST]]),"")</f>
        <v>806191.36760707642</v>
      </c>
    </row>
    <row r="151" spans="2:11" x14ac:dyDescent="0.3">
      <c r="B151" s="21">
        <f>IF(LoanIsGood,IF(ROW()-ROW(PaymentSchedule[[#Headers],[PMT NO]])&gt;ScheduledNumberOfPayments,"",ROW()-ROW(PaymentSchedule[[#Headers],[PMT NO]])),"")</f>
        <v>140</v>
      </c>
      <c r="C151" s="20">
        <f>IF(PaymentSchedule[[#This Row],[PMT NO]]&lt;&gt;"",EOMONTH(LoanStartDate,ROW(PaymentSchedule[[#This Row],[PMT NO]])-ROW(PaymentSchedule[[#Headers],[PMT NO]])-2)+DAY(LoanStartDate),"")</f>
        <v>47880</v>
      </c>
      <c r="D151" s="19">
        <f>IF(PaymentSchedule[[#This Row],[PMT NO]]&lt;&gt;"",IF(ROW()-ROW(PaymentSchedule[[#Headers],[BEGINNING BALANCE]])=1,LoanAmount,INDEX(PaymentSchedule[ENDING BALANCE],ROW()-ROW(PaymentSchedule[[#Headers],[BEGINNING BALANCE]])-1)),"")</f>
        <v>1687169.0707954264</v>
      </c>
      <c r="E151" s="19">
        <f>IF(PaymentSchedule[[#This Row],[PMT NO]]&lt;&gt;"",ScheduledPayment,"")</f>
        <v>8050.5201209471252</v>
      </c>
      <c r="F15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51" s="19">
        <f>IF(PaymentSchedule[[#This Row],[PMT NO]]&lt;&gt;"",PaymentSchedule[[#This Row],[TOTAL PAYMENT]]-PaymentSchedule[[#This Row],[INTEREST]],"")</f>
        <v>2778.1167747114177</v>
      </c>
      <c r="I151" s="19">
        <f>IF(PaymentSchedule[[#This Row],[PMT NO]]&lt;&gt;"",PaymentSchedule[[#This Row],[BEGINNING BALANCE]]*(InterestRate/PaymentsPerYear),"")</f>
        <v>5272.4033462357074</v>
      </c>
      <c r="J15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1684390.9540207149</v>
      </c>
      <c r="K151" s="19">
        <f>IF(PaymentSchedule[[#This Row],[PMT NO]]&lt;&gt;"",SUM(INDEX(PaymentSchedule[INTEREST],1,1):PaymentSchedule[[#This Row],[INTEREST]]),"")</f>
        <v>811463.77095331217</v>
      </c>
    </row>
    <row r="152" spans="2:11" x14ac:dyDescent="0.3">
      <c r="B152" s="21">
        <f>IF(LoanIsGood,IF(ROW()-ROW(PaymentSchedule[[#Headers],[PMT NO]])&gt;ScheduledNumberOfPayments,"",ROW()-ROW(PaymentSchedule[[#Headers],[PMT NO]])),"")</f>
        <v>141</v>
      </c>
      <c r="C152" s="20">
        <f>IF(PaymentSchedule[[#This Row],[PMT NO]]&lt;&gt;"",EOMONTH(LoanStartDate,ROW(PaymentSchedule[[#This Row],[PMT NO]])-ROW(PaymentSchedule[[#Headers],[PMT NO]])-2)+DAY(LoanStartDate),"")</f>
        <v>47908</v>
      </c>
      <c r="D152" s="19">
        <f>IF(PaymentSchedule[[#This Row],[PMT NO]]&lt;&gt;"",IF(ROW()-ROW(PaymentSchedule[[#Headers],[BEGINNING BALANCE]])=1,LoanAmount,INDEX(PaymentSchedule[ENDING BALANCE],ROW()-ROW(PaymentSchedule[[#Headers],[BEGINNING BALANCE]])-1)),"")</f>
        <v>1684390.9540207149</v>
      </c>
      <c r="E152" s="19">
        <f>IF(PaymentSchedule[[#This Row],[PMT NO]]&lt;&gt;"",ScheduledPayment,"")</f>
        <v>8050.5201209471252</v>
      </c>
      <c r="F15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52" s="19">
        <f>IF(PaymentSchedule[[#This Row],[PMT NO]]&lt;&gt;"",PaymentSchedule[[#This Row],[TOTAL PAYMENT]]-PaymentSchedule[[#This Row],[INTEREST]],"")</f>
        <v>2786.7983896323913</v>
      </c>
      <c r="I152" s="19">
        <f>IF(PaymentSchedule[[#This Row],[PMT NO]]&lt;&gt;"",PaymentSchedule[[#This Row],[BEGINNING BALANCE]]*(InterestRate/PaymentsPerYear),"")</f>
        <v>5263.7217313147339</v>
      </c>
      <c r="J15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1681604.1556310824</v>
      </c>
      <c r="K152" s="19">
        <f>IF(PaymentSchedule[[#This Row],[PMT NO]]&lt;&gt;"",SUM(INDEX(PaymentSchedule[INTEREST],1,1):PaymentSchedule[[#This Row],[INTEREST]]),"")</f>
        <v>816727.49268462695</v>
      </c>
    </row>
    <row r="153" spans="2:11" x14ac:dyDescent="0.3">
      <c r="B153" s="21">
        <f>IF(LoanIsGood,IF(ROW()-ROW(PaymentSchedule[[#Headers],[PMT NO]])&gt;ScheduledNumberOfPayments,"",ROW()-ROW(PaymentSchedule[[#Headers],[PMT NO]])),"")</f>
        <v>142</v>
      </c>
      <c r="C153" s="20">
        <f>IF(PaymentSchedule[[#This Row],[PMT NO]]&lt;&gt;"",EOMONTH(LoanStartDate,ROW(PaymentSchedule[[#This Row],[PMT NO]])-ROW(PaymentSchedule[[#Headers],[PMT NO]])-2)+DAY(LoanStartDate),"")</f>
        <v>47939</v>
      </c>
      <c r="D153" s="19">
        <f>IF(PaymentSchedule[[#This Row],[PMT NO]]&lt;&gt;"",IF(ROW()-ROW(PaymentSchedule[[#Headers],[BEGINNING BALANCE]])=1,LoanAmount,INDEX(PaymentSchedule[ENDING BALANCE],ROW()-ROW(PaymentSchedule[[#Headers],[BEGINNING BALANCE]])-1)),"")</f>
        <v>1681604.1556310824</v>
      </c>
      <c r="E153" s="19">
        <f>IF(PaymentSchedule[[#This Row],[PMT NO]]&lt;&gt;"",ScheduledPayment,"")</f>
        <v>8050.5201209471252</v>
      </c>
      <c r="F15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53" s="19">
        <f>IF(PaymentSchedule[[#This Row],[PMT NO]]&lt;&gt;"",PaymentSchedule[[#This Row],[TOTAL PAYMENT]]-PaymentSchedule[[#This Row],[INTEREST]],"")</f>
        <v>2795.5071345999932</v>
      </c>
      <c r="I153" s="19">
        <f>IF(PaymentSchedule[[#This Row],[PMT NO]]&lt;&gt;"",PaymentSchedule[[#This Row],[BEGINNING BALANCE]]*(InterestRate/PaymentsPerYear),"")</f>
        <v>5255.012986347132</v>
      </c>
      <c r="J15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1678808.6484964823</v>
      </c>
      <c r="K153" s="19">
        <f>IF(PaymentSchedule[[#This Row],[PMT NO]]&lt;&gt;"",SUM(INDEX(PaymentSchedule[INTEREST],1,1):PaymentSchedule[[#This Row],[INTEREST]]),"")</f>
        <v>821982.50567097403</v>
      </c>
    </row>
    <row r="154" spans="2:11" x14ac:dyDescent="0.3">
      <c r="B154" s="21">
        <f>IF(LoanIsGood,IF(ROW()-ROW(PaymentSchedule[[#Headers],[PMT NO]])&gt;ScheduledNumberOfPayments,"",ROW()-ROW(PaymentSchedule[[#Headers],[PMT NO]])),"")</f>
        <v>143</v>
      </c>
      <c r="C154" s="20">
        <f>IF(PaymentSchedule[[#This Row],[PMT NO]]&lt;&gt;"",EOMONTH(LoanStartDate,ROW(PaymentSchedule[[#This Row],[PMT NO]])-ROW(PaymentSchedule[[#Headers],[PMT NO]])-2)+DAY(LoanStartDate),"")</f>
        <v>47969</v>
      </c>
      <c r="D154" s="19">
        <f>IF(PaymentSchedule[[#This Row],[PMT NO]]&lt;&gt;"",IF(ROW()-ROW(PaymentSchedule[[#Headers],[BEGINNING BALANCE]])=1,LoanAmount,INDEX(PaymentSchedule[ENDING BALANCE],ROW()-ROW(PaymentSchedule[[#Headers],[BEGINNING BALANCE]])-1)),"")</f>
        <v>1678808.6484964823</v>
      </c>
      <c r="E154" s="19">
        <f>IF(PaymentSchedule[[#This Row],[PMT NO]]&lt;&gt;"",ScheduledPayment,"")</f>
        <v>8050.5201209471252</v>
      </c>
      <c r="F15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54" s="19">
        <f>IF(PaymentSchedule[[#This Row],[PMT NO]]&lt;&gt;"",PaymentSchedule[[#This Row],[TOTAL PAYMENT]]-PaymentSchedule[[#This Row],[INTEREST]],"")</f>
        <v>2804.2430943956188</v>
      </c>
      <c r="I154" s="19">
        <f>IF(PaymentSchedule[[#This Row],[PMT NO]]&lt;&gt;"",PaymentSchedule[[#This Row],[BEGINNING BALANCE]]*(InterestRate/PaymentsPerYear),"")</f>
        <v>5246.2770265515064</v>
      </c>
      <c r="J15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1676004.4054020867</v>
      </c>
      <c r="K154" s="19">
        <f>IF(PaymentSchedule[[#This Row],[PMT NO]]&lt;&gt;"",SUM(INDEX(PaymentSchedule[INTEREST],1,1):PaymentSchedule[[#This Row],[INTEREST]]),"")</f>
        <v>827228.78269752557</v>
      </c>
    </row>
    <row r="155" spans="2:11" x14ac:dyDescent="0.3">
      <c r="B155" s="21">
        <f>IF(LoanIsGood,IF(ROW()-ROW(PaymentSchedule[[#Headers],[PMT NO]])&gt;ScheduledNumberOfPayments,"",ROW()-ROW(PaymentSchedule[[#Headers],[PMT NO]])),"")</f>
        <v>144</v>
      </c>
      <c r="C155" s="20">
        <f>IF(PaymentSchedule[[#This Row],[PMT NO]]&lt;&gt;"",EOMONTH(LoanStartDate,ROW(PaymentSchedule[[#This Row],[PMT NO]])-ROW(PaymentSchedule[[#Headers],[PMT NO]])-2)+DAY(LoanStartDate),"")</f>
        <v>48000</v>
      </c>
      <c r="D155" s="19">
        <f>IF(PaymentSchedule[[#This Row],[PMT NO]]&lt;&gt;"",IF(ROW()-ROW(PaymentSchedule[[#Headers],[BEGINNING BALANCE]])=1,LoanAmount,INDEX(PaymentSchedule[ENDING BALANCE],ROW()-ROW(PaymentSchedule[[#Headers],[BEGINNING BALANCE]])-1)),"")</f>
        <v>1676004.4054020867</v>
      </c>
      <c r="E155" s="19">
        <f>IF(PaymentSchedule[[#This Row],[PMT NO]]&lt;&gt;"",ScheduledPayment,"")</f>
        <v>8050.5201209471252</v>
      </c>
      <c r="F15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55" s="19">
        <f>IF(PaymentSchedule[[#This Row],[PMT NO]]&lt;&gt;"",PaymentSchedule[[#This Row],[TOTAL PAYMENT]]-PaymentSchedule[[#This Row],[INTEREST]],"")</f>
        <v>2813.0063540656047</v>
      </c>
      <c r="I155" s="19">
        <f>IF(PaymentSchedule[[#This Row],[PMT NO]]&lt;&gt;"",PaymentSchedule[[#This Row],[BEGINNING BALANCE]]*(InterestRate/PaymentsPerYear),"")</f>
        <v>5237.5137668815205</v>
      </c>
      <c r="J15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1673191.3990480211</v>
      </c>
      <c r="K155" s="19">
        <f>IF(PaymentSchedule[[#This Row],[PMT NO]]&lt;&gt;"",SUM(INDEX(PaymentSchedule[INTEREST],1,1):PaymentSchedule[[#This Row],[INTEREST]]),"")</f>
        <v>832466.29646440712</v>
      </c>
    </row>
    <row r="156" spans="2:11" x14ac:dyDescent="0.3">
      <c r="B156" s="21">
        <f>IF(LoanIsGood,IF(ROW()-ROW(PaymentSchedule[[#Headers],[PMT NO]])&gt;ScheduledNumberOfPayments,"",ROW()-ROW(PaymentSchedule[[#Headers],[PMT NO]])),"")</f>
        <v>145</v>
      </c>
      <c r="C156" s="20">
        <f>IF(PaymentSchedule[[#This Row],[PMT NO]]&lt;&gt;"",EOMONTH(LoanStartDate,ROW(PaymentSchedule[[#This Row],[PMT NO]])-ROW(PaymentSchedule[[#Headers],[PMT NO]])-2)+DAY(LoanStartDate),"")</f>
        <v>48030</v>
      </c>
      <c r="D156" s="19">
        <f>IF(PaymentSchedule[[#This Row],[PMT NO]]&lt;&gt;"",IF(ROW()-ROW(PaymentSchedule[[#Headers],[BEGINNING BALANCE]])=1,LoanAmount,INDEX(PaymentSchedule[ENDING BALANCE],ROW()-ROW(PaymentSchedule[[#Headers],[BEGINNING BALANCE]])-1)),"")</f>
        <v>1673191.3990480211</v>
      </c>
      <c r="E156" s="19">
        <f>IF(PaymentSchedule[[#This Row],[PMT NO]]&lt;&gt;"",ScheduledPayment,"")</f>
        <v>8050.5201209471252</v>
      </c>
      <c r="F15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56" s="19">
        <f>IF(PaymentSchedule[[#This Row],[PMT NO]]&lt;&gt;"",PaymentSchedule[[#This Row],[TOTAL PAYMENT]]-PaymentSchedule[[#This Row],[INTEREST]],"")</f>
        <v>2821.7969989220601</v>
      </c>
      <c r="I156" s="19">
        <f>IF(PaymentSchedule[[#This Row],[PMT NO]]&lt;&gt;"",PaymentSchedule[[#This Row],[BEGINNING BALANCE]]*(InterestRate/PaymentsPerYear),"")</f>
        <v>5228.7231220250651</v>
      </c>
      <c r="J15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1670369.602049099</v>
      </c>
      <c r="K156" s="19">
        <f>IF(PaymentSchedule[[#This Row],[PMT NO]]&lt;&gt;"",SUM(INDEX(PaymentSchedule[INTEREST],1,1):PaymentSchedule[[#This Row],[INTEREST]]),"")</f>
        <v>837695.01958643214</v>
      </c>
    </row>
    <row r="157" spans="2:11" x14ac:dyDescent="0.3">
      <c r="B157" s="21">
        <f>IF(LoanIsGood,IF(ROW()-ROW(PaymentSchedule[[#Headers],[PMT NO]])&gt;ScheduledNumberOfPayments,"",ROW()-ROW(PaymentSchedule[[#Headers],[PMT NO]])),"")</f>
        <v>146</v>
      </c>
      <c r="C157" s="20">
        <f>IF(PaymentSchedule[[#This Row],[PMT NO]]&lt;&gt;"",EOMONTH(LoanStartDate,ROW(PaymentSchedule[[#This Row],[PMT NO]])-ROW(PaymentSchedule[[#Headers],[PMT NO]])-2)+DAY(LoanStartDate),"")</f>
        <v>48061</v>
      </c>
      <c r="D157" s="19">
        <f>IF(PaymentSchedule[[#This Row],[PMT NO]]&lt;&gt;"",IF(ROW()-ROW(PaymentSchedule[[#Headers],[BEGINNING BALANCE]])=1,LoanAmount,INDEX(PaymentSchedule[ENDING BALANCE],ROW()-ROW(PaymentSchedule[[#Headers],[BEGINNING BALANCE]])-1)),"")</f>
        <v>1670369.602049099</v>
      </c>
      <c r="E157" s="19">
        <f>IF(PaymentSchedule[[#This Row],[PMT NO]]&lt;&gt;"",ScheduledPayment,"")</f>
        <v>8050.5201209471252</v>
      </c>
      <c r="F15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57" s="19">
        <f>IF(PaymentSchedule[[#This Row],[PMT NO]]&lt;&gt;"",PaymentSchedule[[#This Row],[TOTAL PAYMENT]]-PaymentSchedule[[#This Row],[INTEREST]],"")</f>
        <v>2830.6151145436907</v>
      </c>
      <c r="I157" s="19">
        <f>IF(PaymentSchedule[[#This Row],[PMT NO]]&lt;&gt;"",PaymentSchedule[[#This Row],[BEGINNING BALANCE]]*(InterestRate/PaymentsPerYear),"")</f>
        <v>5219.9050064034345</v>
      </c>
      <c r="J15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1667538.9869345555</v>
      </c>
      <c r="K157" s="19">
        <f>IF(PaymentSchedule[[#This Row],[PMT NO]]&lt;&gt;"",SUM(INDEX(PaymentSchedule[INTEREST],1,1):PaymentSchedule[[#This Row],[INTEREST]]),"")</f>
        <v>842914.9245928356</v>
      </c>
    </row>
    <row r="158" spans="2:11" x14ac:dyDescent="0.3">
      <c r="B158" s="21">
        <f>IF(LoanIsGood,IF(ROW()-ROW(PaymentSchedule[[#Headers],[PMT NO]])&gt;ScheduledNumberOfPayments,"",ROW()-ROW(PaymentSchedule[[#Headers],[PMT NO]])),"")</f>
        <v>147</v>
      </c>
      <c r="C158" s="20">
        <f>IF(PaymentSchedule[[#This Row],[PMT NO]]&lt;&gt;"",EOMONTH(LoanStartDate,ROW(PaymentSchedule[[#This Row],[PMT NO]])-ROW(PaymentSchedule[[#Headers],[PMT NO]])-2)+DAY(LoanStartDate),"")</f>
        <v>48092</v>
      </c>
      <c r="D158" s="19">
        <f>IF(PaymentSchedule[[#This Row],[PMT NO]]&lt;&gt;"",IF(ROW()-ROW(PaymentSchedule[[#Headers],[BEGINNING BALANCE]])=1,LoanAmount,INDEX(PaymentSchedule[ENDING BALANCE],ROW()-ROW(PaymentSchedule[[#Headers],[BEGINNING BALANCE]])-1)),"")</f>
        <v>1667538.9869345555</v>
      </c>
      <c r="E158" s="19">
        <f>IF(PaymentSchedule[[#This Row],[PMT NO]]&lt;&gt;"",ScheduledPayment,"")</f>
        <v>8050.5201209471252</v>
      </c>
      <c r="F15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58" s="19">
        <f>IF(PaymentSchedule[[#This Row],[PMT NO]]&lt;&gt;"",PaymentSchedule[[#This Row],[TOTAL PAYMENT]]-PaymentSchedule[[#This Row],[INTEREST]],"")</f>
        <v>2839.4607867766399</v>
      </c>
      <c r="I158" s="19">
        <f>IF(PaymentSchedule[[#This Row],[PMT NO]]&lt;&gt;"",PaymentSchedule[[#This Row],[BEGINNING BALANCE]]*(InterestRate/PaymentsPerYear),"")</f>
        <v>5211.0593341704853</v>
      </c>
      <c r="J15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1664699.5261477788</v>
      </c>
      <c r="K158" s="19">
        <f>IF(PaymentSchedule[[#This Row],[PMT NO]]&lt;&gt;"",SUM(INDEX(PaymentSchedule[INTEREST],1,1):PaymentSchedule[[#This Row],[INTEREST]]),"")</f>
        <v>848125.98392700613</v>
      </c>
    </row>
    <row r="159" spans="2:11" x14ac:dyDescent="0.3">
      <c r="B159" s="21">
        <f>IF(LoanIsGood,IF(ROW()-ROW(PaymentSchedule[[#Headers],[PMT NO]])&gt;ScheduledNumberOfPayments,"",ROW()-ROW(PaymentSchedule[[#Headers],[PMT NO]])),"")</f>
        <v>148</v>
      </c>
      <c r="C159" s="20">
        <f>IF(PaymentSchedule[[#This Row],[PMT NO]]&lt;&gt;"",EOMONTH(LoanStartDate,ROW(PaymentSchedule[[#This Row],[PMT NO]])-ROW(PaymentSchedule[[#Headers],[PMT NO]])-2)+DAY(LoanStartDate),"")</f>
        <v>48122</v>
      </c>
      <c r="D159" s="19">
        <f>IF(PaymentSchedule[[#This Row],[PMT NO]]&lt;&gt;"",IF(ROW()-ROW(PaymentSchedule[[#Headers],[BEGINNING BALANCE]])=1,LoanAmount,INDEX(PaymentSchedule[ENDING BALANCE],ROW()-ROW(PaymentSchedule[[#Headers],[BEGINNING BALANCE]])-1)),"")</f>
        <v>1664699.5261477788</v>
      </c>
      <c r="E159" s="19">
        <f>IF(PaymentSchedule[[#This Row],[PMT NO]]&lt;&gt;"",ScheduledPayment,"")</f>
        <v>8050.5201209471252</v>
      </c>
      <c r="F15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59" s="19">
        <f>IF(PaymentSchedule[[#This Row],[PMT NO]]&lt;&gt;"",PaymentSchedule[[#This Row],[TOTAL PAYMENT]]-PaymentSchedule[[#This Row],[INTEREST]],"")</f>
        <v>2848.3341017353168</v>
      </c>
      <c r="I159" s="19">
        <f>IF(PaymentSchedule[[#This Row],[PMT NO]]&lt;&gt;"",PaymentSchedule[[#This Row],[BEGINNING BALANCE]]*(InterestRate/PaymentsPerYear),"")</f>
        <v>5202.1860192118083</v>
      </c>
      <c r="J15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1661851.1920460435</v>
      </c>
      <c r="K159" s="19">
        <f>IF(PaymentSchedule[[#This Row],[PMT NO]]&lt;&gt;"",SUM(INDEX(PaymentSchedule[INTEREST],1,1):PaymentSchedule[[#This Row],[INTEREST]]),"")</f>
        <v>853328.16994621791</v>
      </c>
    </row>
    <row r="160" spans="2:11" x14ac:dyDescent="0.3">
      <c r="B160" s="21">
        <f>IF(LoanIsGood,IF(ROW()-ROW(PaymentSchedule[[#Headers],[PMT NO]])&gt;ScheduledNumberOfPayments,"",ROW()-ROW(PaymentSchedule[[#Headers],[PMT NO]])),"")</f>
        <v>149</v>
      </c>
      <c r="C160" s="20">
        <f>IF(PaymentSchedule[[#This Row],[PMT NO]]&lt;&gt;"",EOMONTH(LoanStartDate,ROW(PaymentSchedule[[#This Row],[PMT NO]])-ROW(PaymentSchedule[[#Headers],[PMT NO]])-2)+DAY(LoanStartDate),"")</f>
        <v>48153</v>
      </c>
      <c r="D160" s="19">
        <f>IF(PaymentSchedule[[#This Row],[PMT NO]]&lt;&gt;"",IF(ROW()-ROW(PaymentSchedule[[#Headers],[BEGINNING BALANCE]])=1,LoanAmount,INDEX(PaymentSchedule[ENDING BALANCE],ROW()-ROW(PaymentSchedule[[#Headers],[BEGINNING BALANCE]])-1)),"")</f>
        <v>1661851.1920460435</v>
      </c>
      <c r="E160" s="19">
        <f>IF(PaymentSchedule[[#This Row],[PMT NO]]&lt;&gt;"",ScheduledPayment,"")</f>
        <v>8050.5201209471252</v>
      </c>
      <c r="F16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60" s="19">
        <f>IF(PaymentSchedule[[#This Row],[PMT NO]]&lt;&gt;"",PaymentSchedule[[#This Row],[TOTAL PAYMENT]]-PaymentSchedule[[#This Row],[INTEREST]],"")</f>
        <v>2857.2351458032399</v>
      </c>
      <c r="I160" s="19">
        <f>IF(PaymentSchedule[[#This Row],[PMT NO]]&lt;&gt;"",PaymentSchedule[[#This Row],[BEGINNING BALANCE]]*(InterestRate/PaymentsPerYear),"")</f>
        <v>5193.2849751438853</v>
      </c>
      <c r="J16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1658993.9569002402</v>
      </c>
      <c r="K160" s="19">
        <f>IF(PaymentSchedule[[#This Row],[PMT NO]]&lt;&gt;"",SUM(INDEX(PaymentSchedule[INTEREST],1,1):PaymentSchedule[[#This Row],[INTEREST]]),"")</f>
        <v>858521.45492136176</v>
      </c>
    </row>
    <row r="161" spans="2:11" x14ac:dyDescent="0.3">
      <c r="B161" s="21">
        <f>IF(LoanIsGood,IF(ROW()-ROW(PaymentSchedule[[#Headers],[PMT NO]])&gt;ScheduledNumberOfPayments,"",ROW()-ROW(PaymentSchedule[[#Headers],[PMT NO]])),"")</f>
        <v>150</v>
      </c>
      <c r="C161" s="20">
        <f>IF(PaymentSchedule[[#This Row],[PMT NO]]&lt;&gt;"",EOMONTH(LoanStartDate,ROW(PaymentSchedule[[#This Row],[PMT NO]])-ROW(PaymentSchedule[[#Headers],[PMT NO]])-2)+DAY(LoanStartDate),"")</f>
        <v>48183</v>
      </c>
      <c r="D161" s="19">
        <f>IF(PaymentSchedule[[#This Row],[PMT NO]]&lt;&gt;"",IF(ROW()-ROW(PaymentSchedule[[#Headers],[BEGINNING BALANCE]])=1,LoanAmount,INDEX(PaymentSchedule[ENDING BALANCE],ROW()-ROW(PaymentSchedule[[#Headers],[BEGINNING BALANCE]])-1)),"")</f>
        <v>1658993.9569002402</v>
      </c>
      <c r="E161" s="19">
        <f>IF(PaymentSchedule[[#This Row],[PMT NO]]&lt;&gt;"",ScheduledPayment,"")</f>
        <v>8050.5201209471252</v>
      </c>
      <c r="F16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61" s="19">
        <f>IF(PaymentSchedule[[#This Row],[PMT NO]]&lt;&gt;"",PaymentSchedule[[#This Row],[TOTAL PAYMENT]]-PaymentSchedule[[#This Row],[INTEREST]],"")</f>
        <v>2866.1640056338747</v>
      </c>
      <c r="I161" s="19">
        <f>IF(PaymentSchedule[[#This Row],[PMT NO]]&lt;&gt;"",PaymentSchedule[[#This Row],[BEGINNING BALANCE]]*(InterestRate/PaymentsPerYear),"")</f>
        <v>5184.3561153132505</v>
      </c>
      <c r="J16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1656127.7928946062</v>
      </c>
      <c r="K161" s="19">
        <f>IF(PaymentSchedule[[#This Row],[PMT NO]]&lt;&gt;"",SUM(INDEX(PaymentSchedule[INTEREST],1,1):PaymentSchedule[[#This Row],[INTEREST]]),"")</f>
        <v>863705.811036675</v>
      </c>
    </row>
    <row r="162" spans="2:11" x14ac:dyDescent="0.3">
      <c r="B162" s="21">
        <f>IF(LoanIsGood,IF(ROW()-ROW(PaymentSchedule[[#Headers],[PMT NO]])&gt;ScheduledNumberOfPayments,"",ROW()-ROW(PaymentSchedule[[#Headers],[PMT NO]])),"")</f>
        <v>151</v>
      </c>
      <c r="C162" s="20">
        <f>IF(PaymentSchedule[[#This Row],[PMT NO]]&lt;&gt;"",EOMONTH(LoanStartDate,ROW(PaymentSchedule[[#This Row],[PMT NO]])-ROW(PaymentSchedule[[#Headers],[PMT NO]])-2)+DAY(LoanStartDate),"")</f>
        <v>48214</v>
      </c>
      <c r="D162" s="19">
        <f>IF(PaymentSchedule[[#This Row],[PMT NO]]&lt;&gt;"",IF(ROW()-ROW(PaymentSchedule[[#Headers],[BEGINNING BALANCE]])=1,LoanAmount,INDEX(PaymentSchedule[ENDING BALANCE],ROW()-ROW(PaymentSchedule[[#Headers],[BEGINNING BALANCE]])-1)),"")</f>
        <v>1656127.7928946062</v>
      </c>
      <c r="E162" s="19">
        <f>IF(PaymentSchedule[[#This Row],[PMT NO]]&lt;&gt;"",ScheduledPayment,"")</f>
        <v>8050.5201209471252</v>
      </c>
      <c r="F16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62" s="19">
        <f>IF(PaymentSchedule[[#This Row],[PMT NO]]&lt;&gt;"",PaymentSchedule[[#This Row],[TOTAL PAYMENT]]-PaymentSchedule[[#This Row],[INTEREST]],"")</f>
        <v>2875.1207681514807</v>
      </c>
      <c r="I162" s="19">
        <f>IF(PaymentSchedule[[#This Row],[PMT NO]]&lt;&gt;"",PaymentSchedule[[#This Row],[BEGINNING BALANCE]]*(InterestRate/PaymentsPerYear),"")</f>
        <v>5175.3993527956445</v>
      </c>
      <c r="J16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1653252.6721264548</v>
      </c>
      <c r="K162" s="19">
        <f>IF(PaymentSchedule[[#This Row],[PMT NO]]&lt;&gt;"",SUM(INDEX(PaymentSchedule[INTEREST],1,1):PaymentSchedule[[#This Row],[INTEREST]]),"")</f>
        <v>868881.21038947068</v>
      </c>
    </row>
    <row r="163" spans="2:11" x14ac:dyDescent="0.3">
      <c r="B163" s="21">
        <f>IF(LoanIsGood,IF(ROW()-ROW(PaymentSchedule[[#Headers],[PMT NO]])&gt;ScheduledNumberOfPayments,"",ROW()-ROW(PaymentSchedule[[#Headers],[PMT NO]])),"")</f>
        <v>152</v>
      </c>
      <c r="C163" s="20">
        <f>IF(PaymentSchedule[[#This Row],[PMT NO]]&lt;&gt;"",EOMONTH(LoanStartDate,ROW(PaymentSchedule[[#This Row],[PMT NO]])-ROW(PaymentSchedule[[#Headers],[PMT NO]])-2)+DAY(LoanStartDate),"")</f>
        <v>48245</v>
      </c>
      <c r="D163" s="19">
        <f>IF(PaymentSchedule[[#This Row],[PMT NO]]&lt;&gt;"",IF(ROW()-ROW(PaymentSchedule[[#Headers],[BEGINNING BALANCE]])=1,LoanAmount,INDEX(PaymentSchedule[ENDING BALANCE],ROW()-ROW(PaymentSchedule[[#Headers],[BEGINNING BALANCE]])-1)),"")</f>
        <v>1653252.6721264548</v>
      </c>
      <c r="E163" s="19">
        <f>IF(PaymentSchedule[[#This Row],[PMT NO]]&lt;&gt;"",ScheduledPayment,"")</f>
        <v>8050.5201209471252</v>
      </c>
      <c r="F16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63" s="19">
        <f>IF(PaymentSchedule[[#This Row],[PMT NO]]&lt;&gt;"",PaymentSchedule[[#This Row],[TOTAL PAYMENT]]-PaymentSchedule[[#This Row],[INTEREST]],"")</f>
        <v>2884.1055205519542</v>
      </c>
      <c r="I163" s="19">
        <f>IF(PaymentSchedule[[#This Row],[PMT NO]]&lt;&gt;"",PaymentSchedule[[#This Row],[BEGINNING BALANCE]]*(InterestRate/PaymentsPerYear),"")</f>
        <v>5166.414600395171</v>
      </c>
      <c r="J16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1650368.5666059027</v>
      </c>
      <c r="K163" s="19">
        <f>IF(PaymentSchedule[[#This Row],[PMT NO]]&lt;&gt;"",SUM(INDEX(PaymentSchedule[INTEREST],1,1):PaymentSchedule[[#This Row],[INTEREST]]),"")</f>
        <v>874047.62498986581</v>
      </c>
    </row>
    <row r="164" spans="2:11" x14ac:dyDescent="0.3">
      <c r="B164" s="21">
        <f>IF(LoanIsGood,IF(ROW()-ROW(PaymentSchedule[[#Headers],[PMT NO]])&gt;ScheduledNumberOfPayments,"",ROW()-ROW(PaymentSchedule[[#Headers],[PMT NO]])),"")</f>
        <v>153</v>
      </c>
      <c r="C164" s="20">
        <f>IF(PaymentSchedule[[#This Row],[PMT NO]]&lt;&gt;"",EOMONTH(LoanStartDate,ROW(PaymentSchedule[[#This Row],[PMT NO]])-ROW(PaymentSchedule[[#Headers],[PMT NO]])-2)+DAY(LoanStartDate),"")</f>
        <v>48274</v>
      </c>
      <c r="D164" s="19">
        <f>IF(PaymentSchedule[[#This Row],[PMT NO]]&lt;&gt;"",IF(ROW()-ROW(PaymentSchedule[[#Headers],[BEGINNING BALANCE]])=1,LoanAmount,INDEX(PaymentSchedule[ENDING BALANCE],ROW()-ROW(PaymentSchedule[[#Headers],[BEGINNING BALANCE]])-1)),"")</f>
        <v>1650368.5666059027</v>
      </c>
      <c r="E164" s="19">
        <f>IF(PaymentSchedule[[#This Row],[PMT NO]]&lt;&gt;"",ScheduledPayment,"")</f>
        <v>8050.5201209471252</v>
      </c>
      <c r="F16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64" s="19">
        <f>IF(PaymentSchedule[[#This Row],[PMT NO]]&lt;&gt;"",PaymentSchedule[[#This Row],[TOTAL PAYMENT]]-PaymentSchedule[[#This Row],[INTEREST]],"")</f>
        <v>2893.1183503036791</v>
      </c>
      <c r="I164" s="19">
        <f>IF(PaymentSchedule[[#This Row],[PMT NO]]&lt;&gt;"",PaymentSchedule[[#This Row],[BEGINNING BALANCE]]*(InterestRate/PaymentsPerYear),"")</f>
        <v>5157.4017706434461</v>
      </c>
      <c r="J16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1647475.448255599</v>
      </c>
      <c r="K164" s="19">
        <f>IF(PaymentSchedule[[#This Row],[PMT NO]]&lt;&gt;"",SUM(INDEX(PaymentSchedule[INTEREST],1,1):PaymentSchedule[[#This Row],[INTEREST]]),"")</f>
        <v>879205.02676050924</v>
      </c>
    </row>
    <row r="165" spans="2:11" x14ac:dyDescent="0.3">
      <c r="B165" s="21">
        <f>IF(LoanIsGood,IF(ROW()-ROW(PaymentSchedule[[#Headers],[PMT NO]])&gt;ScheduledNumberOfPayments,"",ROW()-ROW(PaymentSchedule[[#Headers],[PMT NO]])),"")</f>
        <v>154</v>
      </c>
      <c r="C165" s="20">
        <f>IF(PaymentSchedule[[#This Row],[PMT NO]]&lt;&gt;"",EOMONTH(LoanStartDate,ROW(PaymentSchedule[[#This Row],[PMT NO]])-ROW(PaymentSchedule[[#Headers],[PMT NO]])-2)+DAY(LoanStartDate),"")</f>
        <v>48305</v>
      </c>
      <c r="D165" s="19">
        <f>IF(PaymentSchedule[[#This Row],[PMT NO]]&lt;&gt;"",IF(ROW()-ROW(PaymentSchedule[[#Headers],[BEGINNING BALANCE]])=1,LoanAmount,INDEX(PaymentSchedule[ENDING BALANCE],ROW()-ROW(PaymentSchedule[[#Headers],[BEGINNING BALANCE]])-1)),"")</f>
        <v>1647475.448255599</v>
      </c>
      <c r="E165" s="19">
        <f>IF(PaymentSchedule[[#This Row],[PMT NO]]&lt;&gt;"",ScheduledPayment,"")</f>
        <v>8050.5201209471252</v>
      </c>
      <c r="F16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65" s="19">
        <f>IF(PaymentSchedule[[#This Row],[PMT NO]]&lt;&gt;"",PaymentSchedule[[#This Row],[TOTAL PAYMENT]]-PaymentSchedule[[#This Row],[INTEREST]],"")</f>
        <v>2902.1593451483786</v>
      </c>
      <c r="I165" s="19">
        <f>IF(PaymentSchedule[[#This Row],[PMT NO]]&lt;&gt;"",PaymentSchedule[[#This Row],[BEGINNING BALANCE]]*(InterestRate/PaymentsPerYear),"")</f>
        <v>5148.3607757987465</v>
      </c>
      <c r="J16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1644573.2889104506</v>
      </c>
      <c r="K165" s="19">
        <f>IF(PaymentSchedule[[#This Row],[PMT NO]]&lt;&gt;"",SUM(INDEX(PaymentSchedule[INTEREST],1,1):PaymentSchedule[[#This Row],[INTEREST]]),"")</f>
        <v>884353.38753630803</v>
      </c>
    </row>
    <row r="166" spans="2:11" x14ac:dyDescent="0.3">
      <c r="B166" s="21">
        <f>IF(LoanIsGood,IF(ROW()-ROW(PaymentSchedule[[#Headers],[PMT NO]])&gt;ScheduledNumberOfPayments,"",ROW()-ROW(PaymentSchedule[[#Headers],[PMT NO]])),"")</f>
        <v>155</v>
      </c>
      <c r="C166" s="20">
        <f>IF(PaymentSchedule[[#This Row],[PMT NO]]&lt;&gt;"",EOMONTH(LoanStartDate,ROW(PaymentSchedule[[#This Row],[PMT NO]])-ROW(PaymentSchedule[[#Headers],[PMT NO]])-2)+DAY(LoanStartDate),"")</f>
        <v>48335</v>
      </c>
      <c r="D166" s="19">
        <f>IF(PaymentSchedule[[#This Row],[PMT NO]]&lt;&gt;"",IF(ROW()-ROW(PaymentSchedule[[#Headers],[BEGINNING BALANCE]])=1,LoanAmount,INDEX(PaymentSchedule[ENDING BALANCE],ROW()-ROW(PaymentSchedule[[#Headers],[BEGINNING BALANCE]])-1)),"")</f>
        <v>1644573.2889104506</v>
      </c>
      <c r="E166" s="19">
        <f>IF(PaymentSchedule[[#This Row],[PMT NO]]&lt;&gt;"",ScheduledPayment,"")</f>
        <v>8050.5201209471252</v>
      </c>
      <c r="F16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66" s="19">
        <f>IF(PaymentSchedule[[#This Row],[PMT NO]]&lt;&gt;"",PaymentSchedule[[#This Row],[TOTAL PAYMENT]]-PaymentSchedule[[#This Row],[INTEREST]],"")</f>
        <v>2911.2285931019669</v>
      </c>
      <c r="I166" s="19">
        <f>IF(PaymentSchedule[[#This Row],[PMT NO]]&lt;&gt;"",PaymentSchedule[[#This Row],[BEGINNING BALANCE]]*(InterestRate/PaymentsPerYear),"")</f>
        <v>5139.2915278451583</v>
      </c>
      <c r="J16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1641662.0603173487</v>
      </c>
      <c r="K166" s="19">
        <f>IF(PaymentSchedule[[#This Row],[PMT NO]]&lt;&gt;"",SUM(INDEX(PaymentSchedule[INTEREST],1,1):PaymentSchedule[[#This Row],[INTEREST]]),"")</f>
        <v>889492.67906415323</v>
      </c>
    </row>
    <row r="167" spans="2:11" x14ac:dyDescent="0.3">
      <c r="B167" s="21">
        <f>IF(LoanIsGood,IF(ROW()-ROW(PaymentSchedule[[#Headers],[PMT NO]])&gt;ScheduledNumberOfPayments,"",ROW()-ROW(PaymentSchedule[[#Headers],[PMT NO]])),"")</f>
        <v>156</v>
      </c>
      <c r="C167" s="20">
        <f>IF(PaymentSchedule[[#This Row],[PMT NO]]&lt;&gt;"",EOMONTH(LoanStartDate,ROW(PaymentSchedule[[#This Row],[PMT NO]])-ROW(PaymentSchedule[[#Headers],[PMT NO]])-2)+DAY(LoanStartDate),"")</f>
        <v>48366</v>
      </c>
      <c r="D167" s="19">
        <f>IF(PaymentSchedule[[#This Row],[PMT NO]]&lt;&gt;"",IF(ROW()-ROW(PaymentSchedule[[#Headers],[BEGINNING BALANCE]])=1,LoanAmount,INDEX(PaymentSchedule[ENDING BALANCE],ROW()-ROW(PaymentSchedule[[#Headers],[BEGINNING BALANCE]])-1)),"")</f>
        <v>1641662.0603173487</v>
      </c>
      <c r="E167" s="19">
        <f>IF(PaymentSchedule[[#This Row],[PMT NO]]&lt;&gt;"",ScheduledPayment,"")</f>
        <v>8050.5201209471252</v>
      </c>
      <c r="F16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67" s="19">
        <f>IF(PaymentSchedule[[#This Row],[PMT NO]]&lt;&gt;"",PaymentSchedule[[#This Row],[TOTAL PAYMENT]]-PaymentSchedule[[#This Row],[INTEREST]],"")</f>
        <v>2920.3261824554111</v>
      </c>
      <c r="I167" s="19">
        <f>IF(PaymentSchedule[[#This Row],[PMT NO]]&lt;&gt;"",PaymentSchedule[[#This Row],[BEGINNING BALANCE]]*(InterestRate/PaymentsPerYear),"")</f>
        <v>5130.1939384917141</v>
      </c>
      <c r="J16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1638741.7341348932</v>
      </c>
      <c r="K167" s="19">
        <f>IF(PaymentSchedule[[#This Row],[PMT NO]]&lt;&gt;"",SUM(INDEX(PaymentSchedule[INTEREST],1,1):PaymentSchedule[[#This Row],[INTEREST]]),"")</f>
        <v>894622.87300264498</v>
      </c>
    </row>
    <row r="168" spans="2:11" x14ac:dyDescent="0.3">
      <c r="B168" s="21">
        <f>IF(LoanIsGood,IF(ROW()-ROW(PaymentSchedule[[#Headers],[PMT NO]])&gt;ScheduledNumberOfPayments,"",ROW()-ROW(PaymentSchedule[[#Headers],[PMT NO]])),"")</f>
        <v>157</v>
      </c>
      <c r="C168" s="20">
        <f>IF(PaymentSchedule[[#This Row],[PMT NO]]&lt;&gt;"",EOMONTH(LoanStartDate,ROW(PaymentSchedule[[#This Row],[PMT NO]])-ROW(PaymentSchedule[[#Headers],[PMT NO]])-2)+DAY(LoanStartDate),"")</f>
        <v>48396</v>
      </c>
      <c r="D168" s="19">
        <f>IF(PaymentSchedule[[#This Row],[PMT NO]]&lt;&gt;"",IF(ROW()-ROW(PaymentSchedule[[#Headers],[BEGINNING BALANCE]])=1,LoanAmount,INDEX(PaymentSchedule[ENDING BALANCE],ROW()-ROW(PaymentSchedule[[#Headers],[BEGINNING BALANCE]])-1)),"")</f>
        <v>1638741.7341348932</v>
      </c>
      <c r="E168" s="19">
        <f>IF(PaymentSchedule[[#This Row],[PMT NO]]&lt;&gt;"",ScheduledPayment,"")</f>
        <v>8050.5201209471252</v>
      </c>
      <c r="F16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68" s="19">
        <f>IF(PaymentSchedule[[#This Row],[PMT NO]]&lt;&gt;"",PaymentSchedule[[#This Row],[TOTAL PAYMENT]]-PaymentSchedule[[#This Row],[INTEREST]],"")</f>
        <v>2929.4522017755844</v>
      </c>
      <c r="I168" s="19">
        <f>IF(PaymentSchedule[[#This Row],[PMT NO]]&lt;&gt;"",PaymentSchedule[[#This Row],[BEGINNING BALANCE]]*(InterestRate/PaymentsPerYear),"")</f>
        <v>5121.0679191715408</v>
      </c>
      <c r="J16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1635812.2819331177</v>
      </c>
      <c r="K168" s="19">
        <f>IF(PaymentSchedule[[#This Row],[PMT NO]]&lt;&gt;"",SUM(INDEX(PaymentSchedule[INTEREST],1,1):PaymentSchedule[[#This Row],[INTEREST]]),"")</f>
        <v>899743.94092181651</v>
      </c>
    </row>
    <row r="169" spans="2:11" x14ac:dyDescent="0.3">
      <c r="B169" s="21">
        <f>IF(LoanIsGood,IF(ROW()-ROW(PaymentSchedule[[#Headers],[PMT NO]])&gt;ScheduledNumberOfPayments,"",ROW()-ROW(PaymentSchedule[[#Headers],[PMT NO]])),"")</f>
        <v>158</v>
      </c>
      <c r="C169" s="20">
        <f>IF(PaymentSchedule[[#This Row],[PMT NO]]&lt;&gt;"",EOMONTH(LoanStartDate,ROW(PaymentSchedule[[#This Row],[PMT NO]])-ROW(PaymentSchedule[[#Headers],[PMT NO]])-2)+DAY(LoanStartDate),"")</f>
        <v>48427</v>
      </c>
      <c r="D169" s="19">
        <f>IF(PaymentSchedule[[#This Row],[PMT NO]]&lt;&gt;"",IF(ROW()-ROW(PaymentSchedule[[#Headers],[BEGINNING BALANCE]])=1,LoanAmount,INDEX(PaymentSchedule[ENDING BALANCE],ROW()-ROW(PaymentSchedule[[#Headers],[BEGINNING BALANCE]])-1)),"")</f>
        <v>1635812.2819331177</v>
      </c>
      <c r="E169" s="19">
        <f>IF(PaymentSchedule[[#This Row],[PMT NO]]&lt;&gt;"",ScheduledPayment,"")</f>
        <v>8050.5201209471252</v>
      </c>
      <c r="F16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69" s="19">
        <f>IF(PaymentSchedule[[#This Row],[PMT NO]]&lt;&gt;"",PaymentSchedule[[#This Row],[TOTAL PAYMENT]]-PaymentSchedule[[#This Row],[INTEREST]],"")</f>
        <v>2938.606739906133</v>
      </c>
      <c r="I169" s="19">
        <f>IF(PaymentSchedule[[#This Row],[PMT NO]]&lt;&gt;"",PaymentSchedule[[#This Row],[BEGINNING BALANCE]]*(InterestRate/PaymentsPerYear),"")</f>
        <v>5111.9133810409921</v>
      </c>
      <c r="J16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1632873.6751932115</v>
      </c>
      <c r="K169" s="19">
        <f>IF(PaymentSchedule[[#This Row],[PMT NO]]&lt;&gt;"",SUM(INDEX(PaymentSchedule[INTEREST],1,1):PaymentSchedule[[#This Row],[INTEREST]]),"")</f>
        <v>904855.85430285754</v>
      </c>
    </row>
    <row r="170" spans="2:11" x14ac:dyDescent="0.3">
      <c r="B170" s="21">
        <f>IF(LoanIsGood,IF(ROW()-ROW(PaymentSchedule[[#Headers],[PMT NO]])&gt;ScheduledNumberOfPayments,"",ROW()-ROW(PaymentSchedule[[#Headers],[PMT NO]])),"")</f>
        <v>159</v>
      </c>
      <c r="C170" s="20">
        <f>IF(PaymentSchedule[[#This Row],[PMT NO]]&lt;&gt;"",EOMONTH(LoanStartDate,ROW(PaymentSchedule[[#This Row],[PMT NO]])-ROW(PaymentSchedule[[#Headers],[PMT NO]])-2)+DAY(LoanStartDate),"")</f>
        <v>48458</v>
      </c>
      <c r="D170" s="19">
        <f>IF(PaymentSchedule[[#This Row],[PMT NO]]&lt;&gt;"",IF(ROW()-ROW(PaymentSchedule[[#Headers],[BEGINNING BALANCE]])=1,LoanAmount,INDEX(PaymentSchedule[ENDING BALANCE],ROW()-ROW(PaymentSchedule[[#Headers],[BEGINNING BALANCE]])-1)),"")</f>
        <v>1632873.6751932115</v>
      </c>
      <c r="E170" s="19">
        <f>IF(PaymentSchedule[[#This Row],[PMT NO]]&lt;&gt;"",ScheduledPayment,"")</f>
        <v>8050.5201209471252</v>
      </c>
      <c r="F17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70" s="19">
        <f>IF(PaymentSchedule[[#This Row],[PMT NO]]&lt;&gt;"",PaymentSchedule[[#This Row],[TOTAL PAYMENT]]-PaymentSchedule[[#This Row],[INTEREST]],"")</f>
        <v>2947.7898859683391</v>
      </c>
      <c r="I170" s="19">
        <f>IF(PaymentSchedule[[#This Row],[PMT NO]]&lt;&gt;"",PaymentSchedule[[#This Row],[BEGINNING BALANCE]]*(InterestRate/PaymentsPerYear),"")</f>
        <v>5102.730234978786</v>
      </c>
      <c r="J17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1629925.8853072431</v>
      </c>
      <c r="K170" s="19">
        <f>IF(PaymentSchedule[[#This Row],[PMT NO]]&lt;&gt;"",SUM(INDEX(PaymentSchedule[INTEREST],1,1):PaymentSchedule[[#This Row],[INTEREST]]),"")</f>
        <v>909958.58453783637</v>
      </c>
    </row>
    <row r="171" spans="2:11" x14ac:dyDescent="0.3">
      <c r="B171" s="21">
        <f>IF(LoanIsGood,IF(ROW()-ROW(PaymentSchedule[[#Headers],[PMT NO]])&gt;ScheduledNumberOfPayments,"",ROW()-ROW(PaymentSchedule[[#Headers],[PMT NO]])),"")</f>
        <v>160</v>
      </c>
      <c r="C171" s="20">
        <f>IF(PaymentSchedule[[#This Row],[PMT NO]]&lt;&gt;"",EOMONTH(LoanStartDate,ROW(PaymentSchedule[[#This Row],[PMT NO]])-ROW(PaymentSchedule[[#Headers],[PMT NO]])-2)+DAY(LoanStartDate),"")</f>
        <v>48488</v>
      </c>
      <c r="D171" s="19">
        <f>IF(PaymentSchedule[[#This Row],[PMT NO]]&lt;&gt;"",IF(ROW()-ROW(PaymentSchedule[[#Headers],[BEGINNING BALANCE]])=1,LoanAmount,INDEX(PaymentSchedule[ENDING BALANCE],ROW()-ROW(PaymentSchedule[[#Headers],[BEGINNING BALANCE]])-1)),"")</f>
        <v>1629925.8853072431</v>
      </c>
      <c r="E171" s="19">
        <f>IF(PaymentSchedule[[#This Row],[PMT NO]]&lt;&gt;"",ScheduledPayment,"")</f>
        <v>8050.5201209471252</v>
      </c>
      <c r="F17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71" s="19">
        <f>IF(PaymentSchedule[[#This Row],[PMT NO]]&lt;&gt;"",PaymentSchedule[[#This Row],[TOTAL PAYMENT]]-PaymentSchedule[[#This Row],[INTEREST]],"")</f>
        <v>2957.0017293619912</v>
      </c>
      <c r="I171" s="19">
        <f>IF(PaymentSchedule[[#This Row],[PMT NO]]&lt;&gt;"",PaymentSchedule[[#This Row],[BEGINNING BALANCE]]*(InterestRate/PaymentsPerYear),"")</f>
        <v>5093.5183915851339</v>
      </c>
      <c r="J17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1626968.8835778811</v>
      </c>
      <c r="K171" s="19">
        <f>IF(PaymentSchedule[[#This Row],[PMT NO]]&lt;&gt;"",SUM(INDEX(PaymentSchedule[INTEREST],1,1):PaymentSchedule[[#This Row],[INTEREST]]),"")</f>
        <v>915052.10292942147</v>
      </c>
    </row>
    <row r="172" spans="2:11" x14ac:dyDescent="0.3">
      <c r="B172" s="21">
        <f>IF(LoanIsGood,IF(ROW()-ROW(PaymentSchedule[[#Headers],[PMT NO]])&gt;ScheduledNumberOfPayments,"",ROW()-ROW(PaymentSchedule[[#Headers],[PMT NO]])),"")</f>
        <v>161</v>
      </c>
      <c r="C172" s="20">
        <f>IF(PaymentSchedule[[#This Row],[PMT NO]]&lt;&gt;"",EOMONTH(LoanStartDate,ROW(PaymentSchedule[[#This Row],[PMT NO]])-ROW(PaymentSchedule[[#Headers],[PMT NO]])-2)+DAY(LoanStartDate),"")</f>
        <v>48519</v>
      </c>
      <c r="D172" s="19">
        <f>IF(PaymentSchedule[[#This Row],[PMT NO]]&lt;&gt;"",IF(ROW()-ROW(PaymentSchedule[[#Headers],[BEGINNING BALANCE]])=1,LoanAmount,INDEX(PaymentSchedule[ENDING BALANCE],ROW()-ROW(PaymentSchedule[[#Headers],[BEGINNING BALANCE]])-1)),"")</f>
        <v>1626968.8835778811</v>
      </c>
      <c r="E172" s="19">
        <f>IF(PaymentSchedule[[#This Row],[PMT NO]]&lt;&gt;"",ScheduledPayment,"")</f>
        <v>8050.5201209471252</v>
      </c>
      <c r="F17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72" s="19">
        <f>IF(PaymentSchedule[[#This Row],[PMT NO]]&lt;&gt;"",PaymentSchedule[[#This Row],[TOTAL PAYMENT]]-PaymentSchedule[[#This Row],[INTEREST]],"")</f>
        <v>2966.2423597662473</v>
      </c>
      <c r="I172" s="19">
        <f>IF(PaymentSchedule[[#This Row],[PMT NO]]&lt;&gt;"",PaymentSchedule[[#This Row],[BEGINNING BALANCE]]*(InterestRate/PaymentsPerYear),"")</f>
        <v>5084.2777611808779</v>
      </c>
      <c r="J17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1624002.6412181149</v>
      </c>
      <c r="K172" s="19">
        <f>IF(PaymentSchedule[[#This Row],[PMT NO]]&lt;&gt;"",SUM(INDEX(PaymentSchedule[INTEREST],1,1):PaymentSchedule[[#This Row],[INTEREST]]),"")</f>
        <v>920136.38069060235</v>
      </c>
    </row>
    <row r="173" spans="2:11" x14ac:dyDescent="0.3">
      <c r="B173" s="21">
        <f>IF(LoanIsGood,IF(ROW()-ROW(PaymentSchedule[[#Headers],[PMT NO]])&gt;ScheduledNumberOfPayments,"",ROW()-ROW(PaymentSchedule[[#Headers],[PMT NO]])),"")</f>
        <v>162</v>
      </c>
      <c r="C173" s="20">
        <f>IF(PaymentSchedule[[#This Row],[PMT NO]]&lt;&gt;"",EOMONTH(LoanStartDate,ROW(PaymentSchedule[[#This Row],[PMT NO]])-ROW(PaymentSchedule[[#Headers],[PMT NO]])-2)+DAY(LoanStartDate),"")</f>
        <v>48549</v>
      </c>
      <c r="D173" s="19">
        <f>IF(PaymentSchedule[[#This Row],[PMT NO]]&lt;&gt;"",IF(ROW()-ROW(PaymentSchedule[[#Headers],[BEGINNING BALANCE]])=1,LoanAmount,INDEX(PaymentSchedule[ENDING BALANCE],ROW()-ROW(PaymentSchedule[[#Headers],[BEGINNING BALANCE]])-1)),"")</f>
        <v>1624002.6412181149</v>
      </c>
      <c r="E173" s="19">
        <f>IF(PaymentSchedule[[#This Row],[PMT NO]]&lt;&gt;"",ScheduledPayment,"")</f>
        <v>8050.5201209471252</v>
      </c>
      <c r="F17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73" s="19">
        <f>IF(PaymentSchedule[[#This Row],[PMT NO]]&lt;&gt;"",PaymentSchedule[[#This Row],[TOTAL PAYMENT]]-PaymentSchedule[[#This Row],[INTEREST]],"")</f>
        <v>2975.5118671405162</v>
      </c>
      <c r="I173" s="19">
        <f>IF(PaymentSchedule[[#This Row],[PMT NO]]&lt;&gt;"",PaymentSchedule[[#This Row],[BEGINNING BALANCE]]*(InterestRate/PaymentsPerYear),"")</f>
        <v>5075.008253806609</v>
      </c>
      <c r="J17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1621027.1293509745</v>
      </c>
      <c r="K173" s="19">
        <f>IF(PaymentSchedule[[#This Row],[PMT NO]]&lt;&gt;"",SUM(INDEX(PaymentSchedule[INTEREST],1,1):PaymentSchedule[[#This Row],[INTEREST]]),"")</f>
        <v>925211.38894440897</v>
      </c>
    </row>
    <row r="174" spans="2:11" x14ac:dyDescent="0.3">
      <c r="B174" s="21">
        <f>IF(LoanIsGood,IF(ROW()-ROW(PaymentSchedule[[#Headers],[PMT NO]])&gt;ScheduledNumberOfPayments,"",ROW()-ROW(PaymentSchedule[[#Headers],[PMT NO]])),"")</f>
        <v>163</v>
      </c>
      <c r="C174" s="20">
        <f>IF(PaymentSchedule[[#This Row],[PMT NO]]&lt;&gt;"",EOMONTH(LoanStartDate,ROW(PaymentSchedule[[#This Row],[PMT NO]])-ROW(PaymentSchedule[[#Headers],[PMT NO]])-2)+DAY(LoanStartDate),"")</f>
        <v>48580</v>
      </c>
      <c r="D174" s="19">
        <f>IF(PaymentSchedule[[#This Row],[PMT NO]]&lt;&gt;"",IF(ROW()-ROW(PaymentSchedule[[#Headers],[BEGINNING BALANCE]])=1,LoanAmount,INDEX(PaymentSchedule[ENDING BALANCE],ROW()-ROW(PaymentSchedule[[#Headers],[BEGINNING BALANCE]])-1)),"")</f>
        <v>1621027.1293509745</v>
      </c>
      <c r="E174" s="19">
        <f>IF(PaymentSchedule[[#This Row],[PMT NO]]&lt;&gt;"",ScheduledPayment,"")</f>
        <v>8050.5201209471252</v>
      </c>
      <c r="F17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74" s="19">
        <f>IF(PaymentSchedule[[#This Row],[PMT NO]]&lt;&gt;"",PaymentSchedule[[#This Row],[TOTAL PAYMENT]]-PaymentSchedule[[#This Row],[INTEREST]],"")</f>
        <v>2984.8103417253305</v>
      </c>
      <c r="I174" s="19">
        <f>IF(PaymentSchedule[[#This Row],[PMT NO]]&lt;&gt;"",PaymentSchedule[[#This Row],[BEGINNING BALANCE]]*(InterestRate/PaymentsPerYear),"")</f>
        <v>5065.7097792217946</v>
      </c>
      <c r="J17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1618042.3190092491</v>
      </c>
      <c r="K174" s="19">
        <f>IF(PaymentSchedule[[#This Row],[PMT NO]]&lt;&gt;"",SUM(INDEX(PaymentSchedule[INTEREST],1,1):PaymentSchedule[[#This Row],[INTEREST]]),"")</f>
        <v>930277.09872363077</v>
      </c>
    </row>
    <row r="175" spans="2:11" x14ac:dyDescent="0.3">
      <c r="B175" s="21">
        <f>IF(LoanIsGood,IF(ROW()-ROW(PaymentSchedule[[#Headers],[PMT NO]])&gt;ScheduledNumberOfPayments,"",ROW()-ROW(PaymentSchedule[[#Headers],[PMT NO]])),"")</f>
        <v>164</v>
      </c>
      <c r="C175" s="20">
        <f>IF(PaymentSchedule[[#This Row],[PMT NO]]&lt;&gt;"",EOMONTH(LoanStartDate,ROW(PaymentSchedule[[#This Row],[PMT NO]])-ROW(PaymentSchedule[[#Headers],[PMT NO]])-2)+DAY(LoanStartDate),"")</f>
        <v>48611</v>
      </c>
      <c r="D175" s="19">
        <f>IF(PaymentSchedule[[#This Row],[PMT NO]]&lt;&gt;"",IF(ROW()-ROW(PaymentSchedule[[#Headers],[BEGINNING BALANCE]])=1,LoanAmount,INDEX(PaymentSchedule[ENDING BALANCE],ROW()-ROW(PaymentSchedule[[#Headers],[BEGINNING BALANCE]])-1)),"")</f>
        <v>1618042.3190092491</v>
      </c>
      <c r="E175" s="19">
        <f>IF(PaymentSchedule[[#This Row],[PMT NO]]&lt;&gt;"",ScheduledPayment,"")</f>
        <v>8050.5201209471252</v>
      </c>
      <c r="F17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75" s="19">
        <f>IF(PaymentSchedule[[#This Row],[PMT NO]]&lt;&gt;"",PaymentSchedule[[#This Row],[TOTAL PAYMENT]]-PaymentSchedule[[#This Row],[INTEREST]],"")</f>
        <v>2994.1378740432219</v>
      </c>
      <c r="I175" s="19">
        <f>IF(PaymentSchedule[[#This Row],[PMT NO]]&lt;&gt;"",PaymentSchedule[[#This Row],[BEGINNING BALANCE]]*(InterestRate/PaymentsPerYear),"")</f>
        <v>5056.3822469039033</v>
      </c>
      <c r="J17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1615048.1811352058</v>
      </c>
      <c r="K175" s="19">
        <f>IF(PaymentSchedule[[#This Row],[PMT NO]]&lt;&gt;"",SUM(INDEX(PaymentSchedule[INTEREST],1,1):PaymentSchedule[[#This Row],[INTEREST]]),"")</f>
        <v>935333.48097053473</v>
      </c>
    </row>
    <row r="176" spans="2:11" x14ac:dyDescent="0.3">
      <c r="B176" s="21">
        <f>IF(LoanIsGood,IF(ROW()-ROW(PaymentSchedule[[#Headers],[PMT NO]])&gt;ScheduledNumberOfPayments,"",ROW()-ROW(PaymentSchedule[[#Headers],[PMT NO]])),"")</f>
        <v>165</v>
      </c>
      <c r="C176" s="20">
        <f>IF(PaymentSchedule[[#This Row],[PMT NO]]&lt;&gt;"",EOMONTH(LoanStartDate,ROW(PaymentSchedule[[#This Row],[PMT NO]])-ROW(PaymentSchedule[[#Headers],[PMT NO]])-2)+DAY(LoanStartDate),"")</f>
        <v>48639</v>
      </c>
      <c r="D176" s="19">
        <f>IF(PaymentSchedule[[#This Row],[PMT NO]]&lt;&gt;"",IF(ROW()-ROW(PaymentSchedule[[#Headers],[BEGINNING BALANCE]])=1,LoanAmount,INDEX(PaymentSchedule[ENDING BALANCE],ROW()-ROW(PaymentSchedule[[#Headers],[BEGINNING BALANCE]])-1)),"")</f>
        <v>1615048.1811352058</v>
      </c>
      <c r="E176" s="19">
        <f>IF(PaymentSchedule[[#This Row],[PMT NO]]&lt;&gt;"",ScheduledPayment,"")</f>
        <v>8050.5201209471252</v>
      </c>
      <c r="F17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76" s="19">
        <f>IF(PaymentSchedule[[#This Row],[PMT NO]]&lt;&gt;"",PaymentSchedule[[#This Row],[TOTAL PAYMENT]]-PaymentSchedule[[#This Row],[INTEREST]],"")</f>
        <v>3003.4945548996075</v>
      </c>
      <c r="I176" s="19">
        <f>IF(PaymentSchedule[[#This Row],[PMT NO]]&lt;&gt;"",PaymentSchedule[[#This Row],[BEGINNING BALANCE]]*(InterestRate/PaymentsPerYear),"")</f>
        <v>5047.0255660475177</v>
      </c>
      <c r="J17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1612044.6865803062</v>
      </c>
      <c r="K176" s="19">
        <f>IF(PaymentSchedule[[#This Row],[PMT NO]]&lt;&gt;"",SUM(INDEX(PaymentSchedule[INTEREST],1,1):PaymentSchedule[[#This Row],[INTEREST]]),"")</f>
        <v>940380.50653658225</v>
      </c>
    </row>
    <row r="177" spans="2:11" x14ac:dyDescent="0.3">
      <c r="B177" s="21">
        <f>IF(LoanIsGood,IF(ROW()-ROW(PaymentSchedule[[#Headers],[PMT NO]])&gt;ScheduledNumberOfPayments,"",ROW()-ROW(PaymentSchedule[[#Headers],[PMT NO]])),"")</f>
        <v>166</v>
      </c>
      <c r="C177" s="20">
        <f>IF(PaymentSchedule[[#This Row],[PMT NO]]&lt;&gt;"",EOMONTH(LoanStartDate,ROW(PaymentSchedule[[#This Row],[PMT NO]])-ROW(PaymentSchedule[[#Headers],[PMT NO]])-2)+DAY(LoanStartDate),"")</f>
        <v>48670</v>
      </c>
      <c r="D177" s="19">
        <f>IF(PaymentSchedule[[#This Row],[PMT NO]]&lt;&gt;"",IF(ROW()-ROW(PaymentSchedule[[#Headers],[BEGINNING BALANCE]])=1,LoanAmount,INDEX(PaymentSchedule[ENDING BALANCE],ROW()-ROW(PaymentSchedule[[#Headers],[BEGINNING BALANCE]])-1)),"")</f>
        <v>1612044.6865803062</v>
      </c>
      <c r="E177" s="19">
        <f>IF(PaymentSchedule[[#This Row],[PMT NO]]&lt;&gt;"",ScheduledPayment,"")</f>
        <v>8050.5201209471252</v>
      </c>
      <c r="F17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77" s="19">
        <f>IF(PaymentSchedule[[#This Row],[PMT NO]]&lt;&gt;"",PaymentSchedule[[#This Row],[TOTAL PAYMENT]]-PaymentSchedule[[#This Row],[INTEREST]],"")</f>
        <v>3012.8804753836685</v>
      </c>
      <c r="I177" s="19">
        <f>IF(PaymentSchedule[[#This Row],[PMT NO]]&lt;&gt;"",PaymentSchedule[[#This Row],[BEGINNING BALANCE]]*(InterestRate/PaymentsPerYear),"")</f>
        <v>5037.6396455634567</v>
      </c>
      <c r="J17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1609031.8061049224</v>
      </c>
      <c r="K177" s="19">
        <f>IF(PaymentSchedule[[#This Row],[PMT NO]]&lt;&gt;"",SUM(INDEX(PaymentSchedule[INTEREST],1,1):PaymentSchedule[[#This Row],[INTEREST]]),"")</f>
        <v>945418.14618214569</v>
      </c>
    </row>
    <row r="178" spans="2:11" x14ac:dyDescent="0.3">
      <c r="B178" s="21">
        <f>IF(LoanIsGood,IF(ROW()-ROW(PaymentSchedule[[#Headers],[PMT NO]])&gt;ScheduledNumberOfPayments,"",ROW()-ROW(PaymentSchedule[[#Headers],[PMT NO]])),"")</f>
        <v>167</v>
      </c>
      <c r="C178" s="20">
        <f>IF(PaymentSchedule[[#This Row],[PMT NO]]&lt;&gt;"",EOMONTH(LoanStartDate,ROW(PaymentSchedule[[#This Row],[PMT NO]])-ROW(PaymentSchedule[[#Headers],[PMT NO]])-2)+DAY(LoanStartDate),"")</f>
        <v>48700</v>
      </c>
      <c r="D178" s="19">
        <f>IF(PaymentSchedule[[#This Row],[PMT NO]]&lt;&gt;"",IF(ROW()-ROW(PaymentSchedule[[#Headers],[BEGINNING BALANCE]])=1,LoanAmount,INDEX(PaymentSchedule[ENDING BALANCE],ROW()-ROW(PaymentSchedule[[#Headers],[BEGINNING BALANCE]])-1)),"")</f>
        <v>1609031.8061049224</v>
      </c>
      <c r="E178" s="19">
        <f>IF(PaymentSchedule[[#This Row],[PMT NO]]&lt;&gt;"",ScheduledPayment,"")</f>
        <v>8050.5201209471252</v>
      </c>
      <c r="F17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78" s="19">
        <f>IF(PaymentSchedule[[#This Row],[PMT NO]]&lt;&gt;"",PaymentSchedule[[#This Row],[TOTAL PAYMENT]]-PaymentSchedule[[#This Row],[INTEREST]],"")</f>
        <v>3022.2957268692426</v>
      </c>
      <c r="I178" s="19">
        <f>IF(PaymentSchedule[[#This Row],[PMT NO]]&lt;&gt;"",PaymentSchedule[[#This Row],[BEGINNING BALANCE]]*(InterestRate/PaymentsPerYear),"")</f>
        <v>5028.2243940778826</v>
      </c>
      <c r="J17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1606009.5103780532</v>
      </c>
      <c r="K178" s="19">
        <f>IF(PaymentSchedule[[#This Row],[PMT NO]]&lt;&gt;"",SUM(INDEX(PaymentSchedule[INTEREST],1,1):PaymentSchedule[[#This Row],[INTEREST]]),"")</f>
        <v>950446.37057622359</v>
      </c>
    </row>
    <row r="179" spans="2:11" x14ac:dyDescent="0.3">
      <c r="B179" s="21">
        <f>IF(LoanIsGood,IF(ROW()-ROW(PaymentSchedule[[#Headers],[PMT NO]])&gt;ScheduledNumberOfPayments,"",ROW()-ROW(PaymentSchedule[[#Headers],[PMT NO]])),"")</f>
        <v>168</v>
      </c>
      <c r="C179" s="20">
        <f>IF(PaymentSchedule[[#This Row],[PMT NO]]&lt;&gt;"",EOMONTH(LoanStartDate,ROW(PaymentSchedule[[#This Row],[PMT NO]])-ROW(PaymentSchedule[[#Headers],[PMT NO]])-2)+DAY(LoanStartDate),"")</f>
        <v>48731</v>
      </c>
      <c r="D179" s="19">
        <f>IF(PaymentSchedule[[#This Row],[PMT NO]]&lt;&gt;"",IF(ROW()-ROW(PaymentSchedule[[#Headers],[BEGINNING BALANCE]])=1,LoanAmount,INDEX(PaymentSchedule[ENDING BALANCE],ROW()-ROW(PaymentSchedule[[#Headers],[BEGINNING BALANCE]])-1)),"")</f>
        <v>1606009.5103780532</v>
      </c>
      <c r="E179" s="19">
        <f>IF(PaymentSchedule[[#This Row],[PMT NO]]&lt;&gt;"",ScheduledPayment,"")</f>
        <v>8050.5201209471252</v>
      </c>
      <c r="F17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79" s="19">
        <f>IF(PaymentSchedule[[#This Row],[PMT NO]]&lt;&gt;"",PaymentSchedule[[#This Row],[TOTAL PAYMENT]]-PaymentSchedule[[#This Row],[INTEREST]],"")</f>
        <v>3031.7404010157097</v>
      </c>
      <c r="I179" s="19">
        <f>IF(PaymentSchedule[[#This Row],[PMT NO]]&lt;&gt;"",PaymentSchedule[[#This Row],[BEGINNING BALANCE]]*(InterestRate/PaymentsPerYear),"")</f>
        <v>5018.7797199314155</v>
      </c>
      <c r="J17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1602977.7699770376</v>
      </c>
      <c r="K179" s="19">
        <f>IF(PaymentSchedule[[#This Row],[PMT NO]]&lt;&gt;"",SUM(INDEX(PaymentSchedule[INTEREST],1,1):PaymentSchedule[[#This Row],[INTEREST]]),"")</f>
        <v>955465.15029615501</v>
      </c>
    </row>
    <row r="180" spans="2:11" x14ac:dyDescent="0.3">
      <c r="B180" s="21">
        <f>IF(LoanIsGood,IF(ROW()-ROW(PaymentSchedule[[#Headers],[PMT NO]])&gt;ScheduledNumberOfPayments,"",ROW()-ROW(PaymentSchedule[[#Headers],[PMT NO]])),"")</f>
        <v>169</v>
      </c>
      <c r="C180" s="20">
        <f>IF(PaymentSchedule[[#This Row],[PMT NO]]&lt;&gt;"",EOMONTH(LoanStartDate,ROW(PaymentSchedule[[#This Row],[PMT NO]])-ROW(PaymentSchedule[[#Headers],[PMT NO]])-2)+DAY(LoanStartDate),"")</f>
        <v>48761</v>
      </c>
      <c r="D180" s="19">
        <f>IF(PaymentSchedule[[#This Row],[PMT NO]]&lt;&gt;"",IF(ROW()-ROW(PaymentSchedule[[#Headers],[BEGINNING BALANCE]])=1,LoanAmount,INDEX(PaymentSchedule[ENDING BALANCE],ROW()-ROW(PaymentSchedule[[#Headers],[BEGINNING BALANCE]])-1)),"")</f>
        <v>1602977.7699770376</v>
      </c>
      <c r="E180" s="19">
        <f>IF(PaymentSchedule[[#This Row],[PMT NO]]&lt;&gt;"",ScheduledPayment,"")</f>
        <v>8050.5201209471252</v>
      </c>
      <c r="F18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80" s="19">
        <f>IF(PaymentSchedule[[#This Row],[PMT NO]]&lt;&gt;"",PaymentSchedule[[#This Row],[TOTAL PAYMENT]]-PaymentSchedule[[#This Row],[INTEREST]],"")</f>
        <v>3041.2145897688833</v>
      </c>
      <c r="I180" s="19">
        <f>IF(PaymentSchedule[[#This Row],[PMT NO]]&lt;&gt;"",PaymentSchedule[[#This Row],[BEGINNING BALANCE]]*(InterestRate/PaymentsPerYear),"")</f>
        <v>5009.3055311782418</v>
      </c>
      <c r="J18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1599936.5553872688</v>
      </c>
      <c r="K180" s="19">
        <f>IF(PaymentSchedule[[#This Row],[PMT NO]]&lt;&gt;"",SUM(INDEX(PaymentSchedule[INTEREST],1,1):PaymentSchedule[[#This Row],[INTEREST]]),"")</f>
        <v>960474.45582733327</v>
      </c>
    </row>
    <row r="181" spans="2:11" x14ac:dyDescent="0.3">
      <c r="B181" s="21">
        <f>IF(LoanIsGood,IF(ROW()-ROW(PaymentSchedule[[#Headers],[PMT NO]])&gt;ScheduledNumberOfPayments,"",ROW()-ROW(PaymentSchedule[[#Headers],[PMT NO]])),"")</f>
        <v>170</v>
      </c>
      <c r="C181" s="20">
        <f>IF(PaymentSchedule[[#This Row],[PMT NO]]&lt;&gt;"",EOMONTH(LoanStartDate,ROW(PaymentSchedule[[#This Row],[PMT NO]])-ROW(PaymentSchedule[[#Headers],[PMT NO]])-2)+DAY(LoanStartDate),"")</f>
        <v>48792</v>
      </c>
      <c r="D181" s="19">
        <f>IF(PaymentSchedule[[#This Row],[PMT NO]]&lt;&gt;"",IF(ROW()-ROW(PaymentSchedule[[#Headers],[BEGINNING BALANCE]])=1,LoanAmount,INDEX(PaymentSchedule[ENDING BALANCE],ROW()-ROW(PaymentSchedule[[#Headers],[BEGINNING BALANCE]])-1)),"")</f>
        <v>1599936.5553872688</v>
      </c>
      <c r="E181" s="19">
        <f>IF(PaymentSchedule[[#This Row],[PMT NO]]&lt;&gt;"",ScheduledPayment,"")</f>
        <v>8050.5201209471252</v>
      </c>
      <c r="F18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81" s="19">
        <f>IF(PaymentSchedule[[#This Row],[PMT NO]]&lt;&gt;"",PaymentSchedule[[#This Row],[TOTAL PAYMENT]]-PaymentSchedule[[#This Row],[INTEREST]],"")</f>
        <v>3050.7183853619108</v>
      </c>
      <c r="I181" s="19">
        <f>IF(PaymentSchedule[[#This Row],[PMT NO]]&lt;&gt;"",PaymentSchedule[[#This Row],[BEGINNING BALANCE]]*(InterestRate/PaymentsPerYear),"")</f>
        <v>4999.8017355852144</v>
      </c>
      <c r="J18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1596885.8370019069</v>
      </c>
      <c r="K181" s="19">
        <f>IF(PaymentSchedule[[#This Row],[PMT NO]]&lt;&gt;"",SUM(INDEX(PaymentSchedule[INTEREST],1,1):PaymentSchedule[[#This Row],[INTEREST]]),"")</f>
        <v>965474.25756291847</v>
      </c>
    </row>
    <row r="182" spans="2:11" x14ac:dyDescent="0.3">
      <c r="B182" s="21">
        <f>IF(LoanIsGood,IF(ROW()-ROW(PaymentSchedule[[#Headers],[PMT NO]])&gt;ScheduledNumberOfPayments,"",ROW()-ROW(PaymentSchedule[[#Headers],[PMT NO]])),"")</f>
        <v>171</v>
      </c>
      <c r="C182" s="20">
        <f>IF(PaymentSchedule[[#This Row],[PMT NO]]&lt;&gt;"",EOMONTH(LoanStartDate,ROW(PaymentSchedule[[#This Row],[PMT NO]])-ROW(PaymentSchedule[[#Headers],[PMT NO]])-2)+DAY(LoanStartDate),"")</f>
        <v>48823</v>
      </c>
      <c r="D182" s="19">
        <f>IF(PaymentSchedule[[#This Row],[PMT NO]]&lt;&gt;"",IF(ROW()-ROW(PaymentSchedule[[#Headers],[BEGINNING BALANCE]])=1,LoanAmount,INDEX(PaymentSchedule[ENDING BALANCE],ROW()-ROW(PaymentSchedule[[#Headers],[BEGINNING BALANCE]])-1)),"")</f>
        <v>1596885.8370019069</v>
      </c>
      <c r="E182" s="19">
        <f>IF(PaymentSchedule[[#This Row],[PMT NO]]&lt;&gt;"",ScheduledPayment,"")</f>
        <v>8050.5201209471252</v>
      </c>
      <c r="F18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82" s="19">
        <f>IF(PaymentSchedule[[#This Row],[PMT NO]]&lt;&gt;"",PaymentSchedule[[#This Row],[TOTAL PAYMENT]]-PaymentSchedule[[#This Row],[INTEREST]],"")</f>
        <v>3060.2518803161665</v>
      </c>
      <c r="I182" s="19">
        <f>IF(PaymentSchedule[[#This Row],[PMT NO]]&lt;&gt;"",PaymentSchedule[[#This Row],[BEGINNING BALANCE]]*(InterestRate/PaymentsPerYear),"")</f>
        <v>4990.2682406309586</v>
      </c>
      <c r="J18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1593825.5851215909</v>
      </c>
      <c r="K182" s="19">
        <f>IF(PaymentSchedule[[#This Row],[PMT NO]]&lt;&gt;"",SUM(INDEX(PaymentSchedule[INTEREST],1,1):PaymentSchedule[[#This Row],[INTEREST]]),"")</f>
        <v>970464.52580354945</v>
      </c>
    </row>
    <row r="183" spans="2:11" x14ac:dyDescent="0.3">
      <c r="B183" s="21">
        <f>IF(LoanIsGood,IF(ROW()-ROW(PaymentSchedule[[#Headers],[PMT NO]])&gt;ScheduledNumberOfPayments,"",ROW()-ROW(PaymentSchedule[[#Headers],[PMT NO]])),"")</f>
        <v>172</v>
      </c>
      <c r="C183" s="20">
        <f>IF(PaymentSchedule[[#This Row],[PMT NO]]&lt;&gt;"",EOMONTH(LoanStartDate,ROW(PaymentSchedule[[#This Row],[PMT NO]])-ROW(PaymentSchedule[[#Headers],[PMT NO]])-2)+DAY(LoanStartDate),"")</f>
        <v>48853</v>
      </c>
      <c r="D183" s="19">
        <f>IF(PaymentSchedule[[#This Row],[PMT NO]]&lt;&gt;"",IF(ROW()-ROW(PaymentSchedule[[#Headers],[BEGINNING BALANCE]])=1,LoanAmount,INDEX(PaymentSchedule[ENDING BALANCE],ROW()-ROW(PaymentSchedule[[#Headers],[BEGINNING BALANCE]])-1)),"")</f>
        <v>1593825.5851215909</v>
      </c>
      <c r="E183" s="19">
        <f>IF(PaymentSchedule[[#This Row],[PMT NO]]&lt;&gt;"",ScheduledPayment,"")</f>
        <v>8050.5201209471252</v>
      </c>
      <c r="F18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83" s="19">
        <f>IF(PaymentSchedule[[#This Row],[PMT NO]]&lt;&gt;"",PaymentSchedule[[#This Row],[TOTAL PAYMENT]]-PaymentSchedule[[#This Row],[INTEREST]],"")</f>
        <v>3069.8151674421542</v>
      </c>
      <c r="I183" s="19">
        <f>IF(PaymentSchedule[[#This Row],[PMT NO]]&lt;&gt;"",PaymentSchedule[[#This Row],[BEGINNING BALANCE]]*(InterestRate/PaymentsPerYear),"")</f>
        <v>4980.7049535049709</v>
      </c>
      <c r="J18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1590755.7699541487</v>
      </c>
      <c r="K183" s="19">
        <f>IF(PaymentSchedule[[#This Row],[PMT NO]]&lt;&gt;"",SUM(INDEX(PaymentSchedule[INTEREST],1,1):PaymentSchedule[[#This Row],[INTEREST]]),"")</f>
        <v>975445.23075705441</v>
      </c>
    </row>
    <row r="184" spans="2:11" x14ac:dyDescent="0.3">
      <c r="B184" s="21">
        <f>IF(LoanIsGood,IF(ROW()-ROW(PaymentSchedule[[#Headers],[PMT NO]])&gt;ScheduledNumberOfPayments,"",ROW()-ROW(PaymentSchedule[[#Headers],[PMT NO]])),"")</f>
        <v>173</v>
      </c>
      <c r="C184" s="20">
        <f>IF(PaymentSchedule[[#This Row],[PMT NO]]&lt;&gt;"",EOMONTH(LoanStartDate,ROW(PaymentSchedule[[#This Row],[PMT NO]])-ROW(PaymentSchedule[[#Headers],[PMT NO]])-2)+DAY(LoanStartDate),"")</f>
        <v>48884</v>
      </c>
      <c r="D184" s="19">
        <f>IF(PaymentSchedule[[#This Row],[PMT NO]]&lt;&gt;"",IF(ROW()-ROW(PaymentSchedule[[#Headers],[BEGINNING BALANCE]])=1,LoanAmount,INDEX(PaymentSchedule[ENDING BALANCE],ROW()-ROW(PaymentSchedule[[#Headers],[BEGINNING BALANCE]])-1)),"")</f>
        <v>1590755.7699541487</v>
      </c>
      <c r="E184" s="19">
        <f>IF(PaymentSchedule[[#This Row],[PMT NO]]&lt;&gt;"",ScheduledPayment,"")</f>
        <v>8050.5201209471252</v>
      </c>
      <c r="F18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84" s="19">
        <f>IF(PaymentSchedule[[#This Row],[PMT NO]]&lt;&gt;"",PaymentSchedule[[#This Row],[TOTAL PAYMENT]]-PaymentSchedule[[#This Row],[INTEREST]],"")</f>
        <v>3079.4083398404109</v>
      </c>
      <c r="I184" s="19">
        <f>IF(PaymentSchedule[[#This Row],[PMT NO]]&lt;&gt;"",PaymentSchedule[[#This Row],[BEGINNING BALANCE]]*(InterestRate/PaymentsPerYear),"")</f>
        <v>4971.1117811067143</v>
      </c>
      <c r="J18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1587676.3616143083</v>
      </c>
      <c r="K184" s="19">
        <f>IF(PaymentSchedule[[#This Row],[PMT NO]]&lt;&gt;"",SUM(INDEX(PaymentSchedule[INTEREST],1,1):PaymentSchedule[[#This Row],[INTEREST]]),"")</f>
        <v>980416.34253816109</v>
      </c>
    </row>
    <row r="185" spans="2:11" x14ac:dyDescent="0.3">
      <c r="B185" s="21">
        <f>IF(LoanIsGood,IF(ROW()-ROW(PaymentSchedule[[#Headers],[PMT NO]])&gt;ScheduledNumberOfPayments,"",ROW()-ROW(PaymentSchedule[[#Headers],[PMT NO]])),"")</f>
        <v>174</v>
      </c>
      <c r="C185" s="20">
        <f>IF(PaymentSchedule[[#This Row],[PMT NO]]&lt;&gt;"",EOMONTH(LoanStartDate,ROW(PaymentSchedule[[#This Row],[PMT NO]])-ROW(PaymentSchedule[[#Headers],[PMT NO]])-2)+DAY(LoanStartDate),"")</f>
        <v>48914</v>
      </c>
      <c r="D185" s="19">
        <f>IF(PaymentSchedule[[#This Row],[PMT NO]]&lt;&gt;"",IF(ROW()-ROW(PaymentSchedule[[#Headers],[BEGINNING BALANCE]])=1,LoanAmount,INDEX(PaymentSchedule[ENDING BALANCE],ROW()-ROW(PaymentSchedule[[#Headers],[BEGINNING BALANCE]])-1)),"")</f>
        <v>1587676.3616143083</v>
      </c>
      <c r="E185" s="19">
        <f>IF(PaymentSchedule[[#This Row],[PMT NO]]&lt;&gt;"",ScheduledPayment,"")</f>
        <v>8050.5201209471252</v>
      </c>
      <c r="F18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85" s="19">
        <f>IF(PaymentSchedule[[#This Row],[PMT NO]]&lt;&gt;"",PaymentSchedule[[#This Row],[TOTAL PAYMENT]]-PaymentSchedule[[#This Row],[INTEREST]],"")</f>
        <v>3089.0314909024119</v>
      </c>
      <c r="I185" s="19">
        <f>IF(PaymentSchedule[[#This Row],[PMT NO]]&lt;&gt;"",PaymentSchedule[[#This Row],[BEGINNING BALANCE]]*(InterestRate/PaymentsPerYear),"")</f>
        <v>4961.4886300447133</v>
      </c>
      <c r="J18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1584587.3301234059</v>
      </c>
      <c r="K185" s="19">
        <f>IF(PaymentSchedule[[#This Row],[PMT NO]]&lt;&gt;"",SUM(INDEX(PaymentSchedule[INTEREST],1,1):PaymentSchedule[[#This Row],[INTEREST]]),"")</f>
        <v>985377.83116820583</v>
      </c>
    </row>
    <row r="186" spans="2:11" x14ac:dyDescent="0.3">
      <c r="B186" s="21">
        <f>IF(LoanIsGood,IF(ROW()-ROW(PaymentSchedule[[#Headers],[PMT NO]])&gt;ScheduledNumberOfPayments,"",ROW()-ROW(PaymentSchedule[[#Headers],[PMT NO]])),"")</f>
        <v>175</v>
      </c>
      <c r="C186" s="20">
        <f>IF(PaymentSchedule[[#This Row],[PMT NO]]&lt;&gt;"",EOMONTH(LoanStartDate,ROW(PaymentSchedule[[#This Row],[PMT NO]])-ROW(PaymentSchedule[[#Headers],[PMT NO]])-2)+DAY(LoanStartDate),"")</f>
        <v>48945</v>
      </c>
      <c r="D186" s="19">
        <f>IF(PaymentSchedule[[#This Row],[PMT NO]]&lt;&gt;"",IF(ROW()-ROW(PaymentSchedule[[#Headers],[BEGINNING BALANCE]])=1,LoanAmount,INDEX(PaymentSchedule[ENDING BALANCE],ROW()-ROW(PaymentSchedule[[#Headers],[BEGINNING BALANCE]])-1)),"")</f>
        <v>1584587.3301234059</v>
      </c>
      <c r="E186" s="19">
        <f>IF(PaymentSchedule[[#This Row],[PMT NO]]&lt;&gt;"",ScheduledPayment,"")</f>
        <v>8050.5201209471252</v>
      </c>
      <c r="F18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86" s="19">
        <f>IF(PaymentSchedule[[#This Row],[PMT NO]]&lt;&gt;"",PaymentSchedule[[#This Row],[TOTAL PAYMENT]]-PaymentSchedule[[#This Row],[INTEREST]],"")</f>
        <v>3098.6847143114819</v>
      </c>
      <c r="I186" s="19">
        <f>IF(PaymentSchedule[[#This Row],[PMT NO]]&lt;&gt;"",PaymentSchedule[[#This Row],[BEGINNING BALANCE]]*(InterestRate/PaymentsPerYear),"")</f>
        <v>4951.8354066356433</v>
      </c>
      <c r="J18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1581488.6454090944</v>
      </c>
      <c r="K186" s="19">
        <f>IF(PaymentSchedule[[#This Row],[PMT NO]]&lt;&gt;"",SUM(INDEX(PaymentSchedule[INTEREST],1,1):PaymentSchedule[[#This Row],[INTEREST]]),"")</f>
        <v>990329.66657484148</v>
      </c>
    </row>
    <row r="187" spans="2:11" x14ac:dyDescent="0.3">
      <c r="B187" s="21">
        <f>IF(LoanIsGood,IF(ROW()-ROW(PaymentSchedule[[#Headers],[PMT NO]])&gt;ScheduledNumberOfPayments,"",ROW()-ROW(PaymentSchedule[[#Headers],[PMT NO]])),"")</f>
        <v>176</v>
      </c>
      <c r="C187" s="20">
        <f>IF(PaymentSchedule[[#This Row],[PMT NO]]&lt;&gt;"",EOMONTH(LoanStartDate,ROW(PaymentSchedule[[#This Row],[PMT NO]])-ROW(PaymentSchedule[[#Headers],[PMT NO]])-2)+DAY(LoanStartDate),"")</f>
        <v>48976</v>
      </c>
      <c r="D187" s="19">
        <f>IF(PaymentSchedule[[#This Row],[PMT NO]]&lt;&gt;"",IF(ROW()-ROW(PaymentSchedule[[#Headers],[BEGINNING BALANCE]])=1,LoanAmount,INDEX(PaymentSchedule[ENDING BALANCE],ROW()-ROW(PaymentSchedule[[#Headers],[BEGINNING BALANCE]])-1)),"")</f>
        <v>1581488.6454090944</v>
      </c>
      <c r="E187" s="19">
        <f>IF(PaymentSchedule[[#This Row],[PMT NO]]&lt;&gt;"",ScheduledPayment,"")</f>
        <v>8050.5201209471252</v>
      </c>
      <c r="F18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87" s="19">
        <f>IF(PaymentSchedule[[#This Row],[PMT NO]]&lt;&gt;"",PaymentSchedule[[#This Row],[TOTAL PAYMENT]]-PaymentSchedule[[#This Row],[INTEREST]],"")</f>
        <v>3108.3681040437059</v>
      </c>
      <c r="I187" s="19">
        <f>IF(PaymentSchedule[[#This Row],[PMT NO]]&lt;&gt;"",PaymentSchedule[[#This Row],[BEGINNING BALANCE]]*(InterestRate/PaymentsPerYear),"")</f>
        <v>4942.1520169034193</v>
      </c>
      <c r="J18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1578380.2773050508</v>
      </c>
      <c r="K187" s="19">
        <f>IF(PaymentSchedule[[#This Row],[PMT NO]]&lt;&gt;"",SUM(INDEX(PaymentSchedule[INTEREST],1,1):PaymentSchedule[[#This Row],[INTEREST]]),"")</f>
        <v>995271.81859174487</v>
      </c>
    </row>
    <row r="188" spans="2:11" x14ac:dyDescent="0.3">
      <c r="B188" s="21">
        <f>IF(LoanIsGood,IF(ROW()-ROW(PaymentSchedule[[#Headers],[PMT NO]])&gt;ScheduledNumberOfPayments,"",ROW()-ROW(PaymentSchedule[[#Headers],[PMT NO]])),"")</f>
        <v>177</v>
      </c>
      <c r="C188" s="20">
        <f>IF(PaymentSchedule[[#This Row],[PMT NO]]&lt;&gt;"",EOMONTH(LoanStartDate,ROW(PaymentSchedule[[#This Row],[PMT NO]])-ROW(PaymentSchedule[[#Headers],[PMT NO]])-2)+DAY(LoanStartDate),"")</f>
        <v>49004</v>
      </c>
      <c r="D188" s="19">
        <f>IF(PaymentSchedule[[#This Row],[PMT NO]]&lt;&gt;"",IF(ROW()-ROW(PaymentSchedule[[#Headers],[BEGINNING BALANCE]])=1,LoanAmount,INDEX(PaymentSchedule[ENDING BALANCE],ROW()-ROW(PaymentSchedule[[#Headers],[BEGINNING BALANCE]])-1)),"")</f>
        <v>1578380.2773050508</v>
      </c>
      <c r="E188" s="19">
        <f>IF(PaymentSchedule[[#This Row],[PMT NO]]&lt;&gt;"",ScheduledPayment,"")</f>
        <v>8050.5201209471252</v>
      </c>
      <c r="F18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88" s="19">
        <f>IF(PaymentSchedule[[#This Row],[PMT NO]]&lt;&gt;"",PaymentSchedule[[#This Row],[TOTAL PAYMENT]]-PaymentSchedule[[#This Row],[INTEREST]],"")</f>
        <v>3118.0817543688418</v>
      </c>
      <c r="I188" s="19">
        <f>IF(PaymentSchedule[[#This Row],[PMT NO]]&lt;&gt;"",PaymentSchedule[[#This Row],[BEGINNING BALANCE]]*(InterestRate/PaymentsPerYear),"")</f>
        <v>4932.4383665782834</v>
      </c>
      <c r="J18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1575262.195550682</v>
      </c>
      <c r="K188" s="19">
        <f>IF(PaymentSchedule[[#This Row],[PMT NO]]&lt;&gt;"",SUM(INDEX(PaymentSchedule[INTEREST],1,1):PaymentSchedule[[#This Row],[INTEREST]]),"")</f>
        <v>1000204.2569583232</v>
      </c>
    </row>
    <row r="189" spans="2:11" x14ac:dyDescent="0.3">
      <c r="B189" s="21">
        <f>IF(LoanIsGood,IF(ROW()-ROW(PaymentSchedule[[#Headers],[PMT NO]])&gt;ScheduledNumberOfPayments,"",ROW()-ROW(PaymentSchedule[[#Headers],[PMT NO]])),"")</f>
        <v>178</v>
      </c>
      <c r="C189" s="20">
        <f>IF(PaymentSchedule[[#This Row],[PMT NO]]&lt;&gt;"",EOMONTH(LoanStartDate,ROW(PaymentSchedule[[#This Row],[PMT NO]])-ROW(PaymentSchedule[[#Headers],[PMT NO]])-2)+DAY(LoanStartDate),"")</f>
        <v>49035</v>
      </c>
      <c r="D189" s="19">
        <f>IF(PaymentSchedule[[#This Row],[PMT NO]]&lt;&gt;"",IF(ROW()-ROW(PaymentSchedule[[#Headers],[BEGINNING BALANCE]])=1,LoanAmount,INDEX(PaymentSchedule[ENDING BALANCE],ROW()-ROW(PaymentSchedule[[#Headers],[BEGINNING BALANCE]])-1)),"")</f>
        <v>1575262.195550682</v>
      </c>
      <c r="E189" s="19">
        <f>IF(PaymentSchedule[[#This Row],[PMT NO]]&lt;&gt;"",ScheduledPayment,"")</f>
        <v>8050.5201209471252</v>
      </c>
      <c r="F18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89" s="19">
        <f>IF(PaymentSchedule[[#This Row],[PMT NO]]&lt;&gt;"",PaymentSchedule[[#This Row],[TOTAL PAYMENT]]-PaymentSchedule[[#This Row],[INTEREST]],"")</f>
        <v>3127.8257598512446</v>
      </c>
      <c r="I189" s="19">
        <f>IF(PaymentSchedule[[#This Row],[PMT NO]]&lt;&gt;"",PaymentSchedule[[#This Row],[BEGINNING BALANCE]]*(InterestRate/PaymentsPerYear),"")</f>
        <v>4922.6943610958806</v>
      </c>
      <c r="J18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1572134.3697908309</v>
      </c>
      <c r="K189" s="19">
        <f>IF(PaymentSchedule[[#This Row],[PMT NO]]&lt;&gt;"",SUM(INDEX(PaymentSchedule[INTEREST],1,1):PaymentSchedule[[#This Row],[INTEREST]]),"")</f>
        <v>1005126.9513194191</v>
      </c>
    </row>
    <row r="190" spans="2:11" x14ac:dyDescent="0.3">
      <c r="B190" s="21">
        <f>IF(LoanIsGood,IF(ROW()-ROW(PaymentSchedule[[#Headers],[PMT NO]])&gt;ScheduledNumberOfPayments,"",ROW()-ROW(PaymentSchedule[[#Headers],[PMT NO]])),"")</f>
        <v>179</v>
      </c>
      <c r="C190" s="20">
        <f>IF(PaymentSchedule[[#This Row],[PMT NO]]&lt;&gt;"",EOMONTH(LoanStartDate,ROW(PaymentSchedule[[#This Row],[PMT NO]])-ROW(PaymentSchedule[[#Headers],[PMT NO]])-2)+DAY(LoanStartDate),"")</f>
        <v>49065</v>
      </c>
      <c r="D190" s="19">
        <f>IF(PaymentSchedule[[#This Row],[PMT NO]]&lt;&gt;"",IF(ROW()-ROW(PaymentSchedule[[#Headers],[BEGINNING BALANCE]])=1,LoanAmount,INDEX(PaymentSchedule[ENDING BALANCE],ROW()-ROW(PaymentSchedule[[#Headers],[BEGINNING BALANCE]])-1)),"")</f>
        <v>1572134.3697908309</v>
      </c>
      <c r="E190" s="19">
        <f>IF(PaymentSchedule[[#This Row],[PMT NO]]&lt;&gt;"",ScheduledPayment,"")</f>
        <v>8050.5201209471252</v>
      </c>
      <c r="F19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90" s="19">
        <f>IF(PaymentSchedule[[#This Row],[PMT NO]]&lt;&gt;"",PaymentSchedule[[#This Row],[TOTAL PAYMENT]]-PaymentSchedule[[#This Row],[INTEREST]],"")</f>
        <v>3137.6002153507789</v>
      </c>
      <c r="I190" s="19">
        <f>IF(PaymentSchedule[[#This Row],[PMT NO]]&lt;&gt;"",PaymentSchedule[[#This Row],[BEGINNING BALANCE]]*(InterestRate/PaymentsPerYear),"")</f>
        <v>4912.9199055963463</v>
      </c>
      <c r="J19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1568996.7695754801</v>
      </c>
      <c r="K190" s="19">
        <f>IF(PaymentSchedule[[#This Row],[PMT NO]]&lt;&gt;"",SUM(INDEX(PaymentSchedule[INTEREST],1,1):PaymentSchedule[[#This Row],[INTEREST]]),"")</f>
        <v>1010039.8712250154</v>
      </c>
    </row>
    <row r="191" spans="2:11" x14ac:dyDescent="0.3">
      <c r="B191" s="21">
        <f>IF(LoanIsGood,IF(ROW()-ROW(PaymentSchedule[[#Headers],[PMT NO]])&gt;ScheduledNumberOfPayments,"",ROW()-ROW(PaymentSchedule[[#Headers],[PMT NO]])),"")</f>
        <v>180</v>
      </c>
      <c r="C191" s="20">
        <f>IF(PaymentSchedule[[#This Row],[PMT NO]]&lt;&gt;"",EOMONTH(LoanStartDate,ROW(PaymentSchedule[[#This Row],[PMT NO]])-ROW(PaymentSchedule[[#Headers],[PMT NO]])-2)+DAY(LoanStartDate),"")</f>
        <v>49096</v>
      </c>
      <c r="D191" s="19">
        <f>IF(PaymentSchedule[[#This Row],[PMT NO]]&lt;&gt;"",IF(ROW()-ROW(PaymentSchedule[[#Headers],[BEGINNING BALANCE]])=1,LoanAmount,INDEX(PaymentSchedule[ENDING BALANCE],ROW()-ROW(PaymentSchedule[[#Headers],[BEGINNING BALANCE]])-1)),"")</f>
        <v>1568996.7695754801</v>
      </c>
      <c r="E191" s="19">
        <f>IF(PaymentSchedule[[#This Row],[PMT NO]]&lt;&gt;"",ScheduledPayment,"")</f>
        <v>8050.5201209471252</v>
      </c>
      <c r="F19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91" s="19">
        <f>IF(PaymentSchedule[[#This Row],[PMT NO]]&lt;&gt;"",PaymentSchedule[[#This Row],[TOTAL PAYMENT]]-PaymentSchedule[[#This Row],[INTEREST]],"")</f>
        <v>3147.4052160237497</v>
      </c>
      <c r="I191" s="19">
        <f>IF(PaymentSchedule[[#This Row],[PMT NO]]&lt;&gt;"",PaymentSchedule[[#This Row],[BEGINNING BALANCE]]*(InterestRate/PaymentsPerYear),"")</f>
        <v>4903.1149049233754</v>
      </c>
      <c r="J19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1565849.3643594563</v>
      </c>
      <c r="K191" s="19">
        <f>IF(PaymentSchedule[[#This Row],[PMT NO]]&lt;&gt;"",SUM(INDEX(PaymentSchedule[INTEREST],1,1):PaymentSchedule[[#This Row],[INTEREST]]),"")</f>
        <v>1014942.9861299387</v>
      </c>
    </row>
    <row r="192" spans="2:11" x14ac:dyDescent="0.3">
      <c r="B192" s="21">
        <f>IF(LoanIsGood,IF(ROW()-ROW(PaymentSchedule[[#Headers],[PMT NO]])&gt;ScheduledNumberOfPayments,"",ROW()-ROW(PaymentSchedule[[#Headers],[PMT NO]])),"")</f>
        <v>181</v>
      </c>
      <c r="C192" s="20">
        <f>IF(PaymentSchedule[[#This Row],[PMT NO]]&lt;&gt;"",EOMONTH(LoanStartDate,ROW(PaymentSchedule[[#This Row],[PMT NO]])-ROW(PaymentSchedule[[#Headers],[PMT NO]])-2)+DAY(LoanStartDate),"")</f>
        <v>49126</v>
      </c>
      <c r="D192" s="19">
        <f>IF(PaymentSchedule[[#This Row],[PMT NO]]&lt;&gt;"",IF(ROW()-ROW(PaymentSchedule[[#Headers],[BEGINNING BALANCE]])=1,LoanAmount,INDEX(PaymentSchedule[ENDING BALANCE],ROW()-ROW(PaymentSchedule[[#Headers],[BEGINNING BALANCE]])-1)),"")</f>
        <v>1565849.3643594563</v>
      </c>
      <c r="E192" s="19">
        <f>IF(PaymentSchedule[[#This Row],[PMT NO]]&lt;&gt;"",ScheduledPayment,"")</f>
        <v>8050.5201209471252</v>
      </c>
      <c r="F19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92" s="19">
        <f>IF(PaymentSchedule[[#This Row],[PMT NO]]&lt;&gt;"",PaymentSchedule[[#This Row],[TOTAL PAYMENT]]-PaymentSchedule[[#This Row],[INTEREST]],"")</f>
        <v>3157.2408573238245</v>
      </c>
      <c r="I192" s="19">
        <f>IF(PaymentSchedule[[#This Row],[PMT NO]]&lt;&gt;"",PaymentSchedule[[#This Row],[BEGINNING BALANCE]]*(InterestRate/PaymentsPerYear),"")</f>
        <v>4893.2792636233007</v>
      </c>
      <c r="J19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1562692.1235021325</v>
      </c>
      <c r="K192" s="19">
        <f>IF(PaymentSchedule[[#This Row],[PMT NO]]&lt;&gt;"",SUM(INDEX(PaymentSchedule[INTEREST],1,1):PaymentSchedule[[#This Row],[INTEREST]]),"")</f>
        <v>1019836.265393562</v>
      </c>
    </row>
    <row r="193" spans="2:11" x14ac:dyDescent="0.3">
      <c r="B193" s="21">
        <f>IF(LoanIsGood,IF(ROW()-ROW(PaymentSchedule[[#Headers],[PMT NO]])&gt;ScheduledNumberOfPayments,"",ROW()-ROW(PaymentSchedule[[#Headers],[PMT NO]])),"")</f>
        <v>182</v>
      </c>
      <c r="C193" s="20">
        <f>IF(PaymentSchedule[[#This Row],[PMT NO]]&lt;&gt;"",EOMONTH(LoanStartDate,ROW(PaymentSchedule[[#This Row],[PMT NO]])-ROW(PaymentSchedule[[#Headers],[PMT NO]])-2)+DAY(LoanStartDate),"")</f>
        <v>49157</v>
      </c>
      <c r="D193" s="19">
        <f>IF(PaymentSchedule[[#This Row],[PMT NO]]&lt;&gt;"",IF(ROW()-ROW(PaymentSchedule[[#Headers],[BEGINNING BALANCE]])=1,LoanAmount,INDEX(PaymentSchedule[ENDING BALANCE],ROW()-ROW(PaymentSchedule[[#Headers],[BEGINNING BALANCE]])-1)),"")</f>
        <v>1562692.1235021325</v>
      </c>
      <c r="E193" s="19">
        <f>IF(PaymentSchedule[[#This Row],[PMT NO]]&lt;&gt;"",ScheduledPayment,"")</f>
        <v>8050.5201209471252</v>
      </c>
      <c r="F19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93" s="19">
        <f>IF(PaymentSchedule[[#This Row],[PMT NO]]&lt;&gt;"",PaymentSchedule[[#This Row],[TOTAL PAYMENT]]-PaymentSchedule[[#This Row],[INTEREST]],"")</f>
        <v>3167.1072350029617</v>
      </c>
      <c r="I193" s="19">
        <f>IF(PaymentSchedule[[#This Row],[PMT NO]]&lt;&gt;"",PaymentSchedule[[#This Row],[BEGINNING BALANCE]]*(InterestRate/PaymentsPerYear),"")</f>
        <v>4883.4128859441635</v>
      </c>
      <c r="J19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1559525.0162671295</v>
      </c>
      <c r="K193" s="19">
        <f>IF(PaymentSchedule[[#This Row],[PMT NO]]&lt;&gt;"",SUM(INDEX(PaymentSchedule[INTEREST],1,1):PaymentSchedule[[#This Row],[INTEREST]]),"")</f>
        <v>1024719.6782795062</v>
      </c>
    </row>
    <row r="194" spans="2:11" x14ac:dyDescent="0.3">
      <c r="B194" s="21">
        <f>IF(LoanIsGood,IF(ROW()-ROW(PaymentSchedule[[#Headers],[PMT NO]])&gt;ScheduledNumberOfPayments,"",ROW()-ROW(PaymentSchedule[[#Headers],[PMT NO]])),"")</f>
        <v>183</v>
      </c>
      <c r="C194" s="20">
        <f>IF(PaymentSchedule[[#This Row],[PMT NO]]&lt;&gt;"",EOMONTH(LoanStartDate,ROW(PaymentSchedule[[#This Row],[PMT NO]])-ROW(PaymentSchedule[[#Headers],[PMT NO]])-2)+DAY(LoanStartDate),"")</f>
        <v>49188</v>
      </c>
      <c r="D194" s="19">
        <f>IF(PaymentSchedule[[#This Row],[PMT NO]]&lt;&gt;"",IF(ROW()-ROW(PaymentSchedule[[#Headers],[BEGINNING BALANCE]])=1,LoanAmount,INDEX(PaymentSchedule[ENDING BALANCE],ROW()-ROW(PaymentSchedule[[#Headers],[BEGINNING BALANCE]])-1)),"")</f>
        <v>1559525.0162671295</v>
      </c>
      <c r="E194" s="19">
        <f>IF(PaymentSchedule[[#This Row],[PMT NO]]&lt;&gt;"",ScheduledPayment,"")</f>
        <v>8050.5201209471252</v>
      </c>
      <c r="F19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94" s="19">
        <f>IF(PaymentSchedule[[#This Row],[PMT NO]]&lt;&gt;"",PaymentSchedule[[#This Row],[TOTAL PAYMENT]]-PaymentSchedule[[#This Row],[INTEREST]],"")</f>
        <v>3177.0044451123458</v>
      </c>
      <c r="I194" s="19">
        <f>IF(PaymentSchedule[[#This Row],[PMT NO]]&lt;&gt;"",PaymentSchedule[[#This Row],[BEGINNING BALANCE]]*(InterestRate/PaymentsPerYear),"")</f>
        <v>4873.5156758347794</v>
      </c>
      <c r="J19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1556348.0118220171</v>
      </c>
      <c r="K194" s="19">
        <f>IF(PaymentSchedule[[#This Row],[PMT NO]]&lt;&gt;"",SUM(INDEX(PaymentSchedule[INTEREST],1,1):PaymentSchedule[[#This Row],[INTEREST]]),"")</f>
        <v>1029593.1939553409</v>
      </c>
    </row>
    <row r="195" spans="2:11" x14ac:dyDescent="0.3">
      <c r="B195" s="21">
        <f>IF(LoanIsGood,IF(ROW()-ROW(PaymentSchedule[[#Headers],[PMT NO]])&gt;ScheduledNumberOfPayments,"",ROW()-ROW(PaymentSchedule[[#Headers],[PMT NO]])),"")</f>
        <v>184</v>
      </c>
      <c r="C195" s="20">
        <f>IF(PaymentSchedule[[#This Row],[PMT NO]]&lt;&gt;"",EOMONTH(LoanStartDate,ROW(PaymentSchedule[[#This Row],[PMT NO]])-ROW(PaymentSchedule[[#Headers],[PMT NO]])-2)+DAY(LoanStartDate),"")</f>
        <v>49218</v>
      </c>
      <c r="D195" s="19">
        <f>IF(PaymentSchedule[[#This Row],[PMT NO]]&lt;&gt;"",IF(ROW()-ROW(PaymentSchedule[[#Headers],[BEGINNING BALANCE]])=1,LoanAmount,INDEX(PaymentSchedule[ENDING BALANCE],ROW()-ROW(PaymentSchedule[[#Headers],[BEGINNING BALANCE]])-1)),"")</f>
        <v>1556348.0118220171</v>
      </c>
      <c r="E195" s="19">
        <f>IF(PaymentSchedule[[#This Row],[PMT NO]]&lt;&gt;"",ScheduledPayment,"")</f>
        <v>8050.5201209471252</v>
      </c>
      <c r="F19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95" s="19">
        <f>IF(PaymentSchedule[[#This Row],[PMT NO]]&lt;&gt;"",PaymentSchedule[[#This Row],[TOTAL PAYMENT]]-PaymentSchedule[[#This Row],[INTEREST]],"")</f>
        <v>3186.9325840033216</v>
      </c>
      <c r="I195" s="19">
        <f>IF(PaymentSchedule[[#This Row],[PMT NO]]&lt;&gt;"",PaymentSchedule[[#This Row],[BEGINNING BALANCE]]*(InterestRate/PaymentsPerYear),"")</f>
        <v>4863.5875369438036</v>
      </c>
      <c r="J19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1553161.0792380138</v>
      </c>
      <c r="K195" s="19">
        <f>IF(PaymentSchedule[[#This Row],[PMT NO]]&lt;&gt;"",SUM(INDEX(PaymentSchedule[INTEREST],1,1):PaymentSchedule[[#This Row],[INTEREST]]),"")</f>
        <v>1034456.7814922847</v>
      </c>
    </row>
    <row r="196" spans="2:11" x14ac:dyDescent="0.3">
      <c r="B196" s="21">
        <f>IF(LoanIsGood,IF(ROW()-ROW(PaymentSchedule[[#Headers],[PMT NO]])&gt;ScheduledNumberOfPayments,"",ROW()-ROW(PaymentSchedule[[#Headers],[PMT NO]])),"")</f>
        <v>185</v>
      </c>
      <c r="C196" s="20">
        <f>IF(PaymentSchedule[[#This Row],[PMT NO]]&lt;&gt;"",EOMONTH(LoanStartDate,ROW(PaymentSchedule[[#This Row],[PMT NO]])-ROW(PaymentSchedule[[#Headers],[PMT NO]])-2)+DAY(LoanStartDate),"")</f>
        <v>49249</v>
      </c>
      <c r="D196" s="19">
        <f>IF(PaymentSchedule[[#This Row],[PMT NO]]&lt;&gt;"",IF(ROW()-ROW(PaymentSchedule[[#Headers],[BEGINNING BALANCE]])=1,LoanAmount,INDEX(PaymentSchedule[ENDING BALANCE],ROW()-ROW(PaymentSchedule[[#Headers],[BEGINNING BALANCE]])-1)),"")</f>
        <v>1553161.0792380138</v>
      </c>
      <c r="E196" s="19">
        <f>IF(PaymentSchedule[[#This Row],[PMT NO]]&lt;&gt;"",ScheduledPayment,"")</f>
        <v>8050.5201209471252</v>
      </c>
      <c r="F19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96" s="19">
        <f>IF(PaymentSchedule[[#This Row],[PMT NO]]&lt;&gt;"",PaymentSchedule[[#This Row],[TOTAL PAYMENT]]-PaymentSchedule[[#This Row],[INTEREST]],"")</f>
        <v>3196.8917483283321</v>
      </c>
      <c r="I196" s="19">
        <f>IF(PaymentSchedule[[#This Row],[PMT NO]]&lt;&gt;"",PaymentSchedule[[#This Row],[BEGINNING BALANCE]]*(InterestRate/PaymentsPerYear),"")</f>
        <v>4853.628372618793</v>
      </c>
      <c r="J19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1549964.1874896856</v>
      </c>
      <c r="K196" s="19">
        <f>IF(PaymentSchedule[[#This Row],[PMT NO]]&lt;&gt;"",SUM(INDEX(PaymentSchedule[INTEREST],1,1):PaymentSchedule[[#This Row],[INTEREST]]),"")</f>
        <v>1039310.4098649035</v>
      </c>
    </row>
    <row r="197" spans="2:11" x14ac:dyDescent="0.3">
      <c r="B197" s="21">
        <f>IF(LoanIsGood,IF(ROW()-ROW(PaymentSchedule[[#Headers],[PMT NO]])&gt;ScheduledNumberOfPayments,"",ROW()-ROW(PaymentSchedule[[#Headers],[PMT NO]])),"")</f>
        <v>186</v>
      </c>
      <c r="C197" s="20">
        <f>IF(PaymentSchedule[[#This Row],[PMT NO]]&lt;&gt;"",EOMONTH(LoanStartDate,ROW(PaymentSchedule[[#This Row],[PMT NO]])-ROW(PaymentSchedule[[#Headers],[PMT NO]])-2)+DAY(LoanStartDate),"")</f>
        <v>49279</v>
      </c>
      <c r="D197" s="19">
        <f>IF(PaymentSchedule[[#This Row],[PMT NO]]&lt;&gt;"",IF(ROW()-ROW(PaymentSchedule[[#Headers],[BEGINNING BALANCE]])=1,LoanAmount,INDEX(PaymentSchedule[ENDING BALANCE],ROW()-ROW(PaymentSchedule[[#Headers],[BEGINNING BALANCE]])-1)),"")</f>
        <v>1549964.1874896856</v>
      </c>
      <c r="E197" s="19">
        <f>IF(PaymentSchedule[[#This Row],[PMT NO]]&lt;&gt;"",ScheduledPayment,"")</f>
        <v>8050.5201209471252</v>
      </c>
      <c r="F19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97" s="19">
        <f>IF(PaymentSchedule[[#This Row],[PMT NO]]&lt;&gt;"",PaymentSchedule[[#This Row],[TOTAL PAYMENT]]-PaymentSchedule[[#This Row],[INTEREST]],"")</f>
        <v>3206.8820350418582</v>
      </c>
      <c r="I197" s="19">
        <f>IF(PaymentSchedule[[#This Row],[PMT NO]]&lt;&gt;"",PaymentSchedule[[#This Row],[BEGINNING BALANCE]]*(InterestRate/PaymentsPerYear),"")</f>
        <v>4843.638085905267</v>
      </c>
      <c r="J19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1546757.3054546437</v>
      </c>
      <c r="K197" s="19">
        <f>IF(PaymentSchedule[[#This Row],[PMT NO]]&lt;&gt;"",SUM(INDEX(PaymentSchedule[INTEREST],1,1):PaymentSchedule[[#This Row],[INTEREST]]),"")</f>
        <v>1044154.0479508088</v>
      </c>
    </row>
    <row r="198" spans="2:11" x14ac:dyDescent="0.3">
      <c r="B198" s="21">
        <f>IF(LoanIsGood,IF(ROW()-ROW(PaymentSchedule[[#Headers],[PMT NO]])&gt;ScheduledNumberOfPayments,"",ROW()-ROW(PaymentSchedule[[#Headers],[PMT NO]])),"")</f>
        <v>187</v>
      </c>
      <c r="C198" s="20">
        <f>IF(PaymentSchedule[[#This Row],[PMT NO]]&lt;&gt;"",EOMONTH(LoanStartDate,ROW(PaymentSchedule[[#This Row],[PMT NO]])-ROW(PaymentSchedule[[#Headers],[PMT NO]])-2)+DAY(LoanStartDate),"")</f>
        <v>49310</v>
      </c>
      <c r="D198" s="19">
        <f>IF(PaymentSchedule[[#This Row],[PMT NO]]&lt;&gt;"",IF(ROW()-ROW(PaymentSchedule[[#Headers],[BEGINNING BALANCE]])=1,LoanAmount,INDEX(PaymentSchedule[ENDING BALANCE],ROW()-ROW(PaymentSchedule[[#Headers],[BEGINNING BALANCE]])-1)),"")</f>
        <v>1546757.3054546437</v>
      </c>
      <c r="E198" s="19">
        <f>IF(PaymentSchedule[[#This Row],[PMT NO]]&lt;&gt;"",ScheduledPayment,"")</f>
        <v>8050.5201209471252</v>
      </c>
      <c r="F19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98" s="19">
        <f>IF(PaymentSchedule[[#This Row],[PMT NO]]&lt;&gt;"",PaymentSchedule[[#This Row],[TOTAL PAYMENT]]-PaymentSchedule[[#This Row],[INTEREST]],"")</f>
        <v>3216.9035414013642</v>
      </c>
      <c r="I198" s="19">
        <f>IF(PaymentSchedule[[#This Row],[PMT NO]]&lt;&gt;"",PaymentSchedule[[#This Row],[BEGINNING BALANCE]]*(InterestRate/PaymentsPerYear),"")</f>
        <v>4833.6165795457609</v>
      </c>
      <c r="J19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1543540.4019132424</v>
      </c>
      <c r="K198" s="19">
        <f>IF(PaymentSchedule[[#This Row],[PMT NO]]&lt;&gt;"",SUM(INDEX(PaymentSchedule[INTEREST],1,1):PaymentSchedule[[#This Row],[INTEREST]]),"")</f>
        <v>1048987.6645303546</v>
      </c>
    </row>
    <row r="199" spans="2:11" x14ac:dyDescent="0.3">
      <c r="B199" s="21">
        <f>IF(LoanIsGood,IF(ROW()-ROW(PaymentSchedule[[#Headers],[PMT NO]])&gt;ScheduledNumberOfPayments,"",ROW()-ROW(PaymentSchedule[[#Headers],[PMT NO]])),"")</f>
        <v>188</v>
      </c>
      <c r="C199" s="20">
        <f>IF(PaymentSchedule[[#This Row],[PMT NO]]&lt;&gt;"",EOMONTH(LoanStartDate,ROW(PaymentSchedule[[#This Row],[PMT NO]])-ROW(PaymentSchedule[[#Headers],[PMT NO]])-2)+DAY(LoanStartDate),"")</f>
        <v>49341</v>
      </c>
      <c r="D199" s="19">
        <f>IF(PaymentSchedule[[#This Row],[PMT NO]]&lt;&gt;"",IF(ROW()-ROW(PaymentSchedule[[#Headers],[BEGINNING BALANCE]])=1,LoanAmount,INDEX(PaymentSchedule[ENDING BALANCE],ROW()-ROW(PaymentSchedule[[#Headers],[BEGINNING BALANCE]])-1)),"")</f>
        <v>1543540.4019132424</v>
      </c>
      <c r="E199" s="19">
        <f>IF(PaymentSchedule[[#This Row],[PMT NO]]&lt;&gt;"",ScheduledPayment,"")</f>
        <v>8050.5201209471252</v>
      </c>
      <c r="F19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199" s="19">
        <f>IF(PaymentSchedule[[#This Row],[PMT NO]]&lt;&gt;"",PaymentSchedule[[#This Row],[TOTAL PAYMENT]]-PaymentSchedule[[#This Row],[INTEREST]],"")</f>
        <v>3226.9563649682432</v>
      </c>
      <c r="I199" s="19">
        <f>IF(PaymentSchedule[[#This Row],[PMT NO]]&lt;&gt;"",PaymentSchedule[[#This Row],[BEGINNING BALANCE]]*(InterestRate/PaymentsPerYear),"")</f>
        <v>4823.563755978882</v>
      </c>
      <c r="J19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1540313.4455482741</v>
      </c>
      <c r="K199" s="19">
        <f>IF(PaymentSchedule[[#This Row],[PMT NO]]&lt;&gt;"",SUM(INDEX(PaymentSchedule[INTEREST],1,1):PaymentSchedule[[#This Row],[INTEREST]]),"")</f>
        <v>1053811.2282863334</v>
      </c>
    </row>
    <row r="200" spans="2:11" x14ac:dyDescent="0.3">
      <c r="B200" s="21">
        <f>IF(LoanIsGood,IF(ROW()-ROW(PaymentSchedule[[#Headers],[PMT NO]])&gt;ScheduledNumberOfPayments,"",ROW()-ROW(PaymentSchedule[[#Headers],[PMT NO]])),"")</f>
        <v>189</v>
      </c>
      <c r="C200" s="20">
        <f>IF(PaymentSchedule[[#This Row],[PMT NO]]&lt;&gt;"",EOMONTH(LoanStartDate,ROW(PaymentSchedule[[#This Row],[PMT NO]])-ROW(PaymentSchedule[[#Headers],[PMT NO]])-2)+DAY(LoanStartDate),"")</f>
        <v>49369</v>
      </c>
      <c r="D200" s="19">
        <f>IF(PaymentSchedule[[#This Row],[PMT NO]]&lt;&gt;"",IF(ROW()-ROW(PaymentSchedule[[#Headers],[BEGINNING BALANCE]])=1,LoanAmount,INDEX(PaymentSchedule[ENDING BALANCE],ROW()-ROW(PaymentSchedule[[#Headers],[BEGINNING BALANCE]])-1)),"")</f>
        <v>1540313.4455482741</v>
      </c>
      <c r="E200" s="19">
        <f>IF(PaymentSchedule[[#This Row],[PMT NO]]&lt;&gt;"",ScheduledPayment,"")</f>
        <v>8050.5201209471252</v>
      </c>
      <c r="F20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00" s="19">
        <f>IF(PaymentSchedule[[#This Row],[PMT NO]]&lt;&gt;"",PaymentSchedule[[#This Row],[TOTAL PAYMENT]]-PaymentSchedule[[#This Row],[INTEREST]],"")</f>
        <v>3237.0406036087688</v>
      </c>
      <c r="I200" s="19">
        <f>IF(PaymentSchedule[[#This Row],[PMT NO]]&lt;&gt;"",PaymentSchedule[[#This Row],[BEGINNING BALANCE]]*(InterestRate/PaymentsPerYear),"")</f>
        <v>4813.4795173383563</v>
      </c>
      <c r="J20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1537076.4049446653</v>
      </c>
      <c r="K200" s="19">
        <f>IF(PaymentSchedule[[#This Row],[PMT NO]]&lt;&gt;"",SUM(INDEX(PaymentSchedule[INTEREST],1,1):PaymentSchedule[[#This Row],[INTEREST]]),"")</f>
        <v>1058624.7078036717</v>
      </c>
    </row>
    <row r="201" spans="2:11" x14ac:dyDescent="0.3">
      <c r="B201" s="21">
        <f>IF(LoanIsGood,IF(ROW()-ROW(PaymentSchedule[[#Headers],[PMT NO]])&gt;ScheduledNumberOfPayments,"",ROW()-ROW(PaymentSchedule[[#Headers],[PMT NO]])),"")</f>
        <v>190</v>
      </c>
      <c r="C201" s="20">
        <f>IF(PaymentSchedule[[#This Row],[PMT NO]]&lt;&gt;"",EOMONTH(LoanStartDate,ROW(PaymentSchedule[[#This Row],[PMT NO]])-ROW(PaymentSchedule[[#Headers],[PMT NO]])-2)+DAY(LoanStartDate),"")</f>
        <v>49400</v>
      </c>
      <c r="D201" s="19">
        <f>IF(PaymentSchedule[[#This Row],[PMT NO]]&lt;&gt;"",IF(ROW()-ROW(PaymentSchedule[[#Headers],[BEGINNING BALANCE]])=1,LoanAmount,INDEX(PaymentSchedule[ENDING BALANCE],ROW()-ROW(PaymentSchedule[[#Headers],[BEGINNING BALANCE]])-1)),"")</f>
        <v>1537076.4049446653</v>
      </c>
      <c r="E201" s="19">
        <f>IF(PaymentSchedule[[#This Row],[PMT NO]]&lt;&gt;"",ScheduledPayment,"")</f>
        <v>8050.5201209471252</v>
      </c>
      <c r="F20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01" s="19">
        <f>IF(PaymentSchedule[[#This Row],[PMT NO]]&lt;&gt;"",PaymentSchedule[[#This Row],[TOTAL PAYMENT]]-PaymentSchedule[[#This Row],[INTEREST]],"")</f>
        <v>3247.1563554950462</v>
      </c>
      <c r="I201" s="19">
        <f>IF(PaymentSchedule[[#This Row],[PMT NO]]&lt;&gt;"",PaymentSchedule[[#This Row],[BEGINNING BALANCE]]*(InterestRate/PaymentsPerYear),"")</f>
        <v>4803.363765452079</v>
      </c>
      <c r="J20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1533829.2485891702</v>
      </c>
      <c r="K201" s="19">
        <f>IF(PaymentSchedule[[#This Row],[PMT NO]]&lt;&gt;"",SUM(INDEX(PaymentSchedule[INTEREST],1,1):PaymentSchedule[[#This Row],[INTEREST]]),"")</f>
        <v>1063428.0715691238</v>
      </c>
    </row>
    <row r="202" spans="2:11" x14ac:dyDescent="0.3">
      <c r="B202" s="21">
        <f>IF(LoanIsGood,IF(ROW()-ROW(PaymentSchedule[[#Headers],[PMT NO]])&gt;ScheduledNumberOfPayments,"",ROW()-ROW(PaymentSchedule[[#Headers],[PMT NO]])),"")</f>
        <v>191</v>
      </c>
      <c r="C202" s="20">
        <f>IF(PaymentSchedule[[#This Row],[PMT NO]]&lt;&gt;"",EOMONTH(LoanStartDate,ROW(PaymentSchedule[[#This Row],[PMT NO]])-ROW(PaymentSchedule[[#Headers],[PMT NO]])-2)+DAY(LoanStartDate),"")</f>
        <v>49430</v>
      </c>
      <c r="D202" s="19">
        <f>IF(PaymentSchedule[[#This Row],[PMT NO]]&lt;&gt;"",IF(ROW()-ROW(PaymentSchedule[[#Headers],[BEGINNING BALANCE]])=1,LoanAmount,INDEX(PaymentSchedule[ENDING BALANCE],ROW()-ROW(PaymentSchedule[[#Headers],[BEGINNING BALANCE]])-1)),"")</f>
        <v>1533829.2485891702</v>
      </c>
      <c r="E202" s="19">
        <f>IF(PaymentSchedule[[#This Row],[PMT NO]]&lt;&gt;"",ScheduledPayment,"")</f>
        <v>8050.5201209471252</v>
      </c>
      <c r="F20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02" s="19">
        <f>IF(PaymentSchedule[[#This Row],[PMT NO]]&lt;&gt;"",PaymentSchedule[[#This Row],[TOTAL PAYMENT]]-PaymentSchedule[[#This Row],[INTEREST]],"")</f>
        <v>3257.3037191059684</v>
      </c>
      <c r="I202" s="19">
        <f>IF(PaymentSchedule[[#This Row],[PMT NO]]&lt;&gt;"",PaymentSchedule[[#This Row],[BEGINNING BALANCE]]*(InterestRate/PaymentsPerYear),"")</f>
        <v>4793.2164018411568</v>
      </c>
      <c r="J20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1530571.9448700643</v>
      </c>
      <c r="K202" s="19">
        <f>IF(PaymentSchedule[[#This Row],[PMT NO]]&lt;&gt;"",SUM(INDEX(PaymentSchedule[INTEREST],1,1):PaymentSchedule[[#This Row],[INTEREST]]),"")</f>
        <v>1068221.287970965</v>
      </c>
    </row>
    <row r="203" spans="2:11" x14ac:dyDescent="0.3">
      <c r="B203" s="21">
        <f>IF(LoanIsGood,IF(ROW()-ROW(PaymentSchedule[[#Headers],[PMT NO]])&gt;ScheduledNumberOfPayments,"",ROW()-ROW(PaymentSchedule[[#Headers],[PMT NO]])),"")</f>
        <v>192</v>
      </c>
      <c r="C203" s="20">
        <f>IF(PaymentSchedule[[#This Row],[PMT NO]]&lt;&gt;"",EOMONTH(LoanStartDate,ROW(PaymentSchedule[[#This Row],[PMT NO]])-ROW(PaymentSchedule[[#Headers],[PMT NO]])-2)+DAY(LoanStartDate),"")</f>
        <v>49461</v>
      </c>
      <c r="D203" s="19">
        <f>IF(PaymentSchedule[[#This Row],[PMT NO]]&lt;&gt;"",IF(ROW()-ROW(PaymentSchedule[[#Headers],[BEGINNING BALANCE]])=1,LoanAmount,INDEX(PaymentSchedule[ENDING BALANCE],ROW()-ROW(PaymentSchedule[[#Headers],[BEGINNING BALANCE]])-1)),"")</f>
        <v>1530571.9448700643</v>
      </c>
      <c r="E203" s="19">
        <f>IF(PaymentSchedule[[#This Row],[PMT NO]]&lt;&gt;"",ScheduledPayment,"")</f>
        <v>8050.5201209471252</v>
      </c>
      <c r="F20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03" s="19">
        <f>IF(PaymentSchedule[[#This Row],[PMT NO]]&lt;&gt;"",PaymentSchedule[[#This Row],[TOTAL PAYMENT]]-PaymentSchedule[[#This Row],[INTEREST]],"")</f>
        <v>3267.4827932281751</v>
      </c>
      <c r="I203" s="19">
        <f>IF(PaymentSchedule[[#This Row],[PMT NO]]&lt;&gt;"",PaymentSchedule[[#This Row],[BEGINNING BALANCE]]*(InterestRate/PaymentsPerYear),"")</f>
        <v>4783.0373277189501</v>
      </c>
      <c r="J20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1527304.462076836</v>
      </c>
      <c r="K203" s="19">
        <f>IF(PaymentSchedule[[#This Row],[PMT NO]]&lt;&gt;"",SUM(INDEX(PaymentSchedule[INTEREST],1,1):PaymentSchedule[[#This Row],[INTEREST]]),"")</f>
        <v>1073004.325298684</v>
      </c>
    </row>
    <row r="204" spans="2:11" x14ac:dyDescent="0.3">
      <c r="B204" s="21">
        <f>IF(LoanIsGood,IF(ROW()-ROW(PaymentSchedule[[#Headers],[PMT NO]])&gt;ScheduledNumberOfPayments,"",ROW()-ROW(PaymentSchedule[[#Headers],[PMT NO]])),"")</f>
        <v>193</v>
      </c>
      <c r="C204" s="20">
        <f>IF(PaymentSchedule[[#This Row],[PMT NO]]&lt;&gt;"",EOMONTH(LoanStartDate,ROW(PaymentSchedule[[#This Row],[PMT NO]])-ROW(PaymentSchedule[[#Headers],[PMT NO]])-2)+DAY(LoanStartDate),"")</f>
        <v>49491</v>
      </c>
      <c r="D204" s="19">
        <f>IF(PaymentSchedule[[#This Row],[PMT NO]]&lt;&gt;"",IF(ROW()-ROW(PaymentSchedule[[#Headers],[BEGINNING BALANCE]])=1,LoanAmount,INDEX(PaymentSchedule[ENDING BALANCE],ROW()-ROW(PaymentSchedule[[#Headers],[BEGINNING BALANCE]])-1)),"")</f>
        <v>1527304.462076836</v>
      </c>
      <c r="E204" s="19">
        <f>IF(PaymentSchedule[[#This Row],[PMT NO]]&lt;&gt;"",ScheduledPayment,"")</f>
        <v>8050.5201209471252</v>
      </c>
      <c r="F20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04" s="19">
        <f>IF(PaymentSchedule[[#This Row],[PMT NO]]&lt;&gt;"",PaymentSchedule[[#This Row],[TOTAL PAYMENT]]-PaymentSchedule[[#This Row],[INTEREST]],"")</f>
        <v>3277.6936769570129</v>
      </c>
      <c r="I204" s="19">
        <f>IF(PaymentSchedule[[#This Row],[PMT NO]]&lt;&gt;"",PaymentSchedule[[#This Row],[BEGINNING BALANCE]]*(InterestRate/PaymentsPerYear),"")</f>
        <v>4772.8264439901122</v>
      </c>
      <c r="J20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1524026.7683998791</v>
      </c>
      <c r="K204" s="19">
        <f>IF(PaymentSchedule[[#This Row],[PMT NO]]&lt;&gt;"",SUM(INDEX(PaymentSchedule[INTEREST],1,1):PaymentSchedule[[#This Row],[INTEREST]]),"")</f>
        <v>1077777.1517426742</v>
      </c>
    </row>
    <row r="205" spans="2:11" x14ac:dyDescent="0.3">
      <c r="B205" s="21">
        <f>IF(LoanIsGood,IF(ROW()-ROW(PaymentSchedule[[#Headers],[PMT NO]])&gt;ScheduledNumberOfPayments,"",ROW()-ROW(PaymentSchedule[[#Headers],[PMT NO]])),"")</f>
        <v>194</v>
      </c>
      <c r="C205" s="20">
        <f>IF(PaymentSchedule[[#This Row],[PMT NO]]&lt;&gt;"",EOMONTH(LoanStartDate,ROW(PaymentSchedule[[#This Row],[PMT NO]])-ROW(PaymentSchedule[[#Headers],[PMT NO]])-2)+DAY(LoanStartDate),"")</f>
        <v>49522</v>
      </c>
      <c r="D205" s="19">
        <f>IF(PaymentSchedule[[#This Row],[PMT NO]]&lt;&gt;"",IF(ROW()-ROW(PaymentSchedule[[#Headers],[BEGINNING BALANCE]])=1,LoanAmount,INDEX(PaymentSchedule[ENDING BALANCE],ROW()-ROW(PaymentSchedule[[#Headers],[BEGINNING BALANCE]])-1)),"")</f>
        <v>1524026.7683998791</v>
      </c>
      <c r="E205" s="19">
        <f>IF(PaymentSchedule[[#This Row],[PMT NO]]&lt;&gt;"",ScheduledPayment,"")</f>
        <v>8050.5201209471252</v>
      </c>
      <c r="F20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05" s="19">
        <f>IF(PaymentSchedule[[#This Row],[PMT NO]]&lt;&gt;"",PaymentSchedule[[#This Row],[TOTAL PAYMENT]]-PaymentSchedule[[#This Row],[INTEREST]],"")</f>
        <v>3287.9364696975035</v>
      </c>
      <c r="I205" s="19">
        <f>IF(PaymentSchedule[[#This Row],[PMT NO]]&lt;&gt;"",PaymentSchedule[[#This Row],[BEGINNING BALANCE]]*(InterestRate/PaymentsPerYear),"")</f>
        <v>4762.5836512496217</v>
      </c>
      <c r="J20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1520738.8319301817</v>
      </c>
      <c r="K205" s="19">
        <f>IF(PaymentSchedule[[#This Row],[PMT NO]]&lt;&gt;"",SUM(INDEX(PaymentSchedule[INTEREST],1,1):PaymentSchedule[[#This Row],[INTEREST]]),"")</f>
        <v>1082539.7353939237</v>
      </c>
    </row>
    <row r="206" spans="2:11" x14ac:dyDescent="0.3">
      <c r="B206" s="21">
        <f>IF(LoanIsGood,IF(ROW()-ROW(PaymentSchedule[[#Headers],[PMT NO]])&gt;ScheduledNumberOfPayments,"",ROW()-ROW(PaymentSchedule[[#Headers],[PMT NO]])),"")</f>
        <v>195</v>
      </c>
      <c r="C206" s="20">
        <f>IF(PaymentSchedule[[#This Row],[PMT NO]]&lt;&gt;"",EOMONTH(LoanStartDate,ROW(PaymentSchedule[[#This Row],[PMT NO]])-ROW(PaymentSchedule[[#Headers],[PMT NO]])-2)+DAY(LoanStartDate),"")</f>
        <v>49553</v>
      </c>
      <c r="D206" s="19">
        <f>IF(PaymentSchedule[[#This Row],[PMT NO]]&lt;&gt;"",IF(ROW()-ROW(PaymentSchedule[[#Headers],[BEGINNING BALANCE]])=1,LoanAmount,INDEX(PaymentSchedule[ENDING BALANCE],ROW()-ROW(PaymentSchedule[[#Headers],[BEGINNING BALANCE]])-1)),"")</f>
        <v>1520738.8319301817</v>
      </c>
      <c r="E206" s="19">
        <f>IF(PaymentSchedule[[#This Row],[PMT NO]]&lt;&gt;"",ScheduledPayment,"")</f>
        <v>8050.5201209471252</v>
      </c>
      <c r="F20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06" s="19">
        <f>IF(PaymentSchedule[[#This Row],[PMT NO]]&lt;&gt;"",PaymentSchedule[[#This Row],[TOTAL PAYMENT]]-PaymentSchedule[[#This Row],[INTEREST]],"")</f>
        <v>3298.2112711653081</v>
      </c>
      <c r="I206" s="19">
        <f>IF(PaymentSchedule[[#This Row],[PMT NO]]&lt;&gt;"",PaymentSchedule[[#This Row],[BEGINNING BALANCE]]*(InterestRate/PaymentsPerYear),"")</f>
        <v>4752.3088497818171</v>
      </c>
      <c r="J20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1517440.6206590163</v>
      </c>
      <c r="K206" s="19">
        <f>IF(PaymentSchedule[[#This Row],[PMT NO]]&lt;&gt;"",SUM(INDEX(PaymentSchedule[INTEREST],1,1):PaymentSchedule[[#This Row],[INTEREST]]),"")</f>
        <v>1087292.0442437055</v>
      </c>
    </row>
    <row r="207" spans="2:11" x14ac:dyDescent="0.3">
      <c r="B207" s="21">
        <f>IF(LoanIsGood,IF(ROW()-ROW(PaymentSchedule[[#Headers],[PMT NO]])&gt;ScheduledNumberOfPayments,"",ROW()-ROW(PaymentSchedule[[#Headers],[PMT NO]])),"")</f>
        <v>196</v>
      </c>
      <c r="C207" s="20">
        <f>IF(PaymentSchedule[[#This Row],[PMT NO]]&lt;&gt;"",EOMONTH(LoanStartDate,ROW(PaymentSchedule[[#This Row],[PMT NO]])-ROW(PaymentSchedule[[#Headers],[PMT NO]])-2)+DAY(LoanStartDate),"")</f>
        <v>49583</v>
      </c>
      <c r="D207" s="19">
        <f>IF(PaymentSchedule[[#This Row],[PMT NO]]&lt;&gt;"",IF(ROW()-ROW(PaymentSchedule[[#Headers],[BEGINNING BALANCE]])=1,LoanAmount,INDEX(PaymentSchedule[ENDING BALANCE],ROW()-ROW(PaymentSchedule[[#Headers],[BEGINNING BALANCE]])-1)),"")</f>
        <v>1517440.6206590163</v>
      </c>
      <c r="E207" s="19">
        <f>IF(PaymentSchedule[[#This Row],[PMT NO]]&lt;&gt;"",ScheduledPayment,"")</f>
        <v>8050.5201209471252</v>
      </c>
      <c r="F20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07" s="19">
        <f>IF(PaymentSchedule[[#This Row],[PMT NO]]&lt;&gt;"",PaymentSchedule[[#This Row],[TOTAL PAYMENT]]-PaymentSchedule[[#This Row],[INTEREST]],"")</f>
        <v>3308.5181813876998</v>
      </c>
      <c r="I207" s="19">
        <f>IF(PaymentSchedule[[#This Row],[PMT NO]]&lt;&gt;"",PaymentSchedule[[#This Row],[BEGINNING BALANCE]]*(InterestRate/PaymentsPerYear),"")</f>
        <v>4742.0019395594254</v>
      </c>
      <c r="J20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1514132.1024776285</v>
      </c>
      <c r="K207" s="19">
        <f>IF(PaymentSchedule[[#This Row],[PMT NO]]&lt;&gt;"",SUM(INDEX(PaymentSchedule[INTEREST],1,1):PaymentSchedule[[#This Row],[INTEREST]]),"")</f>
        <v>1092034.0461832648</v>
      </c>
    </row>
    <row r="208" spans="2:11" x14ac:dyDescent="0.3">
      <c r="B208" s="21">
        <f>IF(LoanIsGood,IF(ROW()-ROW(PaymentSchedule[[#Headers],[PMT NO]])&gt;ScheduledNumberOfPayments,"",ROW()-ROW(PaymentSchedule[[#Headers],[PMT NO]])),"")</f>
        <v>197</v>
      </c>
      <c r="C208" s="20">
        <f>IF(PaymentSchedule[[#This Row],[PMT NO]]&lt;&gt;"",EOMONTH(LoanStartDate,ROW(PaymentSchedule[[#This Row],[PMT NO]])-ROW(PaymentSchedule[[#Headers],[PMT NO]])-2)+DAY(LoanStartDate),"")</f>
        <v>49614</v>
      </c>
      <c r="D208" s="19">
        <f>IF(PaymentSchedule[[#This Row],[PMT NO]]&lt;&gt;"",IF(ROW()-ROW(PaymentSchedule[[#Headers],[BEGINNING BALANCE]])=1,LoanAmount,INDEX(PaymentSchedule[ENDING BALANCE],ROW()-ROW(PaymentSchedule[[#Headers],[BEGINNING BALANCE]])-1)),"")</f>
        <v>1514132.1024776285</v>
      </c>
      <c r="E208" s="19">
        <f>IF(PaymentSchedule[[#This Row],[PMT NO]]&lt;&gt;"",ScheduledPayment,"")</f>
        <v>8050.5201209471252</v>
      </c>
      <c r="F20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08" s="19">
        <f>IF(PaymentSchedule[[#This Row],[PMT NO]]&lt;&gt;"",PaymentSchedule[[#This Row],[TOTAL PAYMENT]]-PaymentSchedule[[#This Row],[INTEREST]],"")</f>
        <v>3318.8573007045361</v>
      </c>
      <c r="I208" s="19">
        <f>IF(PaymentSchedule[[#This Row],[PMT NO]]&lt;&gt;"",PaymentSchedule[[#This Row],[BEGINNING BALANCE]]*(InterestRate/PaymentsPerYear),"")</f>
        <v>4731.6628202425891</v>
      </c>
      <c r="J20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1510813.2451769239</v>
      </c>
      <c r="K208" s="19">
        <f>IF(PaymentSchedule[[#This Row],[PMT NO]]&lt;&gt;"",SUM(INDEX(PaymentSchedule[INTEREST],1,1):PaymentSchedule[[#This Row],[INTEREST]]),"")</f>
        <v>1096765.7090035074</v>
      </c>
    </row>
    <row r="209" spans="2:11" x14ac:dyDescent="0.3">
      <c r="B209" s="21">
        <f>IF(LoanIsGood,IF(ROW()-ROW(PaymentSchedule[[#Headers],[PMT NO]])&gt;ScheduledNumberOfPayments,"",ROW()-ROW(PaymentSchedule[[#Headers],[PMT NO]])),"")</f>
        <v>198</v>
      </c>
      <c r="C209" s="20">
        <f>IF(PaymentSchedule[[#This Row],[PMT NO]]&lt;&gt;"",EOMONTH(LoanStartDate,ROW(PaymentSchedule[[#This Row],[PMT NO]])-ROW(PaymentSchedule[[#Headers],[PMT NO]])-2)+DAY(LoanStartDate),"")</f>
        <v>49644</v>
      </c>
      <c r="D209" s="19">
        <f>IF(PaymentSchedule[[#This Row],[PMT NO]]&lt;&gt;"",IF(ROW()-ROW(PaymentSchedule[[#Headers],[BEGINNING BALANCE]])=1,LoanAmount,INDEX(PaymentSchedule[ENDING BALANCE],ROW()-ROW(PaymentSchedule[[#Headers],[BEGINNING BALANCE]])-1)),"")</f>
        <v>1510813.2451769239</v>
      </c>
      <c r="E209" s="19">
        <f>IF(PaymentSchedule[[#This Row],[PMT NO]]&lt;&gt;"",ScheduledPayment,"")</f>
        <v>8050.5201209471252</v>
      </c>
      <c r="F20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09" s="19">
        <f>IF(PaymentSchedule[[#This Row],[PMT NO]]&lt;&gt;"",PaymentSchedule[[#This Row],[TOTAL PAYMENT]]-PaymentSchedule[[#This Row],[INTEREST]],"")</f>
        <v>3329.2287297692383</v>
      </c>
      <c r="I209" s="19">
        <f>IF(PaymentSchedule[[#This Row],[PMT NO]]&lt;&gt;"",PaymentSchedule[[#This Row],[BEGINNING BALANCE]]*(InterestRate/PaymentsPerYear),"")</f>
        <v>4721.2913911778869</v>
      </c>
      <c r="J20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1507484.0164471548</v>
      </c>
      <c r="K209" s="19">
        <f>IF(PaymentSchedule[[#This Row],[PMT NO]]&lt;&gt;"",SUM(INDEX(PaymentSchedule[INTEREST],1,1):PaymentSchedule[[#This Row],[INTEREST]]),"")</f>
        <v>1101487.0003946852</v>
      </c>
    </row>
    <row r="210" spans="2:11" x14ac:dyDescent="0.3">
      <c r="B210" s="21">
        <f>IF(LoanIsGood,IF(ROW()-ROW(PaymentSchedule[[#Headers],[PMT NO]])&gt;ScheduledNumberOfPayments,"",ROW()-ROW(PaymentSchedule[[#Headers],[PMT NO]])),"")</f>
        <v>199</v>
      </c>
      <c r="C210" s="20">
        <f>IF(PaymentSchedule[[#This Row],[PMT NO]]&lt;&gt;"",EOMONTH(LoanStartDate,ROW(PaymentSchedule[[#This Row],[PMT NO]])-ROW(PaymentSchedule[[#Headers],[PMT NO]])-2)+DAY(LoanStartDate),"")</f>
        <v>49675</v>
      </c>
      <c r="D210" s="19">
        <f>IF(PaymentSchedule[[#This Row],[PMT NO]]&lt;&gt;"",IF(ROW()-ROW(PaymentSchedule[[#Headers],[BEGINNING BALANCE]])=1,LoanAmount,INDEX(PaymentSchedule[ENDING BALANCE],ROW()-ROW(PaymentSchedule[[#Headers],[BEGINNING BALANCE]])-1)),"")</f>
        <v>1507484.0164471548</v>
      </c>
      <c r="E210" s="19">
        <f>IF(PaymentSchedule[[#This Row],[PMT NO]]&lt;&gt;"",ScheduledPayment,"")</f>
        <v>8050.5201209471252</v>
      </c>
      <c r="F21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10" s="19">
        <f>IF(PaymentSchedule[[#This Row],[PMT NO]]&lt;&gt;"",PaymentSchedule[[#This Row],[TOTAL PAYMENT]]-PaymentSchedule[[#This Row],[INTEREST]],"")</f>
        <v>3339.6325695497671</v>
      </c>
      <c r="I210" s="19">
        <f>IF(PaymentSchedule[[#This Row],[PMT NO]]&lt;&gt;"",PaymentSchedule[[#This Row],[BEGINNING BALANCE]]*(InterestRate/PaymentsPerYear),"")</f>
        <v>4710.887551397358</v>
      </c>
      <c r="J21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1504144.383877605</v>
      </c>
      <c r="K210" s="19">
        <f>IF(PaymentSchedule[[#This Row],[PMT NO]]&lt;&gt;"",SUM(INDEX(PaymentSchedule[INTEREST],1,1):PaymentSchedule[[#This Row],[INTEREST]]),"")</f>
        <v>1106197.8879460825</v>
      </c>
    </row>
    <row r="211" spans="2:11" x14ac:dyDescent="0.3">
      <c r="B211" s="21">
        <f>IF(LoanIsGood,IF(ROW()-ROW(PaymentSchedule[[#Headers],[PMT NO]])&gt;ScheduledNumberOfPayments,"",ROW()-ROW(PaymentSchedule[[#Headers],[PMT NO]])),"")</f>
        <v>200</v>
      </c>
      <c r="C211" s="20">
        <f>IF(PaymentSchedule[[#This Row],[PMT NO]]&lt;&gt;"",EOMONTH(LoanStartDate,ROW(PaymentSchedule[[#This Row],[PMT NO]])-ROW(PaymentSchedule[[#Headers],[PMT NO]])-2)+DAY(LoanStartDate),"")</f>
        <v>49706</v>
      </c>
      <c r="D211" s="19">
        <f>IF(PaymentSchedule[[#This Row],[PMT NO]]&lt;&gt;"",IF(ROW()-ROW(PaymentSchedule[[#Headers],[BEGINNING BALANCE]])=1,LoanAmount,INDEX(PaymentSchedule[ENDING BALANCE],ROW()-ROW(PaymentSchedule[[#Headers],[BEGINNING BALANCE]])-1)),"")</f>
        <v>1504144.383877605</v>
      </c>
      <c r="E211" s="19">
        <f>IF(PaymentSchedule[[#This Row],[PMT NO]]&lt;&gt;"",ScheduledPayment,"")</f>
        <v>8050.5201209471252</v>
      </c>
      <c r="F21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11" s="19">
        <f>IF(PaymentSchedule[[#This Row],[PMT NO]]&lt;&gt;"",PaymentSchedule[[#This Row],[TOTAL PAYMENT]]-PaymentSchedule[[#This Row],[INTEREST]],"")</f>
        <v>3350.06892132961</v>
      </c>
      <c r="I211" s="19">
        <f>IF(PaymentSchedule[[#This Row],[PMT NO]]&lt;&gt;"",PaymentSchedule[[#This Row],[BEGINNING BALANCE]]*(InterestRate/PaymentsPerYear),"")</f>
        <v>4700.4511996175152</v>
      </c>
      <c r="J21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1500794.3149562753</v>
      </c>
      <c r="K211" s="19">
        <f>IF(PaymentSchedule[[#This Row],[PMT NO]]&lt;&gt;"",SUM(INDEX(PaymentSchedule[INTEREST],1,1):PaymentSchedule[[#This Row],[INTEREST]]),"")</f>
        <v>1110898.3391457</v>
      </c>
    </row>
    <row r="212" spans="2:11" x14ac:dyDescent="0.3">
      <c r="B212" s="21">
        <f>IF(LoanIsGood,IF(ROW()-ROW(PaymentSchedule[[#Headers],[PMT NO]])&gt;ScheduledNumberOfPayments,"",ROW()-ROW(PaymentSchedule[[#Headers],[PMT NO]])),"")</f>
        <v>201</v>
      </c>
      <c r="C212" s="20">
        <f>IF(PaymentSchedule[[#This Row],[PMT NO]]&lt;&gt;"",EOMONTH(LoanStartDate,ROW(PaymentSchedule[[#This Row],[PMT NO]])-ROW(PaymentSchedule[[#Headers],[PMT NO]])-2)+DAY(LoanStartDate),"")</f>
        <v>49735</v>
      </c>
      <c r="D212" s="19">
        <f>IF(PaymentSchedule[[#This Row],[PMT NO]]&lt;&gt;"",IF(ROW()-ROW(PaymentSchedule[[#Headers],[BEGINNING BALANCE]])=1,LoanAmount,INDEX(PaymentSchedule[ENDING BALANCE],ROW()-ROW(PaymentSchedule[[#Headers],[BEGINNING BALANCE]])-1)),"")</f>
        <v>1500794.3149562753</v>
      </c>
      <c r="E212" s="19">
        <f>IF(PaymentSchedule[[#This Row],[PMT NO]]&lt;&gt;"",ScheduledPayment,"")</f>
        <v>8050.5201209471252</v>
      </c>
      <c r="F21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12" s="19">
        <f>IF(PaymentSchedule[[#This Row],[PMT NO]]&lt;&gt;"",PaymentSchedule[[#This Row],[TOTAL PAYMENT]]-PaymentSchedule[[#This Row],[INTEREST]],"")</f>
        <v>3360.5378867087657</v>
      </c>
      <c r="I212" s="19">
        <f>IF(PaymentSchedule[[#This Row],[PMT NO]]&lt;&gt;"",PaymentSchedule[[#This Row],[BEGINNING BALANCE]]*(InterestRate/PaymentsPerYear),"")</f>
        <v>4689.9822342383595</v>
      </c>
      <c r="J21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1497433.7770695665</v>
      </c>
      <c r="K212" s="19">
        <f>IF(PaymentSchedule[[#This Row],[PMT NO]]&lt;&gt;"",SUM(INDEX(PaymentSchedule[INTEREST],1,1):PaymentSchedule[[#This Row],[INTEREST]]),"")</f>
        <v>1115588.3213799384</v>
      </c>
    </row>
    <row r="213" spans="2:11" x14ac:dyDescent="0.3">
      <c r="B213" s="21">
        <f>IF(LoanIsGood,IF(ROW()-ROW(PaymentSchedule[[#Headers],[PMT NO]])&gt;ScheduledNumberOfPayments,"",ROW()-ROW(PaymentSchedule[[#Headers],[PMT NO]])),"")</f>
        <v>202</v>
      </c>
      <c r="C213" s="20">
        <f>IF(PaymentSchedule[[#This Row],[PMT NO]]&lt;&gt;"",EOMONTH(LoanStartDate,ROW(PaymentSchedule[[#This Row],[PMT NO]])-ROW(PaymentSchedule[[#Headers],[PMT NO]])-2)+DAY(LoanStartDate),"")</f>
        <v>49766</v>
      </c>
      <c r="D213" s="19">
        <f>IF(PaymentSchedule[[#This Row],[PMT NO]]&lt;&gt;"",IF(ROW()-ROW(PaymentSchedule[[#Headers],[BEGINNING BALANCE]])=1,LoanAmount,INDEX(PaymentSchedule[ENDING BALANCE],ROW()-ROW(PaymentSchedule[[#Headers],[BEGINNING BALANCE]])-1)),"")</f>
        <v>1497433.7770695665</v>
      </c>
      <c r="E213" s="19">
        <f>IF(PaymentSchedule[[#This Row],[PMT NO]]&lt;&gt;"",ScheduledPayment,"")</f>
        <v>8050.5201209471252</v>
      </c>
      <c r="F21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13" s="19">
        <f>IF(PaymentSchedule[[#This Row],[PMT NO]]&lt;&gt;"",PaymentSchedule[[#This Row],[TOTAL PAYMENT]]-PaymentSchedule[[#This Row],[INTEREST]],"")</f>
        <v>3371.0395676047301</v>
      </c>
      <c r="I213" s="19">
        <f>IF(PaymentSchedule[[#This Row],[PMT NO]]&lt;&gt;"",PaymentSchedule[[#This Row],[BEGINNING BALANCE]]*(InterestRate/PaymentsPerYear),"")</f>
        <v>4679.4805533423951</v>
      </c>
      <c r="J21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1494062.7375019619</v>
      </c>
      <c r="K213" s="19">
        <f>IF(PaymentSchedule[[#This Row],[PMT NO]]&lt;&gt;"",SUM(INDEX(PaymentSchedule[INTEREST],1,1):PaymentSchedule[[#This Row],[INTEREST]]),"")</f>
        <v>1120267.8019332809</v>
      </c>
    </row>
    <row r="214" spans="2:11" x14ac:dyDescent="0.3">
      <c r="B214" s="21">
        <f>IF(LoanIsGood,IF(ROW()-ROW(PaymentSchedule[[#Headers],[PMT NO]])&gt;ScheduledNumberOfPayments,"",ROW()-ROW(PaymentSchedule[[#Headers],[PMT NO]])),"")</f>
        <v>203</v>
      </c>
      <c r="C214" s="20">
        <f>IF(PaymentSchedule[[#This Row],[PMT NO]]&lt;&gt;"",EOMONTH(LoanStartDate,ROW(PaymentSchedule[[#This Row],[PMT NO]])-ROW(PaymentSchedule[[#Headers],[PMT NO]])-2)+DAY(LoanStartDate),"")</f>
        <v>49796</v>
      </c>
      <c r="D214" s="19">
        <f>IF(PaymentSchedule[[#This Row],[PMT NO]]&lt;&gt;"",IF(ROW()-ROW(PaymentSchedule[[#Headers],[BEGINNING BALANCE]])=1,LoanAmount,INDEX(PaymentSchedule[ENDING BALANCE],ROW()-ROW(PaymentSchedule[[#Headers],[BEGINNING BALANCE]])-1)),"")</f>
        <v>1494062.7375019619</v>
      </c>
      <c r="E214" s="19">
        <f>IF(PaymentSchedule[[#This Row],[PMT NO]]&lt;&gt;"",ScheduledPayment,"")</f>
        <v>8050.5201209471252</v>
      </c>
      <c r="F21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14" s="19">
        <f>IF(PaymentSchedule[[#This Row],[PMT NO]]&lt;&gt;"",PaymentSchedule[[#This Row],[TOTAL PAYMENT]]-PaymentSchedule[[#This Row],[INTEREST]],"")</f>
        <v>3381.5740662534945</v>
      </c>
      <c r="I214" s="19">
        <f>IF(PaymentSchedule[[#This Row],[PMT NO]]&lt;&gt;"",PaymentSchedule[[#This Row],[BEGINNING BALANCE]]*(InterestRate/PaymentsPerYear),"")</f>
        <v>4668.9460546936307</v>
      </c>
      <c r="J21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1490681.1634357085</v>
      </c>
      <c r="K214" s="19">
        <f>IF(PaymentSchedule[[#This Row],[PMT NO]]&lt;&gt;"",SUM(INDEX(PaymentSchedule[INTEREST],1,1):PaymentSchedule[[#This Row],[INTEREST]]),"")</f>
        <v>1124936.7479879744</v>
      </c>
    </row>
    <row r="215" spans="2:11" x14ac:dyDescent="0.3">
      <c r="B215" s="21">
        <f>IF(LoanIsGood,IF(ROW()-ROW(PaymentSchedule[[#Headers],[PMT NO]])&gt;ScheduledNumberOfPayments,"",ROW()-ROW(PaymentSchedule[[#Headers],[PMT NO]])),"")</f>
        <v>204</v>
      </c>
      <c r="C215" s="20">
        <f>IF(PaymentSchedule[[#This Row],[PMT NO]]&lt;&gt;"",EOMONTH(LoanStartDate,ROW(PaymentSchedule[[#This Row],[PMT NO]])-ROW(PaymentSchedule[[#Headers],[PMT NO]])-2)+DAY(LoanStartDate),"")</f>
        <v>49827</v>
      </c>
      <c r="D215" s="19">
        <f>IF(PaymentSchedule[[#This Row],[PMT NO]]&lt;&gt;"",IF(ROW()-ROW(PaymentSchedule[[#Headers],[BEGINNING BALANCE]])=1,LoanAmount,INDEX(PaymentSchedule[ENDING BALANCE],ROW()-ROW(PaymentSchedule[[#Headers],[BEGINNING BALANCE]])-1)),"")</f>
        <v>1490681.1634357085</v>
      </c>
      <c r="E215" s="19">
        <f>IF(PaymentSchedule[[#This Row],[PMT NO]]&lt;&gt;"",ScheduledPayment,"")</f>
        <v>8050.5201209471252</v>
      </c>
      <c r="F21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15" s="19">
        <f>IF(PaymentSchedule[[#This Row],[PMT NO]]&lt;&gt;"",PaymentSchedule[[#This Row],[TOTAL PAYMENT]]-PaymentSchedule[[#This Row],[INTEREST]],"")</f>
        <v>3392.1414852105363</v>
      </c>
      <c r="I215" s="19">
        <f>IF(PaymentSchedule[[#This Row],[PMT NO]]&lt;&gt;"",PaymentSchedule[[#This Row],[BEGINNING BALANCE]]*(InterestRate/PaymentsPerYear),"")</f>
        <v>4658.3786357365889</v>
      </c>
      <c r="J21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1487289.021950498</v>
      </c>
      <c r="K215" s="19">
        <f>IF(PaymentSchedule[[#This Row],[PMT NO]]&lt;&gt;"",SUM(INDEX(PaymentSchedule[INTEREST],1,1):PaymentSchedule[[#This Row],[INTEREST]]),"")</f>
        <v>1129595.1266237111</v>
      </c>
    </row>
    <row r="216" spans="2:11" x14ac:dyDescent="0.3">
      <c r="B216" s="21">
        <f>IF(LoanIsGood,IF(ROW()-ROW(PaymentSchedule[[#Headers],[PMT NO]])&gt;ScheduledNumberOfPayments,"",ROW()-ROW(PaymentSchedule[[#Headers],[PMT NO]])),"")</f>
        <v>205</v>
      </c>
      <c r="C216" s="20">
        <f>IF(PaymentSchedule[[#This Row],[PMT NO]]&lt;&gt;"",EOMONTH(LoanStartDate,ROW(PaymentSchedule[[#This Row],[PMT NO]])-ROW(PaymentSchedule[[#Headers],[PMT NO]])-2)+DAY(LoanStartDate),"")</f>
        <v>49857</v>
      </c>
      <c r="D216" s="19">
        <f>IF(PaymentSchedule[[#This Row],[PMT NO]]&lt;&gt;"",IF(ROW()-ROW(PaymentSchedule[[#Headers],[BEGINNING BALANCE]])=1,LoanAmount,INDEX(PaymentSchedule[ENDING BALANCE],ROW()-ROW(PaymentSchedule[[#Headers],[BEGINNING BALANCE]])-1)),"")</f>
        <v>1487289.021950498</v>
      </c>
      <c r="E216" s="19">
        <f>IF(PaymentSchedule[[#This Row],[PMT NO]]&lt;&gt;"",ScheduledPayment,"")</f>
        <v>8050.5201209471252</v>
      </c>
      <c r="F21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16" s="19">
        <f>IF(PaymentSchedule[[#This Row],[PMT NO]]&lt;&gt;"",PaymentSchedule[[#This Row],[TOTAL PAYMENT]]-PaymentSchedule[[#This Row],[INTEREST]],"")</f>
        <v>3402.741927351819</v>
      </c>
      <c r="I216" s="19">
        <f>IF(PaymentSchedule[[#This Row],[PMT NO]]&lt;&gt;"",PaymentSchedule[[#This Row],[BEGINNING BALANCE]]*(InterestRate/PaymentsPerYear),"")</f>
        <v>4647.7781935953062</v>
      </c>
      <c r="J21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1483886.2800231462</v>
      </c>
      <c r="K216" s="19">
        <f>IF(PaymentSchedule[[#This Row],[PMT NO]]&lt;&gt;"",SUM(INDEX(PaymentSchedule[INTEREST],1,1):PaymentSchedule[[#This Row],[INTEREST]]),"")</f>
        <v>1134242.9048173064</v>
      </c>
    </row>
    <row r="217" spans="2:11" x14ac:dyDescent="0.3">
      <c r="B217" s="21">
        <f>IF(LoanIsGood,IF(ROW()-ROW(PaymentSchedule[[#Headers],[PMT NO]])&gt;ScheduledNumberOfPayments,"",ROW()-ROW(PaymentSchedule[[#Headers],[PMT NO]])),"")</f>
        <v>206</v>
      </c>
      <c r="C217" s="20">
        <f>IF(PaymentSchedule[[#This Row],[PMT NO]]&lt;&gt;"",EOMONTH(LoanStartDate,ROW(PaymentSchedule[[#This Row],[PMT NO]])-ROW(PaymentSchedule[[#Headers],[PMT NO]])-2)+DAY(LoanStartDate),"")</f>
        <v>49888</v>
      </c>
      <c r="D217" s="19">
        <f>IF(PaymentSchedule[[#This Row],[PMT NO]]&lt;&gt;"",IF(ROW()-ROW(PaymentSchedule[[#Headers],[BEGINNING BALANCE]])=1,LoanAmount,INDEX(PaymentSchedule[ENDING BALANCE],ROW()-ROW(PaymentSchedule[[#Headers],[BEGINNING BALANCE]])-1)),"")</f>
        <v>1483886.2800231462</v>
      </c>
      <c r="E217" s="19">
        <f>IF(PaymentSchedule[[#This Row],[PMT NO]]&lt;&gt;"",ScheduledPayment,"")</f>
        <v>8050.5201209471252</v>
      </c>
      <c r="F21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17" s="19">
        <f>IF(PaymentSchedule[[#This Row],[PMT NO]]&lt;&gt;"",PaymentSchedule[[#This Row],[TOTAL PAYMENT]]-PaymentSchedule[[#This Row],[INTEREST]],"")</f>
        <v>3413.3754958747941</v>
      </c>
      <c r="I217" s="19">
        <f>IF(PaymentSchedule[[#This Row],[PMT NO]]&lt;&gt;"",PaymentSchedule[[#This Row],[BEGINNING BALANCE]]*(InterestRate/PaymentsPerYear),"")</f>
        <v>4637.1446250723311</v>
      </c>
      <c r="J21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1480472.9045272714</v>
      </c>
      <c r="K217" s="19">
        <f>IF(PaymentSchedule[[#This Row],[PMT NO]]&lt;&gt;"",SUM(INDEX(PaymentSchedule[INTEREST],1,1):PaymentSchedule[[#This Row],[INTEREST]]),"")</f>
        <v>1138880.0494423788</v>
      </c>
    </row>
    <row r="218" spans="2:11" x14ac:dyDescent="0.3">
      <c r="B218" s="21">
        <f>IF(LoanIsGood,IF(ROW()-ROW(PaymentSchedule[[#Headers],[PMT NO]])&gt;ScheduledNumberOfPayments,"",ROW()-ROW(PaymentSchedule[[#Headers],[PMT NO]])),"")</f>
        <v>207</v>
      </c>
      <c r="C218" s="20">
        <f>IF(PaymentSchedule[[#This Row],[PMT NO]]&lt;&gt;"",EOMONTH(LoanStartDate,ROW(PaymentSchedule[[#This Row],[PMT NO]])-ROW(PaymentSchedule[[#Headers],[PMT NO]])-2)+DAY(LoanStartDate),"")</f>
        <v>49919</v>
      </c>
      <c r="D218" s="19">
        <f>IF(PaymentSchedule[[#This Row],[PMT NO]]&lt;&gt;"",IF(ROW()-ROW(PaymentSchedule[[#Headers],[BEGINNING BALANCE]])=1,LoanAmount,INDEX(PaymentSchedule[ENDING BALANCE],ROW()-ROW(PaymentSchedule[[#Headers],[BEGINNING BALANCE]])-1)),"")</f>
        <v>1480472.9045272714</v>
      </c>
      <c r="E218" s="19">
        <f>IF(PaymentSchedule[[#This Row],[PMT NO]]&lt;&gt;"",ScheduledPayment,"")</f>
        <v>8050.5201209471252</v>
      </c>
      <c r="F21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18" s="19">
        <f>IF(PaymentSchedule[[#This Row],[PMT NO]]&lt;&gt;"",PaymentSchedule[[#This Row],[TOTAL PAYMENT]]-PaymentSchedule[[#This Row],[INTEREST]],"")</f>
        <v>3424.0422942994028</v>
      </c>
      <c r="I218" s="19">
        <f>IF(PaymentSchedule[[#This Row],[PMT NO]]&lt;&gt;"",PaymentSchedule[[#This Row],[BEGINNING BALANCE]]*(InterestRate/PaymentsPerYear),"")</f>
        <v>4626.4778266477224</v>
      </c>
      <c r="J21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1477048.8622329719</v>
      </c>
      <c r="K218" s="19">
        <f>IF(PaymentSchedule[[#This Row],[PMT NO]]&lt;&gt;"",SUM(INDEX(PaymentSchedule[INTEREST],1,1):PaymentSchedule[[#This Row],[INTEREST]]),"")</f>
        <v>1143506.5272690265</v>
      </c>
    </row>
    <row r="219" spans="2:11" x14ac:dyDescent="0.3">
      <c r="B219" s="21">
        <f>IF(LoanIsGood,IF(ROW()-ROW(PaymentSchedule[[#Headers],[PMT NO]])&gt;ScheduledNumberOfPayments,"",ROW()-ROW(PaymentSchedule[[#Headers],[PMT NO]])),"")</f>
        <v>208</v>
      </c>
      <c r="C219" s="20">
        <f>IF(PaymentSchedule[[#This Row],[PMT NO]]&lt;&gt;"",EOMONTH(LoanStartDate,ROW(PaymentSchedule[[#This Row],[PMT NO]])-ROW(PaymentSchedule[[#Headers],[PMT NO]])-2)+DAY(LoanStartDate),"")</f>
        <v>49949</v>
      </c>
      <c r="D219" s="19">
        <f>IF(PaymentSchedule[[#This Row],[PMT NO]]&lt;&gt;"",IF(ROW()-ROW(PaymentSchedule[[#Headers],[BEGINNING BALANCE]])=1,LoanAmount,INDEX(PaymentSchedule[ENDING BALANCE],ROW()-ROW(PaymentSchedule[[#Headers],[BEGINNING BALANCE]])-1)),"")</f>
        <v>1477048.8622329719</v>
      </c>
      <c r="E219" s="19">
        <f>IF(PaymentSchedule[[#This Row],[PMT NO]]&lt;&gt;"",ScheduledPayment,"")</f>
        <v>8050.5201209471252</v>
      </c>
      <c r="F21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19" s="19">
        <f>IF(PaymentSchedule[[#This Row],[PMT NO]]&lt;&gt;"",PaymentSchedule[[#This Row],[TOTAL PAYMENT]]-PaymentSchedule[[#This Row],[INTEREST]],"")</f>
        <v>3434.7424264690881</v>
      </c>
      <c r="I219" s="19">
        <f>IF(PaymentSchedule[[#This Row],[PMT NO]]&lt;&gt;"",PaymentSchedule[[#This Row],[BEGINNING BALANCE]]*(InterestRate/PaymentsPerYear),"")</f>
        <v>4615.7776944780371</v>
      </c>
      <c r="J21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1473614.1198065029</v>
      </c>
      <c r="K219" s="19">
        <f>IF(PaymentSchedule[[#This Row],[PMT NO]]&lt;&gt;"",SUM(INDEX(PaymentSchedule[INTEREST],1,1):PaymentSchedule[[#This Row],[INTEREST]]),"")</f>
        <v>1148122.3049635044</v>
      </c>
    </row>
    <row r="220" spans="2:11" x14ac:dyDescent="0.3">
      <c r="B220" s="21">
        <f>IF(LoanIsGood,IF(ROW()-ROW(PaymentSchedule[[#Headers],[PMT NO]])&gt;ScheduledNumberOfPayments,"",ROW()-ROW(PaymentSchedule[[#Headers],[PMT NO]])),"")</f>
        <v>209</v>
      </c>
      <c r="C220" s="20">
        <f>IF(PaymentSchedule[[#This Row],[PMT NO]]&lt;&gt;"",EOMONTH(LoanStartDate,ROW(PaymentSchedule[[#This Row],[PMT NO]])-ROW(PaymentSchedule[[#Headers],[PMT NO]])-2)+DAY(LoanStartDate),"")</f>
        <v>49980</v>
      </c>
      <c r="D220" s="19">
        <f>IF(PaymentSchedule[[#This Row],[PMT NO]]&lt;&gt;"",IF(ROW()-ROW(PaymentSchedule[[#Headers],[BEGINNING BALANCE]])=1,LoanAmount,INDEX(PaymentSchedule[ENDING BALANCE],ROW()-ROW(PaymentSchedule[[#Headers],[BEGINNING BALANCE]])-1)),"")</f>
        <v>1473614.1198065029</v>
      </c>
      <c r="E220" s="19">
        <f>IF(PaymentSchedule[[#This Row],[PMT NO]]&lt;&gt;"",ScheduledPayment,"")</f>
        <v>8050.5201209471252</v>
      </c>
      <c r="F22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20" s="19">
        <f>IF(PaymentSchedule[[#This Row],[PMT NO]]&lt;&gt;"",PaymentSchedule[[#This Row],[TOTAL PAYMENT]]-PaymentSchedule[[#This Row],[INTEREST]],"")</f>
        <v>3445.4759965518042</v>
      </c>
      <c r="I220" s="19">
        <f>IF(PaymentSchedule[[#This Row],[PMT NO]]&lt;&gt;"",PaymentSchedule[[#This Row],[BEGINNING BALANCE]]*(InterestRate/PaymentsPerYear),"")</f>
        <v>4605.044124395321</v>
      </c>
      <c r="J22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1470168.6438099511</v>
      </c>
      <c r="K220" s="19">
        <f>IF(PaymentSchedule[[#This Row],[PMT NO]]&lt;&gt;"",SUM(INDEX(PaymentSchedule[INTEREST],1,1):PaymentSchedule[[#This Row],[INTEREST]]),"")</f>
        <v>1152727.3490878998</v>
      </c>
    </row>
    <row r="221" spans="2:11" x14ac:dyDescent="0.3">
      <c r="B221" s="21">
        <f>IF(LoanIsGood,IF(ROW()-ROW(PaymentSchedule[[#Headers],[PMT NO]])&gt;ScheduledNumberOfPayments,"",ROW()-ROW(PaymentSchedule[[#Headers],[PMT NO]])),"")</f>
        <v>210</v>
      </c>
      <c r="C221" s="20">
        <f>IF(PaymentSchedule[[#This Row],[PMT NO]]&lt;&gt;"",EOMONTH(LoanStartDate,ROW(PaymentSchedule[[#This Row],[PMT NO]])-ROW(PaymentSchedule[[#Headers],[PMT NO]])-2)+DAY(LoanStartDate),"")</f>
        <v>50010</v>
      </c>
      <c r="D221" s="19">
        <f>IF(PaymentSchedule[[#This Row],[PMT NO]]&lt;&gt;"",IF(ROW()-ROW(PaymentSchedule[[#Headers],[BEGINNING BALANCE]])=1,LoanAmount,INDEX(PaymentSchedule[ENDING BALANCE],ROW()-ROW(PaymentSchedule[[#Headers],[BEGINNING BALANCE]])-1)),"")</f>
        <v>1470168.6438099511</v>
      </c>
      <c r="E221" s="19">
        <f>IF(PaymentSchedule[[#This Row],[PMT NO]]&lt;&gt;"",ScheduledPayment,"")</f>
        <v>8050.5201209471252</v>
      </c>
      <c r="F22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21" s="19">
        <f>IF(PaymentSchedule[[#This Row],[PMT NO]]&lt;&gt;"",PaymentSchedule[[#This Row],[TOTAL PAYMENT]]-PaymentSchedule[[#This Row],[INTEREST]],"")</f>
        <v>3456.2431090410282</v>
      </c>
      <c r="I221" s="19">
        <f>IF(PaymentSchedule[[#This Row],[PMT NO]]&lt;&gt;"",PaymentSchedule[[#This Row],[BEGINNING BALANCE]]*(InterestRate/PaymentsPerYear),"")</f>
        <v>4594.277011906097</v>
      </c>
      <c r="J22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1466712.40070091</v>
      </c>
      <c r="K221" s="19">
        <f>IF(PaymentSchedule[[#This Row],[PMT NO]]&lt;&gt;"",SUM(INDEX(PaymentSchedule[INTEREST],1,1):PaymentSchedule[[#This Row],[INTEREST]]),"")</f>
        <v>1157321.6260998058</v>
      </c>
    </row>
    <row r="222" spans="2:11" x14ac:dyDescent="0.3">
      <c r="B222" s="21">
        <f>IF(LoanIsGood,IF(ROW()-ROW(PaymentSchedule[[#Headers],[PMT NO]])&gt;ScheduledNumberOfPayments,"",ROW()-ROW(PaymentSchedule[[#Headers],[PMT NO]])),"")</f>
        <v>211</v>
      </c>
      <c r="C222" s="20">
        <f>IF(PaymentSchedule[[#This Row],[PMT NO]]&lt;&gt;"",EOMONTH(LoanStartDate,ROW(PaymentSchedule[[#This Row],[PMT NO]])-ROW(PaymentSchedule[[#Headers],[PMT NO]])-2)+DAY(LoanStartDate),"")</f>
        <v>50041</v>
      </c>
      <c r="D222" s="19">
        <f>IF(PaymentSchedule[[#This Row],[PMT NO]]&lt;&gt;"",IF(ROW()-ROW(PaymentSchedule[[#Headers],[BEGINNING BALANCE]])=1,LoanAmount,INDEX(PaymentSchedule[ENDING BALANCE],ROW()-ROW(PaymentSchedule[[#Headers],[BEGINNING BALANCE]])-1)),"")</f>
        <v>1466712.40070091</v>
      </c>
      <c r="E222" s="19">
        <f>IF(PaymentSchedule[[#This Row],[PMT NO]]&lt;&gt;"",ScheduledPayment,"")</f>
        <v>8050.5201209471252</v>
      </c>
      <c r="F22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22" s="19">
        <f>IF(PaymentSchedule[[#This Row],[PMT NO]]&lt;&gt;"",PaymentSchedule[[#This Row],[TOTAL PAYMENT]]-PaymentSchedule[[#This Row],[INTEREST]],"")</f>
        <v>3467.0438687567821</v>
      </c>
      <c r="I222" s="19">
        <f>IF(PaymentSchedule[[#This Row],[PMT NO]]&lt;&gt;"",PaymentSchedule[[#This Row],[BEGINNING BALANCE]]*(InterestRate/PaymentsPerYear),"")</f>
        <v>4583.4762521903431</v>
      </c>
      <c r="J22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1463245.3568321532</v>
      </c>
      <c r="K222" s="19">
        <f>IF(PaymentSchedule[[#This Row],[PMT NO]]&lt;&gt;"",SUM(INDEX(PaymentSchedule[INTEREST],1,1):PaymentSchedule[[#This Row],[INTEREST]]),"")</f>
        <v>1161905.1023519961</v>
      </c>
    </row>
    <row r="223" spans="2:11" x14ac:dyDescent="0.3">
      <c r="B223" s="21">
        <f>IF(LoanIsGood,IF(ROW()-ROW(PaymentSchedule[[#Headers],[PMT NO]])&gt;ScheduledNumberOfPayments,"",ROW()-ROW(PaymentSchedule[[#Headers],[PMT NO]])),"")</f>
        <v>212</v>
      </c>
      <c r="C223" s="20">
        <f>IF(PaymentSchedule[[#This Row],[PMT NO]]&lt;&gt;"",EOMONTH(LoanStartDate,ROW(PaymentSchedule[[#This Row],[PMT NO]])-ROW(PaymentSchedule[[#Headers],[PMT NO]])-2)+DAY(LoanStartDate),"")</f>
        <v>50072</v>
      </c>
      <c r="D223" s="19">
        <f>IF(PaymentSchedule[[#This Row],[PMT NO]]&lt;&gt;"",IF(ROW()-ROW(PaymentSchedule[[#Headers],[BEGINNING BALANCE]])=1,LoanAmount,INDEX(PaymentSchedule[ENDING BALANCE],ROW()-ROW(PaymentSchedule[[#Headers],[BEGINNING BALANCE]])-1)),"")</f>
        <v>1463245.3568321532</v>
      </c>
      <c r="E223" s="19">
        <f>IF(PaymentSchedule[[#This Row],[PMT NO]]&lt;&gt;"",ScheduledPayment,"")</f>
        <v>8050.5201209471252</v>
      </c>
      <c r="F22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23" s="19">
        <f>IF(PaymentSchedule[[#This Row],[PMT NO]]&lt;&gt;"",PaymentSchedule[[#This Row],[TOTAL PAYMENT]]-PaymentSchedule[[#This Row],[INTEREST]],"")</f>
        <v>3477.8783808466469</v>
      </c>
      <c r="I223" s="19">
        <f>IF(PaymentSchedule[[#This Row],[PMT NO]]&lt;&gt;"",PaymentSchedule[[#This Row],[BEGINNING BALANCE]]*(InterestRate/PaymentsPerYear),"")</f>
        <v>4572.6417401004783</v>
      </c>
      <c r="J22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1459767.4784513065</v>
      </c>
      <c r="K223" s="19">
        <f>IF(PaymentSchedule[[#This Row],[PMT NO]]&lt;&gt;"",SUM(INDEX(PaymentSchedule[INTEREST],1,1):PaymentSchedule[[#This Row],[INTEREST]]),"")</f>
        <v>1166477.7440920966</v>
      </c>
    </row>
    <row r="224" spans="2:11" x14ac:dyDescent="0.3">
      <c r="B224" s="21">
        <f>IF(LoanIsGood,IF(ROW()-ROW(PaymentSchedule[[#Headers],[PMT NO]])&gt;ScheduledNumberOfPayments,"",ROW()-ROW(PaymentSchedule[[#Headers],[PMT NO]])),"")</f>
        <v>213</v>
      </c>
      <c r="C224" s="20">
        <f>IF(PaymentSchedule[[#This Row],[PMT NO]]&lt;&gt;"",EOMONTH(LoanStartDate,ROW(PaymentSchedule[[#This Row],[PMT NO]])-ROW(PaymentSchedule[[#Headers],[PMT NO]])-2)+DAY(LoanStartDate),"")</f>
        <v>50100</v>
      </c>
      <c r="D224" s="19">
        <f>IF(PaymentSchedule[[#This Row],[PMT NO]]&lt;&gt;"",IF(ROW()-ROW(PaymentSchedule[[#Headers],[BEGINNING BALANCE]])=1,LoanAmount,INDEX(PaymentSchedule[ENDING BALANCE],ROW()-ROW(PaymentSchedule[[#Headers],[BEGINNING BALANCE]])-1)),"")</f>
        <v>1459767.4784513065</v>
      </c>
      <c r="E224" s="19">
        <f>IF(PaymentSchedule[[#This Row],[PMT NO]]&lt;&gt;"",ScheduledPayment,"")</f>
        <v>8050.5201209471252</v>
      </c>
      <c r="F22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24" s="19">
        <f>IF(PaymentSchedule[[#This Row],[PMT NO]]&lt;&gt;"",PaymentSchedule[[#This Row],[TOTAL PAYMENT]]-PaymentSchedule[[#This Row],[INTEREST]],"")</f>
        <v>3488.7467507867932</v>
      </c>
      <c r="I224" s="19">
        <f>IF(PaymentSchedule[[#This Row],[PMT NO]]&lt;&gt;"",PaymentSchedule[[#This Row],[BEGINNING BALANCE]]*(InterestRate/PaymentsPerYear),"")</f>
        <v>4561.773370160332</v>
      </c>
      <c r="J22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1456278.7317005196</v>
      </c>
      <c r="K224" s="19">
        <f>IF(PaymentSchedule[[#This Row],[PMT NO]]&lt;&gt;"",SUM(INDEX(PaymentSchedule[INTEREST],1,1):PaymentSchedule[[#This Row],[INTEREST]]),"")</f>
        <v>1171039.5174622568</v>
      </c>
    </row>
    <row r="225" spans="2:11" x14ac:dyDescent="0.3">
      <c r="B225" s="21">
        <f>IF(LoanIsGood,IF(ROW()-ROW(PaymentSchedule[[#Headers],[PMT NO]])&gt;ScheduledNumberOfPayments,"",ROW()-ROW(PaymentSchedule[[#Headers],[PMT NO]])),"")</f>
        <v>214</v>
      </c>
      <c r="C225" s="20">
        <f>IF(PaymentSchedule[[#This Row],[PMT NO]]&lt;&gt;"",EOMONTH(LoanStartDate,ROW(PaymentSchedule[[#This Row],[PMT NO]])-ROW(PaymentSchedule[[#Headers],[PMT NO]])-2)+DAY(LoanStartDate),"")</f>
        <v>50131</v>
      </c>
      <c r="D225" s="19">
        <f>IF(PaymentSchedule[[#This Row],[PMT NO]]&lt;&gt;"",IF(ROW()-ROW(PaymentSchedule[[#Headers],[BEGINNING BALANCE]])=1,LoanAmount,INDEX(PaymentSchedule[ENDING BALANCE],ROW()-ROW(PaymentSchedule[[#Headers],[BEGINNING BALANCE]])-1)),"")</f>
        <v>1456278.7317005196</v>
      </c>
      <c r="E225" s="19">
        <f>IF(PaymentSchedule[[#This Row],[PMT NO]]&lt;&gt;"",ScheduledPayment,"")</f>
        <v>8050.5201209471252</v>
      </c>
      <c r="F22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25" s="19">
        <f>IF(PaymentSchedule[[#This Row],[PMT NO]]&lt;&gt;"",PaymentSchedule[[#This Row],[TOTAL PAYMENT]]-PaymentSchedule[[#This Row],[INTEREST]],"")</f>
        <v>3499.6490843830015</v>
      </c>
      <c r="I225" s="19">
        <f>IF(PaymentSchedule[[#This Row],[PMT NO]]&lt;&gt;"",PaymentSchedule[[#This Row],[BEGINNING BALANCE]]*(InterestRate/PaymentsPerYear),"")</f>
        <v>4550.8710365641236</v>
      </c>
      <c r="J22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1452779.0826161366</v>
      </c>
      <c r="K225" s="19">
        <f>IF(PaymentSchedule[[#This Row],[PMT NO]]&lt;&gt;"",SUM(INDEX(PaymentSchedule[INTEREST],1,1):PaymentSchedule[[#This Row],[INTEREST]]),"")</f>
        <v>1175590.3884988211</v>
      </c>
    </row>
    <row r="226" spans="2:11" x14ac:dyDescent="0.3">
      <c r="B226" s="21">
        <f>IF(LoanIsGood,IF(ROW()-ROW(PaymentSchedule[[#Headers],[PMT NO]])&gt;ScheduledNumberOfPayments,"",ROW()-ROW(PaymentSchedule[[#Headers],[PMT NO]])),"")</f>
        <v>215</v>
      </c>
      <c r="C226" s="20">
        <f>IF(PaymentSchedule[[#This Row],[PMT NO]]&lt;&gt;"",EOMONTH(LoanStartDate,ROW(PaymentSchedule[[#This Row],[PMT NO]])-ROW(PaymentSchedule[[#Headers],[PMT NO]])-2)+DAY(LoanStartDate),"")</f>
        <v>50161</v>
      </c>
      <c r="D226" s="19">
        <f>IF(PaymentSchedule[[#This Row],[PMT NO]]&lt;&gt;"",IF(ROW()-ROW(PaymentSchedule[[#Headers],[BEGINNING BALANCE]])=1,LoanAmount,INDEX(PaymentSchedule[ENDING BALANCE],ROW()-ROW(PaymentSchedule[[#Headers],[BEGINNING BALANCE]])-1)),"")</f>
        <v>1452779.0826161366</v>
      </c>
      <c r="E226" s="19">
        <f>IF(PaymentSchedule[[#This Row],[PMT NO]]&lt;&gt;"",ScheduledPayment,"")</f>
        <v>8050.5201209471252</v>
      </c>
      <c r="F22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26" s="19">
        <f>IF(PaymentSchedule[[#This Row],[PMT NO]]&lt;&gt;"",PaymentSchedule[[#This Row],[TOTAL PAYMENT]]-PaymentSchedule[[#This Row],[INTEREST]],"")</f>
        <v>3510.5854877716984</v>
      </c>
      <c r="I226" s="19">
        <f>IF(PaymentSchedule[[#This Row],[PMT NO]]&lt;&gt;"",PaymentSchedule[[#This Row],[BEGINNING BALANCE]]*(InterestRate/PaymentsPerYear),"")</f>
        <v>4539.9346331754268</v>
      </c>
      <c r="J22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1449268.4971283649</v>
      </c>
      <c r="K226" s="19">
        <f>IF(PaymentSchedule[[#This Row],[PMT NO]]&lt;&gt;"",SUM(INDEX(PaymentSchedule[INTEREST],1,1):PaymentSchedule[[#This Row],[INTEREST]]),"")</f>
        <v>1180130.3231319964</v>
      </c>
    </row>
    <row r="227" spans="2:11" x14ac:dyDescent="0.3">
      <c r="B227" s="21">
        <f>IF(LoanIsGood,IF(ROW()-ROW(PaymentSchedule[[#Headers],[PMT NO]])&gt;ScheduledNumberOfPayments,"",ROW()-ROW(PaymentSchedule[[#Headers],[PMT NO]])),"")</f>
        <v>216</v>
      </c>
      <c r="C227" s="20">
        <f>IF(PaymentSchedule[[#This Row],[PMT NO]]&lt;&gt;"",EOMONTH(LoanStartDate,ROW(PaymentSchedule[[#This Row],[PMT NO]])-ROW(PaymentSchedule[[#Headers],[PMT NO]])-2)+DAY(LoanStartDate),"")</f>
        <v>50192</v>
      </c>
      <c r="D227" s="19">
        <f>IF(PaymentSchedule[[#This Row],[PMT NO]]&lt;&gt;"",IF(ROW()-ROW(PaymentSchedule[[#Headers],[BEGINNING BALANCE]])=1,LoanAmount,INDEX(PaymentSchedule[ENDING BALANCE],ROW()-ROW(PaymentSchedule[[#Headers],[BEGINNING BALANCE]])-1)),"")</f>
        <v>1449268.4971283649</v>
      </c>
      <c r="E227" s="19">
        <f>IF(PaymentSchedule[[#This Row],[PMT NO]]&lt;&gt;"",ScheduledPayment,"")</f>
        <v>8050.5201209471252</v>
      </c>
      <c r="F22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27" s="19">
        <f>IF(PaymentSchedule[[#This Row],[PMT NO]]&lt;&gt;"",PaymentSchedule[[#This Row],[TOTAL PAYMENT]]-PaymentSchedule[[#This Row],[INTEREST]],"")</f>
        <v>3521.5560674209855</v>
      </c>
      <c r="I227" s="19">
        <f>IF(PaymentSchedule[[#This Row],[PMT NO]]&lt;&gt;"",PaymentSchedule[[#This Row],[BEGINNING BALANCE]]*(InterestRate/PaymentsPerYear),"")</f>
        <v>4528.9640535261397</v>
      </c>
      <c r="J22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1445746.9410609438</v>
      </c>
      <c r="K227" s="19">
        <f>IF(PaymentSchedule[[#This Row],[PMT NO]]&lt;&gt;"",SUM(INDEX(PaymentSchedule[INTEREST],1,1):PaymentSchedule[[#This Row],[INTEREST]]),"")</f>
        <v>1184659.2871855225</v>
      </c>
    </row>
    <row r="228" spans="2:11" x14ac:dyDescent="0.3">
      <c r="B228" s="21">
        <f>IF(LoanIsGood,IF(ROW()-ROW(PaymentSchedule[[#Headers],[PMT NO]])&gt;ScheduledNumberOfPayments,"",ROW()-ROW(PaymentSchedule[[#Headers],[PMT NO]])),"")</f>
        <v>217</v>
      </c>
      <c r="C228" s="20">
        <f>IF(PaymentSchedule[[#This Row],[PMT NO]]&lt;&gt;"",EOMONTH(LoanStartDate,ROW(PaymentSchedule[[#This Row],[PMT NO]])-ROW(PaymentSchedule[[#Headers],[PMT NO]])-2)+DAY(LoanStartDate),"")</f>
        <v>50222</v>
      </c>
      <c r="D228" s="19">
        <f>IF(PaymentSchedule[[#This Row],[PMT NO]]&lt;&gt;"",IF(ROW()-ROW(PaymentSchedule[[#Headers],[BEGINNING BALANCE]])=1,LoanAmount,INDEX(PaymentSchedule[ENDING BALANCE],ROW()-ROW(PaymentSchedule[[#Headers],[BEGINNING BALANCE]])-1)),"")</f>
        <v>1445746.9410609438</v>
      </c>
      <c r="E228" s="19">
        <f>IF(PaymentSchedule[[#This Row],[PMT NO]]&lt;&gt;"",ScheduledPayment,"")</f>
        <v>8050.5201209471252</v>
      </c>
      <c r="F22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28" s="19">
        <f>IF(PaymentSchedule[[#This Row],[PMT NO]]&lt;&gt;"",PaymentSchedule[[#This Row],[TOTAL PAYMENT]]-PaymentSchedule[[#This Row],[INTEREST]],"")</f>
        <v>3532.5609301316763</v>
      </c>
      <c r="I228" s="19">
        <f>IF(PaymentSchedule[[#This Row],[PMT NO]]&lt;&gt;"",PaymentSchedule[[#This Row],[BEGINNING BALANCE]]*(InterestRate/PaymentsPerYear),"")</f>
        <v>4517.9591908154489</v>
      </c>
      <c r="J22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1442214.3801308121</v>
      </c>
      <c r="K228" s="19">
        <f>IF(PaymentSchedule[[#This Row],[PMT NO]]&lt;&gt;"",SUM(INDEX(PaymentSchedule[INTEREST],1,1):PaymentSchedule[[#This Row],[INTEREST]]),"")</f>
        <v>1189177.2463763379</v>
      </c>
    </row>
    <row r="229" spans="2:11" x14ac:dyDescent="0.3">
      <c r="B229" s="21">
        <f>IF(LoanIsGood,IF(ROW()-ROW(PaymentSchedule[[#Headers],[PMT NO]])&gt;ScheduledNumberOfPayments,"",ROW()-ROW(PaymentSchedule[[#Headers],[PMT NO]])),"")</f>
        <v>218</v>
      </c>
      <c r="C229" s="20">
        <f>IF(PaymentSchedule[[#This Row],[PMT NO]]&lt;&gt;"",EOMONTH(LoanStartDate,ROW(PaymentSchedule[[#This Row],[PMT NO]])-ROW(PaymentSchedule[[#Headers],[PMT NO]])-2)+DAY(LoanStartDate),"")</f>
        <v>50253</v>
      </c>
      <c r="D229" s="19">
        <f>IF(PaymentSchedule[[#This Row],[PMT NO]]&lt;&gt;"",IF(ROW()-ROW(PaymentSchedule[[#Headers],[BEGINNING BALANCE]])=1,LoanAmount,INDEX(PaymentSchedule[ENDING BALANCE],ROW()-ROW(PaymentSchedule[[#Headers],[BEGINNING BALANCE]])-1)),"")</f>
        <v>1442214.3801308121</v>
      </c>
      <c r="E229" s="19">
        <f>IF(PaymentSchedule[[#This Row],[PMT NO]]&lt;&gt;"",ScheduledPayment,"")</f>
        <v>8050.5201209471252</v>
      </c>
      <c r="F22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29" s="19">
        <f>IF(PaymentSchedule[[#This Row],[PMT NO]]&lt;&gt;"",PaymentSchedule[[#This Row],[TOTAL PAYMENT]]-PaymentSchedule[[#This Row],[INTEREST]],"")</f>
        <v>3543.6001830383375</v>
      </c>
      <c r="I229" s="19">
        <f>IF(PaymentSchedule[[#This Row],[PMT NO]]&lt;&gt;"",PaymentSchedule[[#This Row],[BEGINNING BALANCE]]*(InterestRate/PaymentsPerYear),"")</f>
        <v>4506.9199379087877</v>
      </c>
      <c r="J22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1438670.7799477738</v>
      </c>
      <c r="K229" s="19">
        <f>IF(PaymentSchedule[[#This Row],[PMT NO]]&lt;&gt;"",SUM(INDEX(PaymentSchedule[INTEREST],1,1):PaymentSchedule[[#This Row],[INTEREST]]),"")</f>
        <v>1193684.1663142468</v>
      </c>
    </row>
    <row r="230" spans="2:11" x14ac:dyDescent="0.3">
      <c r="B230" s="21">
        <f>IF(LoanIsGood,IF(ROW()-ROW(PaymentSchedule[[#Headers],[PMT NO]])&gt;ScheduledNumberOfPayments,"",ROW()-ROW(PaymentSchedule[[#Headers],[PMT NO]])),"")</f>
        <v>219</v>
      </c>
      <c r="C230" s="20">
        <f>IF(PaymentSchedule[[#This Row],[PMT NO]]&lt;&gt;"",EOMONTH(LoanStartDate,ROW(PaymentSchedule[[#This Row],[PMT NO]])-ROW(PaymentSchedule[[#Headers],[PMT NO]])-2)+DAY(LoanStartDate),"")</f>
        <v>50284</v>
      </c>
      <c r="D230" s="19">
        <f>IF(PaymentSchedule[[#This Row],[PMT NO]]&lt;&gt;"",IF(ROW()-ROW(PaymentSchedule[[#Headers],[BEGINNING BALANCE]])=1,LoanAmount,INDEX(PaymentSchedule[ENDING BALANCE],ROW()-ROW(PaymentSchedule[[#Headers],[BEGINNING BALANCE]])-1)),"")</f>
        <v>1438670.7799477738</v>
      </c>
      <c r="E230" s="19">
        <f>IF(PaymentSchedule[[#This Row],[PMT NO]]&lt;&gt;"",ScheduledPayment,"")</f>
        <v>8050.5201209471252</v>
      </c>
      <c r="F23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30" s="19">
        <f>IF(PaymentSchedule[[#This Row],[PMT NO]]&lt;&gt;"",PaymentSchedule[[#This Row],[TOTAL PAYMENT]]-PaymentSchedule[[#This Row],[INTEREST]],"")</f>
        <v>3554.6739336103328</v>
      </c>
      <c r="I230" s="19">
        <f>IF(PaymentSchedule[[#This Row],[PMT NO]]&lt;&gt;"",PaymentSchedule[[#This Row],[BEGINNING BALANCE]]*(InterestRate/PaymentsPerYear),"")</f>
        <v>4495.8461873367924</v>
      </c>
      <c r="J23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1435116.1060141635</v>
      </c>
      <c r="K230" s="19">
        <f>IF(PaymentSchedule[[#This Row],[PMT NO]]&lt;&gt;"",SUM(INDEX(PaymentSchedule[INTEREST],1,1):PaymentSchedule[[#This Row],[INTEREST]]),"")</f>
        <v>1198180.0125015837</v>
      </c>
    </row>
    <row r="231" spans="2:11" x14ac:dyDescent="0.3">
      <c r="B231" s="21">
        <f>IF(LoanIsGood,IF(ROW()-ROW(PaymentSchedule[[#Headers],[PMT NO]])&gt;ScheduledNumberOfPayments,"",ROW()-ROW(PaymentSchedule[[#Headers],[PMT NO]])),"")</f>
        <v>220</v>
      </c>
      <c r="C231" s="20">
        <f>IF(PaymentSchedule[[#This Row],[PMT NO]]&lt;&gt;"",EOMONTH(LoanStartDate,ROW(PaymentSchedule[[#This Row],[PMT NO]])-ROW(PaymentSchedule[[#Headers],[PMT NO]])-2)+DAY(LoanStartDate),"")</f>
        <v>50314</v>
      </c>
      <c r="D231" s="19">
        <f>IF(PaymentSchedule[[#This Row],[PMT NO]]&lt;&gt;"",IF(ROW()-ROW(PaymentSchedule[[#Headers],[BEGINNING BALANCE]])=1,LoanAmount,INDEX(PaymentSchedule[ENDING BALANCE],ROW()-ROW(PaymentSchedule[[#Headers],[BEGINNING BALANCE]])-1)),"")</f>
        <v>1435116.1060141635</v>
      </c>
      <c r="E231" s="19">
        <f>IF(PaymentSchedule[[#This Row],[PMT NO]]&lt;&gt;"",ScheduledPayment,"")</f>
        <v>8050.5201209471252</v>
      </c>
      <c r="F23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31" s="19">
        <f>IF(PaymentSchedule[[#This Row],[PMT NO]]&lt;&gt;"",PaymentSchedule[[#This Row],[TOTAL PAYMENT]]-PaymentSchedule[[#This Row],[INTEREST]],"")</f>
        <v>3565.7822896528651</v>
      </c>
      <c r="I231" s="19">
        <f>IF(PaymentSchedule[[#This Row],[PMT NO]]&lt;&gt;"",PaymentSchedule[[#This Row],[BEGINNING BALANCE]]*(InterestRate/PaymentsPerYear),"")</f>
        <v>4484.7378312942601</v>
      </c>
      <c r="J23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1431550.3237245106</v>
      </c>
      <c r="K231" s="19">
        <f>IF(PaymentSchedule[[#This Row],[PMT NO]]&lt;&gt;"",SUM(INDEX(PaymentSchedule[INTEREST],1,1):PaymentSchedule[[#This Row],[INTEREST]]),"")</f>
        <v>1202664.750332878</v>
      </c>
    </row>
    <row r="232" spans="2:11" x14ac:dyDescent="0.3">
      <c r="B232" s="21">
        <f>IF(LoanIsGood,IF(ROW()-ROW(PaymentSchedule[[#Headers],[PMT NO]])&gt;ScheduledNumberOfPayments,"",ROW()-ROW(PaymentSchedule[[#Headers],[PMT NO]])),"")</f>
        <v>221</v>
      </c>
      <c r="C232" s="20">
        <f>IF(PaymentSchedule[[#This Row],[PMT NO]]&lt;&gt;"",EOMONTH(LoanStartDate,ROW(PaymentSchedule[[#This Row],[PMT NO]])-ROW(PaymentSchedule[[#Headers],[PMT NO]])-2)+DAY(LoanStartDate),"")</f>
        <v>50345</v>
      </c>
      <c r="D232" s="19">
        <f>IF(PaymentSchedule[[#This Row],[PMT NO]]&lt;&gt;"",IF(ROW()-ROW(PaymentSchedule[[#Headers],[BEGINNING BALANCE]])=1,LoanAmount,INDEX(PaymentSchedule[ENDING BALANCE],ROW()-ROW(PaymentSchedule[[#Headers],[BEGINNING BALANCE]])-1)),"")</f>
        <v>1431550.3237245106</v>
      </c>
      <c r="E232" s="19">
        <f>IF(PaymentSchedule[[#This Row],[PMT NO]]&lt;&gt;"",ScheduledPayment,"")</f>
        <v>8050.5201209471252</v>
      </c>
      <c r="F23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32" s="19">
        <f>IF(PaymentSchedule[[#This Row],[PMT NO]]&lt;&gt;"",PaymentSchedule[[#This Row],[TOTAL PAYMENT]]-PaymentSchedule[[#This Row],[INTEREST]],"")</f>
        <v>3576.9253593080302</v>
      </c>
      <c r="I232" s="19">
        <f>IF(PaymentSchedule[[#This Row],[PMT NO]]&lt;&gt;"",PaymentSchedule[[#This Row],[BEGINNING BALANCE]]*(InterestRate/PaymentsPerYear),"")</f>
        <v>4473.5947616390949</v>
      </c>
      <c r="J23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1427973.3983652026</v>
      </c>
      <c r="K232" s="19">
        <f>IF(PaymentSchedule[[#This Row],[PMT NO]]&lt;&gt;"",SUM(INDEX(PaymentSchedule[INTEREST],1,1):PaymentSchedule[[#This Row],[INTEREST]]),"")</f>
        <v>1207138.3450945171</v>
      </c>
    </row>
    <row r="233" spans="2:11" x14ac:dyDescent="0.3">
      <c r="B233" s="21">
        <f>IF(LoanIsGood,IF(ROW()-ROW(PaymentSchedule[[#Headers],[PMT NO]])&gt;ScheduledNumberOfPayments,"",ROW()-ROW(PaymentSchedule[[#Headers],[PMT NO]])),"")</f>
        <v>222</v>
      </c>
      <c r="C233" s="20">
        <f>IF(PaymentSchedule[[#This Row],[PMT NO]]&lt;&gt;"",EOMONTH(LoanStartDate,ROW(PaymentSchedule[[#This Row],[PMT NO]])-ROW(PaymentSchedule[[#Headers],[PMT NO]])-2)+DAY(LoanStartDate),"")</f>
        <v>50375</v>
      </c>
      <c r="D233" s="19">
        <f>IF(PaymentSchedule[[#This Row],[PMT NO]]&lt;&gt;"",IF(ROW()-ROW(PaymentSchedule[[#Headers],[BEGINNING BALANCE]])=1,LoanAmount,INDEX(PaymentSchedule[ENDING BALANCE],ROW()-ROW(PaymentSchedule[[#Headers],[BEGINNING BALANCE]])-1)),"")</f>
        <v>1427973.3983652026</v>
      </c>
      <c r="E233" s="19">
        <f>IF(PaymentSchedule[[#This Row],[PMT NO]]&lt;&gt;"",ScheduledPayment,"")</f>
        <v>8050.5201209471252</v>
      </c>
      <c r="F23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33" s="19">
        <f>IF(PaymentSchedule[[#This Row],[PMT NO]]&lt;&gt;"",PaymentSchedule[[#This Row],[TOTAL PAYMENT]]-PaymentSchedule[[#This Row],[INTEREST]],"")</f>
        <v>3588.1032510558671</v>
      </c>
      <c r="I233" s="19">
        <f>IF(PaymentSchedule[[#This Row],[PMT NO]]&lt;&gt;"",PaymentSchedule[[#This Row],[BEGINNING BALANCE]]*(InterestRate/PaymentsPerYear),"")</f>
        <v>4462.4168698912581</v>
      </c>
      <c r="J23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1424385.2951141468</v>
      </c>
      <c r="K233" s="19">
        <f>IF(PaymentSchedule[[#This Row],[PMT NO]]&lt;&gt;"",SUM(INDEX(PaymentSchedule[INTEREST],1,1):PaymentSchedule[[#This Row],[INTEREST]]),"")</f>
        <v>1211600.7619644084</v>
      </c>
    </row>
    <row r="234" spans="2:11" x14ac:dyDescent="0.3">
      <c r="B234" s="21">
        <f>IF(LoanIsGood,IF(ROW()-ROW(PaymentSchedule[[#Headers],[PMT NO]])&gt;ScheduledNumberOfPayments,"",ROW()-ROW(PaymentSchedule[[#Headers],[PMT NO]])),"")</f>
        <v>223</v>
      </c>
      <c r="C234" s="20">
        <f>IF(PaymentSchedule[[#This Row],[PMT NO]]&lt;&gt;"",EOMONTH(LoanStartDate,ROW(PaymentSchedule[[#This Row],[PMT NO]])-ROW(PaymentSchedule[[#Headers],[PMT NO]])-2)+DAY(LoanStartDate),"")</f>
        <v>50406</v>
      </c>
      <c r="D234" s="19">
        <f>IF(PaymentSchedule[[#This Row],[PMT NO]]&lt;&gt;"",IF(ROW()-ROW(PaymentSchedule[[#Headers],[BEGINNING BALANCE]])=1,LoanAmount,INDEX(PaymentSchedule[ENDING BALANCE],ROW()-ROW(PaymentSchedule[[#Headers],[BEGINNING BALANCE]])-1)),"")</f>
        <v>1424385.2951141468</v>
      </c>
      <c r="E234" s="19">
        <f>IF(PaymentSchedule[[#This Row],[PMT NO]]&lt;&gt;"",ScheduledPayment,"")</f>
        <v>8050.5201209471252</v>
      </c>
      <c r="F23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34" s="19">
        <f>IF(PaymentSchedule[[#This Row],[PMT NO]]&lt;&gt;"",PaymentSchedule[[#This Row],[TOTAL PAYMENT]]-PaymentSchedule[[#This Row],[INTEREST]],"")</f>
        <v>3599.3160737154167</v>
      </c>
      <c r="I234" s="19">
        <f>IF(PaymentSchedule[[#This Row],[PMT NO]]&lt;&gt;"",PaymentSchedule[[#This Row],[BEGINNING BALANCE]]*(InterestRate/PaymentsPerYear),"")</f>
        <v>4451.2040472317085</v>
      </c>
      <c r="J23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1420785.9790404313</v>
      </c>
      <c r="K234" s="19">
        <f>IF(PaymentSchedule[[#This Row],[PMT NO]]&lt;&gt;"",SUM(INDEX(PaymentSchedule[INTEREST],1,1):PaymentSchedule[[#This Row],[INTEREST]]),"")</f>
        <v>1216051.9660116402</v>
      </c>
    </row>
    <row r="235" spans="2:11" x14ac:dyDescent="0.3">
      <c r="B235" s="21">
        <f>IF(LoanIsGood,IF(ROW()-ROW(PaymentSchedule[[#Headers],[PMT NO]])&gt;ScheduledNumberOfPayments,"",ROW()-ROW(PaymentSchedule[[#Headers],[PMT NO]])),"")</f>
        <v>224</v>
      </c>
      <c r="C235" s="20">
        <f>IF(PaymentSchedule[[#This Row],[PMT NO]]&lt;&gt;"",EOMONTH(LoanStartDate,ROW(PaymentSchedule[[#This Row],[PMT NO]])-ROW(PaymentSchedule[[#Headers],[PMT NO]])-2)+DAY(LoanStartDate),"")</f>
        <v>50437</v>
      </c>
      <c r="D235" s="19">
        <f>IF(PaymentSchedule[[#This Row],[PMT NO]]&lt;&gt;"",IF(ROW()-ROW(PaymentSchedule[[#Headers],[BEGINNING BALANCE]])=1,LoanAmount,INDEX(PaymentSchedule[ENDING BALANCE],ROW()-ROW(PaymentSchedule[[#Headers],[BEGINNING BALANCE]])-1)),"")</f>
        <v>1420785.9790404313</v>
      </c>
      <c r="E235" s="19">
        <f>IF(PaymentSchedule[[#This Row],[PMT NO]]&lt;&gt;"",ScheduledPayment,"")</f>
        <v>8050.5201209471252</v>
      </c>
      <c r="F23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35" s="19">
        <f>IF(PaymentSchedule[[#This Row],[PMT NO]]&lt;&gt;"",PaymentSchedule[[#This Row],[TOTAL PAYMENT]]-PaymentSchedule[[#This Row],[INTEREST]],"")</f>
        <v>3610.5639364457775</v>
      </c>
      <c r="I235" s="19">
        <f>IF(PaymentSchedule[[#This Row],[PMT NO]]&lt;&gt;"",PaymentSchedule[[#This Row],[BEGINNING BALANCE]]*(InterestRate/PaymentsPerYear),"")</f>
        <v>4439.9561845013477</v>
      </c>
      <c r="J23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1417175.4151039855</v>
      </c>
      <c r="K235" s="19">
        <f>IF(PaymentSchedule[[#This Row],[PMT NO]]&lt;&gt;"",SUM(INDEX(PaymentSchedule[INTEREST],1,1):PaymentSchedule[[#This Row],[INTEREST]]),"")</f>
        <v>1220491.9221961414</v>
      </c>
    </row>
    <row r="236" spans="2:11" x14ac:dyDescent="0.3">
      <c r="B236" s="21">
        <f>IF(LoanIsGood,IF(ROW()-ROW(PaymentSchedule[[#Headers],[PMT NO]])&gt;ScheduledNumberOfPayments,"",ROW()-ROW(PaymentSchedule[[#Headers],[PMT NO]])),"")</f>
        <v>225</v>
      </c>
      <c r="C236" s="20">
        <f>IF(PaymentSchedule[[#This Row],[PMT NO]]&lt;&gt;"",EOMONTH(LoanStartDate,ROW(PaymentSchedule[[#This Row],[PMT NO]])-ROW(PaymentSchedule[[#Headers],[PMT NO]])-2)+DAY(LoanStartDate),"")</f>
        <v>50465</v>
      </c>
      <c r="D236" s="19">
        <f>IF(PaymentSchedule[[#This Row],[PMT NO]]&lt;&gt;"",IF(ROW()-ROW(PaymentSchedule[[#Headers],[BEGINNING BALANCE]])=1,LoanAmount,INDEX(PaymentSchedule[ENDING BALANCE],ROW()-ROW(PaymentSchedule[[#Headers],[BEGINNING BALANCE]])-1)),"")</f>
        <v>1417175.4151039855</v>
      </c>
      <c r="E236" s="19">
        <f>IF(PaymentSchedule[[#This Row],[PMT NO]]&lt;&gt;"",ScheduledPayment,"")</f>
        <v>8050.5201209471252</v>
      </c>
      <c r="F23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36" s="19">
        <f>IF(PaymentSchedule[[#This Row],[PMT NO]]&lt;&gt;"",PaymentSchedule[[#This Row],[TOTAL PAYMENT]]-PaymentSchedule[[#This Row],[INTEREST]],"")</f>
        <v>3621.8469487471712</v>
      </c>
      <c r="I236" s="19">
        <f>IF(PaymentSchedule[[#This Row],[PMT NO]]&lt;&gt;"",PaymentSchedule[[#This Row],[BEGINNING BALANCE]]*(InterestRate/PaymentsPerYear),"")</f>
        <v>4428.673172199954</v>
      </c>
      <c r="J23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1413553.5681552384</v>
      </c>
      <c r="K236" s="19">
        <f>IF(PaymentSchedule[[#This Row],[PMT NO]]&lt;&gt;"",SUM(INDEX(PaymentSchedule[INTEREST],1,1):PaymentSchedule[[#This Row],[INTEREST]]),"")</f>
        <v>1224920.5953683413</v>
      </c>
    </row>
    <row r="237" spans="2:11" x14ac:dyDescent="0.3">
      <c r="B237" s="21">
        <f>IF(LoanIsGood,IF(ROW()-ROW(PaymentSchedule[[#Headers],[PMT NO]])&gt;ScheduledNumberOfPayments,"",ROW()-ROW(PaymentSchedule[[#Headers],[PMT NO]])),"")</f>
        <v>226</v>
      </c>
      <c r="C237" s="20">
        <f>IF(PaymentSchedule[[#This Row],[PMT NO]]&lt;&gt;"",EOMONTH(LoanStartDate,ROW(PaymentSchedule[[#This Row],[PMT NO]])-ROW(PaymentSchedule[[#Headers],[PMT NO]])-2)+DAY(LoanStartDate),"")</f>
        <v>50496</v>
      </c>
      <c r="D237" s="19">
        <f>IF(PaymentSchedule[[#This Row],[PMT NO]]&lt;&gt;"",IF(ROW()-ROW(PaymentSchedule[[#Headers],[BEGINNING BALANCE]])=1,LoanAmount,INDEX(PaymentSchedule[ENDING BALANCE],ROW()-ROW(PaymentSchedule[[#Headers],[BEGINNING BALANCE]])-1)),"")</f>
        <v>1413553.5681552384</v>
      </c>
      <c r="E237" s="19">
        <f>IF(PaymentSchedule[[#This Row],[PMT NO]]&lt;&gt;"",ScheduledPayment,"")</f>
        <v>8050.5201209471252</v>
      </c>
      <c r="F23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37" s="19">
        <f>IF(PaymentSchedule[[#This Row],[PMT NO]]&lt;&gt;"",PaymentSchedule[[#This Row],[TOTAL PAYMENT]]-PaymentSchedule[[#This Row],[INTEREST]],"")</f>
        <v>3633.1652204620059</v>
      </c>
      <c r="I237" s="19">
        <f>IF(PaymentSchedule[[#This Row],[PMT NO]]&lt;&gt;"",PaymentSchedule[[#This Row],[BEGINNING BALANCE]]*(InterestRate/PaymentsPerYear),"")</f>
        <v>4417.3549004851193</v>
      </c>
      <c r="J23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1409920.4029347764</v>
      </c>
      <c r="K237" s="19">
        <f>IF(PaymentSchedule[[#This Row],[PMT NO]]&lt;&gt;"",SUM(INDEX(PaymentSchedule[INTEREST],1,1):PaymentSchedule[[#This Row],[INTEREST]]),"")</f>
        <v>1229337.9502688264</v>
      </c>
    </row>
    <row r="238" spans="2:11" x14ac:dyDescent="0.3">
      <c r="B238" s="21">
        <f>IF(LoanIsGood,IF(ROW()-ROW(PaymentSchedule[[#Headers],[PMT NO]])&gt;ScheduledNumberOfPayments,"",ROW()-ROW(PaymentSchedule[[#Headers],[PMT NO]])),"")</f>
        <v>227</v>
      </c>
      <c r="C238" s="20">
        <f>IF(PaymentSchedule[[#This Row],[PMT NO]]&lt;&gt;"",EOMONTH(LoanStartDate,ROW(PaymentSchedule[[#This Row],[PMT NO]])-ROW(PaymentSchedule[[#Headers],[PMT NO]])-2)+DAY(LoanStartDate),"")</f>
        <v>50526</v>
      </c>
      <c r="D238" s="19">
        <f>IF(PaymentSchedule[[#This Row],[PMT NO]]&lt;&gt;"",IF(ROW()-ROW(PaymentSchedule[[#Headers],[BEGINNING BALANCE]])=1,LoanAmount,INDEX(PaymentSchedule[ENDING BALANCE],ROW()-ROW(PaymentSchedule[[#Headers],[BEGINNING BALANCE]])-1)),"")</f>
        <v>1409920.4029347764</v>
      </c>
      <c r="E238" s="19">
        <f>IF(PaymentSchedule[[#This Row],[PMT NO]]&lt;&gt;"",ScheduledPayment,"")</f>
        <v>8050.5201209471252</v>
      </c>
      <c r="F23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38" s="19">
        <f>IF(PaymentSchedule[[#This Row],[PMT NO]]&lt;&gt;"",PaymentSchedule[[#This Row],[TOTAL PAYMENT]]-PaymentSchedule[[#This Row],[INTEREST]],"")</f>
        <v>3644.5188617759495</v>
      </c>
      <c r="I238" s="19">
        <f>IF(PaymentSchedule[[#This Row],[PMT NO]]&lt;&gt;"",PaymentSchedule[[#This Row],[BEGINNING BALANCE]]*(InterestRate/PaymentsPerYear),"")</f>
        <v>4406.0012591711757</v>
      </c>
      <c r="J23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1406275.8840730004</v>
      </c>
      <c r="K238" s="19">
        <f>IF(PaymentSchedule[[#This Row],[PMT NO]]&lt;&gt;"",SUM(INDEX(PaymentSchedule[INTEREST],1,1):PaymentSchedule[[#This Row],[INTEREST]]),"")</f>
        <v>1233743.9515279976</v>
      </c>
    </row>
    <row r="239" spans="2:11" x14ac:dyDescent="0.3">
      <c r="B239" s="21">
        <f>IF(LoanIsGood,IF(ROW()-ROW(PaymentSchedule[[#Headers],[PMT NO]])&gt;ScheduledNumberOfPayments,"",ROW()-ROW(PaymentSchedule[[#Headers],[PMT NO]])),"")</f>
        <v>228</v>
      </c>
      <c r="C239" s="20">
        <f>IF(PaymentSchedule[[#This Row],[PMT NO]]&lt;&gt;"",EOMONTH(LoanStartDate,ROW(PaymentSchedule[[#This Row],[PMT NO]])-ROW(PaymentSchedule[[#Headers],[PMT NO]])-2)+DAY(LoanStartDate),"")</f>
        <v>50557</v>
      </c>
      <c r="D239" s="19">
        <f>IF(PaymentSchedule[[#This Row],[PMT NO]]&lt;&gt;"",IF(ROW()-ROW(PaymentSchedule[[#Headers],[BEGINNING BALANCE]])=1,LoanAmount,INDEX(PaymentSchedule[ENDING BALANCE],ROW()-ROW(PaymentSchedule[[#Headers],[BEGINNING BALANCE]])-1)),"")</f>
        <v>1406275.8840730004</v>
      </c>
      <c r="E239" s="19">
        <f>IF(PaymentSchedule[[#This Row],[PMT NO]]&lt;&gt;"",ScheduledPayment,"")</f>
        <v>8050.5201209471252</v>
      </c>
      <c r="F23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39" s="19">
        <f>IF(PaymentSchedule[[#This Row],[PMT NO]]&lt;&gt;"",PaymentSchedule[[#This Row],[TOTAL PAYMENT]]-PaymentSchedule[[#This Row],[INTEREST]],"")</f>
        <v>3655.9079832189991</v>
      </c>
      <c r="I239" s="19">
        <f>IF(PaymentSchedule[[#This Row],[PMT NO]]&lt;&gt;"",PaymentSchedule[[#This Row],[BEGINNING BALANCE]]*(InterestRate/PaymentsPerYear),"")</f>
        <v>4394.6121377281261</v>
      </c>
      <c r="J23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1402619.9760897814</v>
      </c>
      <c r="K239" s="19">
        <f>IF(PaymentSchedule[[#This Row],[PMT NO]]&lt;&gt;"",SUM(INDEX(PaymentSchedule[INTEREST],1,1):PaymentSchedule[[#This Row],[INTEREST]]),"")</f>
        <v>1238138.5636657258</v>
      </c>
    </row>
    <row r="240" spans="2:11" x14ac:dyDescent="0.3">
      <c r="B240" s="21">
        <f>IF(LoanIsGood,IF(ROW()-ROW(PaymentSchedule[[#Headers],[PMT NO]])&gt;ScheduledNumberOfPayments,"",ROW()-ROW(PaymentSchedule[[#Headers],[PMT NO]])),"")</f>
        <v>229</v>
      </c>
      <c r="C240" s="20">
        <f>IF(PaymentSchedule[[#This Row],[PMT NO]]&lt;&gt;"",EOMONTH(LoanStartDate,ROW(PaymentSchedule[[#This Row],[PMT NO]])-ROW(PaymentSchedule[[#Headers],[PMT NO]])-2)+DAY(LoanStartDate),"")</f>
        <v>50587</v>
      </c>
      <c r="D240" s="19">
        <f>IF(PaymentSchedule[[#This Row],[PMT NO]]&lt;&gt;"",IF(ROW()-ROW(PaymentSchedule[[#Headers],[BEGINNING BALANCE]])=1,LoanAmount,INDEX(PaymentSchedule[ENDING BALANCE],ROW()-ROW(PaymentSchedule[[#Headers],[BEGINNING BALANCE]])-1)),"")</f>
        <v>1402619.9760897814</v>
      </c>
      <c r="E240" s="19">
        <f>IF(PaymentSchedule[[#This Row],[PMT NO]]&lt;&gt;"",ScheduledPayment,"")</f>
        <v>8050.5201209471252</v>
      </c>
      <c r="F24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40" s="19">
        <f>IF(PaymentSchedule[[#This Row],[PMT NO]]&lt;&gt;"",PaymentSchedule[[#This Row],[TOTAL PAYMENT]]-PaymentSchedule[[#This Row],[INTEREST]],"")</f>
        <v>3667.3326956665587</v>
      </c>
      <c r="I240" s="19">
        <f>IF(PaymentSchedule[[#This Row],[PMT NO]]&lt;&gt;"",PaymentSchedule[[#This Row],[BEGINNING BALANCE]]*(InterestRate/PaymentsPerYear),"")</f>
        <v>4383.1874252805665</v>
      </c>
      <c r="J24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1398952.6433941149</v>
      </c>
      <c r="K240" s="19">
        <f>IF(PaymentSchedule[[#This Row],[PMT NO]]&lt;&gt;"",SUM(INDEX(PaymentSchedule[INTEREST],1,1):PaymentSchedule[[#This Row],[INTEREST]]),"")</f>
        <v>1242521.7510910062</v>
      </c>
    </row>
    <row r="241" spans="2:11" x14ac:dyDescent="0.3">
      <c r="B241" s="21">
        <f>IF(LoanIsGood,IF(ROW()-ROW(PaymentSchedule[[#Headers],[PMT NO]])&gt;ScheduledNumberOfPayments,"",ROW()-ROW(PaymentSchedule[[#Headers],[PMT NO]])),"")</f>
        <v>230</v>
      </c>
      <c r="C241" s="20">
        <f>IF(PaymentSchedule[[#This Row],[PMT NO]]&lt;&gt;"",EOMONTH(LoanStartDate,ROW(PaymentSchedule[[#This Row],[PMT NO]])-ROW(PaymentSchedule[[#Headers],[PMT NO]])-2)+DAY(LoanStartDate),"")</f>
        <v>50618</v>
      </c>
      <c r="D241" s="19">
        <f>IF(PaymentSchedule[[#This Row],[PMT NO]]&lt;&gt;"",IF(ROW()-ROW(PaymentSchedule[[#Headers],[BEGINNING BALANCE]])=1,LoanAmount,INDEX(PaymentSchedule[ENDING BALANCE],ROW()-ROW(PaymentSchedule[[#Headers],[BEGINNING BALANCE]])-1)),"")</f>
        <v>1398952.6433941149</v>
      </c>
      <c r="E241" s="19">
        <f>IF(PaymentSchedule[[#This Row],[PMT NO]]&lt;&gt;"",ScheduledPayment,"")</f>
        <v>8050.5201209471252</v>
      </c>
      <c r="F24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41" s="19">
        <f>IF(PaymentSchedule[[#This Row],[PMT NO]]&lt;&gt;"",PaymentSchedule[[#This Row],[TOTAL PAYMENT]]-PaymentSchedule[[#This Row],[INTEREST]],"")</f>
        <v>3678.7931103405163</v>
      </c>
      <c r="I241" s="19">
        <f>IF(PaymentSchedule[[#This Row],[PMT NO]]&lt;&gt;"",PaymentSchedule[[#This Row],[BEGINNING BALANCE]]*(InterestRate/PaymentsPerYear),"")</f>
        <v>4371.7270106066089</v>
      </c>
      <c r="J24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1395273.8502837743</v>
      </c>
      <c r="K241" s="19">
        <f>IF(PaymentSchedule[[#This Row],[PMT NO]]&lt;&gt;"",SUM(INDEX(PaymentSchedule[INTEREST],1,1):PaymentSchedule[[#This Row],[INTEREST]]),"")</f>
        <v>1246893.4781016128</v>
      </c>
    </row>
    <row r="242" spans="2:11" x14ac:dyDescent="0.3">
      <c r="B242" s="21">
        <f>IF(LoanIsGood,IF(ROW()-ROW(PaymentSchedule[[#Headers],[PMT NO]])&gt;ScheduledNumberOfPayments,"",ROW()-ROW(PaymentSchedule[[#Headers],[PMT NO]])),"")</f>
        <v>231</v>
      </c>
      <c r="C242" s="20">
        <f>IF(PaymentSchedule[[#This Row],[PMT NO]]&lt;&gt;"",EOMONTH(LoanStartDate,ROW(PaymentSchedule[[#This Row],[PMT NO]])-ROW(PaymentSchedule[[#Headers],[PMT NO]])-2)+DAY(LoanStartDate),"")</f>
        <v>50649</v>
      </c>
      <c r="D242" s="19">
        <f>IF(PaymentSchedule[[#This Row],[PMT NO]]&lt;&gt;"",IF(ROW()-ROW(PaymentSchedule[[#Headers],[BEGINNING BALANCE]])=1,LoanAmount,INDEX(PaymentSchedule[ENDING BALANCE],ROW()-ROW(PaymentSchedule[[#Headers],[BEGINNING BALANCE]])-1)),"")</f>
        <v>1395273.8502837743</v>
      </c>
      <c r="E242" s="19">
        <f>IF(PaymentSchedule[[#This Row],[PMT NO]]&lt;&gt;"",ScheduledPayment,"")</f>
        <v>8050.5201209471252</v>
      </c>
      <c r="F24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42" s="19">
        <f>IF(PaymentSchedule[[#This Row],[PMT NO]]&lt;&gt;"",PaymentSchedule[[#This Row],[TOTAL PAYMENT]]-PaymentSchedule[[#This Row],[INTEREST]],"")</f>
        <v>3690.2893388103312</v>
      </c>
      <c r="I242" s="19">
        <f>IF(PaymentSchedule[[#This Row],[PMT NO]]&lt;&gt;"",PaymentSchedule[[#This Row],[BEGINNING BALANCE]]*(InterestRate/PaymentsPerYear),"")</f>
        <v>4360.230782136794</v>
      </c>
      <c r="J24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1391583.5609449639</v>
      </c>
      <c r="K242" s="19">
        <f>IF(PaymentSchedule[[#This Row],[PMT NO]]&lt;&gt;"",SUM(INDEX(PaymentSchedule[INTEREST],1,1):PaymentSchedule[[#This Row],[INTEREST]]),"")</f>
        <v>1251253.7088837496</v>
      </c>
    </row>
    <row r="243" spans="2:11" x14ac:dyDescent="0.3">
      <c r="B243" s="21">
        <f>IF(LoanIsGood,IF(ROW()-ROW(PaymentSchedule[[#Headers],[PMT NO]])&gt;ScheduledNumberOfPayments,"",ROW()-ROW(PaymentSchedule[[#Headers],[PMT NO]])),"")</f>
        <v>232</v>
      </c>
      <c r="C243" s="20">
        <f>IF(PaymentSchedule[[#This Row],[PMT NO]]&lt;&gt;"",EOMONTH(LoanStartDate,ROW(PaymentSchedule[[#This Row],[PMT NO]])-ROW(PaymentSchedule[[#Headers],[PMT NO]])-2)+DAY(LoanStartDate),"")</f>
        <v>50679</v>
      </c>
      <c r="D243" s="19">
        <f>IF(PaymentSchedule[[#This Row],[PMT NO]]&lt;&gt;"",IF(ROW()-ROW(PaymentSchedule[[#Headers],[BEGINNING BALANCE]])=1,LoanAmount,INDEX(PaymentSchedule[ENDING BALANCE],ROW()-ROW(PaymentSchedule[[#Headers],[BEGINNING BALANCE]])-1)),"")</f>
        <v>1391583.5609449639</v>
      </c>
      <c r="E243" s="19">
        <f>IF(PaymentSchedule[[#This Row],[PMT NO]]&lt;&gt;"",ScheduledPayment,"")</f>
        <v>8050.5201209471252</v>
      </c>
      <c r="F24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43" s="19">
        <f>IF(PaymentSchedule[[#This Row],[PMT NO]]&lt;&gt;"",PaymentSchedule[[#This Row],[TOTAL PAYMENT]]-PaymentSchedule[[#This Row],[INTEREST]],"")</f>
        <v>3701.8214929941132</v>
      </c>
      <c r="I243" s="19">
        <f>IF(PaymentSchedule[[#This Row],[PMT NO]]&lt;&gt;"",PaymentSchedule[[#This Row],[BEGINNING BALANCE]]*(InterestRate/PaymentsPerYear),"")</f>
        <v>4348.698627953012</v>
      </c>
      <c r="J24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1387881.7394519697</v>
      </c>
      <c r="K243" s="19">
        <f>IF(PaymentSchedule[[#This Row],[PMT NO]]&lt;&gt;"",SUM(INDEX(PaymentSchedule[INTEREST],1,1):PaymentSchedule[[#This Row],[INTEREST]]),"")</f>
        <v>1255602.4075117025</v>
      </c>
    </row>
    <row r="244" spans="2:11" x14ac:dyDescent="0.3">
      <c r="B244" s="21">
        <f>IF(LoanIsGood,IF(ROW()-ROW(PaymentSchedule[[#Headers],[PMT NO]])&gt;ScheduledNumberOfPayments,"",ROW()-ROW(PaymentSchedule[[#Headers],[PMT NO]])),"")</f>
        <v>233</v>
      </c>
      <c r="C244" s="20">
        <f>IF(PaymentSchedule[[#This Row],[PMT NO]]&lt;&gt;"",EOMONTH(LoanStartDate,ROW(PaymentSchedule[[#This Row],[PMT NO]])-ROW(PaymentSchedule[[#Headers],[PMT NO]])-2)+DAY(LoanStartDate),"")</f>
        <v>50710</v>
      </c>
      <c r="D244" s="19">
        <f>IF(PaymentSchedule[[#This Row],[PMT NO]]&lt;&gt;"",IF(ROW()-ROW(PaymentSchedule[[#Headers],[BEGINNING BALANCE]])=1,LoanAmount,INDEX(PaymentSchedule[ENDING BALANCE],ROW()-ROW(PaymentSchedule[[#Headers],[BEGINNING BALANCE]])-1)),"")</f>
        <v>1387881.7394519697</v>
      </c>
      <c r="E244" s="19">
        <f>IF(PaymentSchedule[[#This Row],[PMT NO]]&lt;&gt;"",ScheduledPayment,"")</f>
        <v>8050.5201209471252</v>
      </c>
      <c r="F24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44" s="19">
        <f>IF(PaymentSchedule[[#This Row],[PMT NO]]&lt;&gt;"",PaymentSchedule[[#This Row],[TOTAL PAYMENT]]-PaymentSchedule[[#This Row],[INTEREST]],"")</f>
        <v>3713.3896851597201</v>
      </c>
      <c r="I244" s="19">
        <f>IF(PaymentSchedule[[#This Row],[PMT NO]]&lt;&gt;"",PaymentSchedule[[#This Row],[BEGINNING BALANCE]]*(InterestRate/PaymentsPerYear),"")</f>
        <v>4337.1304357874051</v>
      </c>
      <c r="J24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1384168.34976681</v>
      </c>
      <c r="K244" s="19">
        <f>IF(PaymentSchedule[[#This Row],[PMT NO]]&lt;&gt;"",SUM(INDEX(PaymentSchedule[INTEREST],1,1):PaymentSchedule[[#This Row],[INTEREST]]),"")</f>
        <v>1259939.5379474899</v>
      </c>
    </row>
    <row r="245" spans="2:11" x14ac:dyDescent="0.3">
      <c r="B245" s="21">
        <f>IF(LoanIsGood,IF(ROW()-ROW(PaymentSchedule[[#Headers],[PMT NO]])&gt;ScheduledNumberOfPayments,"",ROW()-ROW(PaymentSchedule[[#Headers],[PMT NO]])),"")</f>
        <v>234</v>
      </c>
      <c r="C245" s="20">
        <f>IF(PaymentSchedule[[#This Row],[PMT NO]]&lt;&gt;"",EOMONTH(LoanStartDate,ROW(PaymentSchedule[[#This Row],[PMT NO]])-ROW(PaymentSchedule[[#Headers],[PMT NO]])-2)+DAY(LoanStartDate),"")</f>
        <v>50740</v>
      </c>
      <c r="D245" s="19">
        <f>IF(PaymentSchedule[[#This Row],[PMT NO]]&lt;&gt;"",IF(ROW()-ROW(PaymentSchedule[[#Headers],[BEGINNING BALANCE]])=1,LoanAmount,INDEX(PaymentSchedule[ENDING BALANCE],ROW()-ROW(PaymentSchedule[[#Headers],[BEGINNING BALANCE]])-1)),"")</f>
        <v>1384168.34976681</v>
      </c>
      <c r="E245" s="19">
        <f>IF(PaymentSchedule[[#This Row],[PMT NO]]&lt;&gt;"",ScheduledPayment,"")</f>
        <v>8050.5201209471252</v>
      </c>
      <c r="F24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45" s="19">
        <f>IF(PaymentSchedule[[#This Row],[PMT NO]]&lt;&gt;"",PaymentSchedule[[#This Row],[TOTAL PAYMENT]]-PaymentSchedule[[#This Row],[INTEREST]],"")</f>
        <v>3724.9940279258444</v>
      </c>
      <c r="I245" s="19">
        <f>IF(PaymentSchedule[[#This Row],[PMT NO]]&lt;&gt;"",PaymentSchedule[[#This Row],[BEGINNING BALANCE]]*(InterestRate/PaymentsPerYear),"")</f>
        <v>4325.5260930212808</v>
      </c>
      <c r="J24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1380443.3557388841</v>
      </c>
      <c r="K245" s="19">
        <f>IF(PaymentSchedule[[#This Row],[PMT NO]]&lt;&gt;"",SUM(INDEX(PaymentSchedule[INTEREST],1,1):PaymentSchedule[[#This Row],[INTEREST]]),"")</f>
        <v>1264265.0640405111</v>
      </c>
    </row>
    <row r="246" spans="2:11" x14ac:dyDescent="0.3">
      <c r="B246" s="21">
        <f>IF(LoanIsGood,IF(ROW()-ROW(PaymentSchedule[[#Headers],[PMT NO]])&gt;ScheduledNumberOfPayments,"",ROW()-ROW(PaymentSchedule[[#Headers],[PMT NO]])),"")</f>
        <v>235</v>
      </c>
      <c r="C246" s="20">
        <f>IF(PaymentSchedule[[#This Row],[PMT NO]]&lt;&gt;"",EOMONTH(LoanStartDate,ROW(PaymentSchedule[[#This Row],[PMT NO]])-ROW(PaymentSchedule[[#Headers],[PMT NO]])-2)+DAY(LoanStartDate),"")</f>
        <v>50771</v>
      </c>
      <c r="D246" s="19">
        <f>IF(PaymentSchedule[[#This Row],[PMT NO]]&lt;&gt;"",IF(ROW()-ROW(PaymentSchedule[[#Headers],[BEGINNING BALANCE]])=1,LoanAmount,INDEX(PaymentSchedule[ENDING BALANCE],ROW()-ROW(PaymentSchedule[[#Headers],[BEGINNING BALANCE]])-1)),"")</f>
        <v>1380443.3557388841</v>
      </c>
      <c r="E246" s="19">
        <f>IF(PaymentSchedule[[#This Row],[PMT NO]]&lt;&gt;"",ScheduledPayment,"")</f>
        <v>8050.5201209471252</v>
      </c>
      <c r="F24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46" s="19">
        <f>IF(PaymentSchedule[[#This Row],[PMT NO]]&lt;&gt;"",PaymentSchedule[[#This Row],[TOTAL PAYMENT]]-PaymentSchedule[[#This Row],[INTEREST]],"")</f>
        <v>3736.6346342631132</v>
      </c>
      <c r="I246" s="19">
        <f>IF(PaymentSchedule[[#This Row],[PMT NO]]&lt;&gt;"",PaymentSchedule[[#This Row],[BEGINNING BALANCE]]*(InterestRate/PaymentsPerYear),"")</f>
        <v>4313.885486684012</v>
      </c>
      <c r="J24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1376706.721104621</v>
      </c>
      <c r="K246" s="19">
        <f>IF(PaymentSchedule[[#This Row],[PMT NO]]&lt;&gt;"",SUM(INDEX(PaymentSchedule[INTEREST],1,1):PaymentSchedule[[#This Row],[INTEREST]]),"")</f>
        <v>1268578.9495271952</v>
      </c>
    </row>
    <row r="247" spans="2:11" x14ac:dyDescent="0.3">
      <c r="B247" s="21">
        <f>IF(LoanIsGood,IF(ROW()-ROW(PaymentSchedule[[#Headers],[PMT NO]])&gt;ScheduledNumberOfPayments,"",ROW()-ROW(PaymentSchedule[[#Headers],[PMT NO]])),"")</f>
        <v>236</v>
      </c>
      <c r="C247" s="20">
        <f>IF(PaymentSchedule[[#This Row],[PMT NO]]&lt;&gt;"",EOMONTH(LoanStartDate,ROW(PaymentSchedule[[#This Row],[PMT NO]])-ROW(PaymentSchedule[[#Headers],[PMT NO]])-2)+DAY(LoanStartDate),"")</f>
        <v>50802</v>
      </c>
      <c r="D247" s="19">
        <f>IF(PaymentSchedule[[#This Row],[PMT NO]]&lt;&gt;"",IF(ROW()-ROW(PaymentSchedule[[#Headers],[BEGINNING BALANCE]])=1,LoanAmount,INDEX(PaymentSchedule[ENDING BALANCE],ROW()-ROW(PaymentSchedule[[#Headers],[BEGINNING BALANCE]])-1)),"")</f>
        <v>1376706.721104621</v>
      </c>
      <c r="E247" s="19">
        <f>IF(PaymentSchedule[[#This Row],[PMT NO]]&lt;&gt;"",ScheduledPayment,"")</f>
        <v>8050.5201209471252</v>
      </c>
      <c r="F24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47" s="19">
        <f>IF(PaymentSchedule[[#This Row],[PMT NO]]&lt;&gt;"",PaymentSchedule[[#This Row],[TOTAL PAYMENT]]-PaymentSchedule[[#This Row],[INTEREST]],"")</f>
        <v>3748.3116174951847</v>
      </c>
      <c r="I247" s="19">
        <f>IF(PaymentSchedule[[#This Row],[PMT NO]]&lt;&gt;"",PaymentSchedule[[#This Row],[BEGINNING BALANCE]]*(InterestRate/PaymentsPerYear),"")</f>
        <v>4302.2085034519405</v>
      </c>
      <c r="J24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1372958.4094871257</v>
      </c>
      <c r="K247" s="19">
        <f>IF(PaymentSchedule[[#This Row],[PMT NO]]&lt;&gt;"",SUM(INDEX(PaymentSchedule[INTEREST],1,1):PaymentSchedule[[#This Row],[INTEREST]]),"")</f>
        <v>1272881.1580306471</v>
      </c>
    </row>
    <row r="248" spans="2:11" x14ac:dyDescent="0.3">
      <c r="B248" s="21">
        <f>IF(LoanIsGood,IF(ROW()-ROW(PaymentSchedule[[#Headers],[PMT NO]])&gt;ScheduledNumberOfPayments,"",ROW()-ROW(PaymentSchedule[[#Headers],[PMT NO]])),"")</f>
        <v>237</v>
      </c>
      <c r="C248" s="20">
        <f>IF(PaymentSchedule[[#This Row],[PMT NO]]&lt;&gt;"",EOMONTH(LoanStartDate,ROW(PaymentSchedule[[#This Row],[PMT NO]])-ROW(PaymentSchedule[[#Headers],[PMT NO]])-2)+DAY(LoanStartDate),"")</f>
        <v>50830</v>
      </c>
      <c r="D248" s="19">
        <f>IF(PaymentSchedule[[#This Row],[PMT NO]]&lt;&gt;"",IF(ROW()-ROW(PaymentSchedule[[#Headers],[BEGINNING BALANCE]])=1,LoanAmount,INDEX(PaymentSchedule[ENDING BALANCE],ROW()-ROW(PaymentSchedule[[#Headers],[BEGINNING BALANCE]])-1)),"")</f>
        <v>1372958.4094871257</v>
      </c>
      <c r="E248" s="19">
        <f>IF(PaymentSchedule[[#This Row],[PMT NO]]&lt;&gt;"",ScheduledPayment,"")</f>
        <v>8050.5201209471252</v>
      </c>
      <c r="F24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48" s="19">
        <f>IF(PaymentSchedule[[#This Row],[PMT NO]]&lt;&gt;"",PaymentSchedule[[#This Row],[TOTAL PAYMENT]]-PaymentSchedule[[#This Row],[INTEREST]],"")</f>
        <v>3760.0250912998581</v>
      </c>
      <c r="I248" s="19">
        <f>IF(PaymentSchedule[[#This Row],[PMT NO]]&lt;&gt;"",PaymentSchedule[[#This Row],[BEGINNING BALANCE]]*(InterestRate/PaymentsPerYear),"")</f>
        <v>4290.4950296472671</v>
      </c>
      <c r="J24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1369198.3843958259</v>
      </c>
      <c r="K248" s="19">
        <f>IF(PaymentSchedule[[#This Row],[PMT NO]]&lt;&gt;"",SUM(INDEX(PaymentSchedule[INTEREST],1,1):PaymentSchedule[[#This Row],[INTEREST]]),"")</f>
        <v>1277171.6530602945</v>
      </c>
    </row>
    <row r="249" spans="2:11" x14ac:dyDescent="0.3">
      <c r="B249" s="21">
        <f>IF(LoanIsGood,IF(ROW()-ROW(PaymentSchedule[[#Headers],[PMT NO]])&gt;ScheduledNumberOfPayments,"",ROW()-ROW(PaymentSchedule[[#Headers],[PMT NO]])),"")</f>
        <v>238</v>
      </c>
      <c r="C249" s="20">
        <f>IF(PaymentSchedule[[#This Row],[PMT NO]]&lt;&gt;"",EOMONTH(LoanStartDate,ROW(PaymentSchedule[[#This Row],[PMT NO]])-ROW(PaymentSchedule[[#Headers],[PMT NO]])-2)+DAY(LoanStartDate),"")</f>
        <v>50861</v>
      </c>
      <c r="D249" s="19">
        <f>IF(PaymentSchedule[[#This Row],[PMT NO]]&lt;&gt;"",IF(ROW()-ROW(PaymentSchedule[[#Headers],[BEGINNING BALANCE]])=1,LoanAmount,INDEX(PaymentSchedule[ENDING BALANCE],ROW()-ROW(PaymentSchedule[[#Headers],[BEGINNING BALANCE]])-1)),"")</f>
        <v>1369198.3843958259</v>
      </c>
      <c r="E249" s="19">
        <f>IF(PaymentSchedule[[#This Row],[PMT NO]]&lt;&gt;"",ScheduledPayment,"")</f>
        <v>8050.5201209471252</v>
      </c>
      <c r="F24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49" s="19">
        <f>IF(PaymentSchedule[[#This Row],[PMT NO]]&lt;&gt;"",PaymentSchedule[[#This Row],[TOTAL PAYMENT]]-PaymentSchedule[[#This Row],[INTEREST]],"")</f>
        <v>3771.7751697101694</v>
      </c>
      <c r="I249" s="19">
        <f>IF(PaymentSchedule[[#This Row],[PMT NO]]&lt;&gt;"",PaymentSchedule[[#This Row],[BEGINNING BALANCE]]*(InterestRate/PaymentsPerYear),"")</f>
        <v>4278.7449512369558</v>
      </c>
      <c r="J24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1365426.6092261157</v>
      </c>
      <c r="K249" s="19">
        <f>IF(PaymentSchedule[[#This Row],[PMT NO]]&lt;&gt;"",SUM(INDEX(PaymentSchedule[INTEREST],1,1):PaymentSchedule[[#This Row],[INTEREST]]),"")</f>
        <v>1281450.3980115314</v>
      </c>
    </row>
    <row r="250" spans="2:11" x14ac:dyDescent="0.3">
      <c r="B250" s="21">
        <f>IF(LoanIsGood,IF(ROW()-ROW(PaymentSchedule[[#Headers],[PMT NO]])&gt;ScheduledNumberOfPayments,"",ROW()-ROW(PaymentSchedule[[#Headers],[PMT NO]])),"")</f>
        <v>239</v>
      </c>
      <c r="C250" s="20">
        <f>IF(PaymentSchedule[[#This Row],[PMT NO]]&lt;&gt;"",EOMONTH(LoanStartDate,ROW(PaymentSchedule[[#This Row],[PMT NO]])-ROW(PaymentSchedule[[#Headers],[PMT NO]])-2)+DAY(LoanStartDate),"")</f>
        <v>50891</v>
      </c>
      <c r="D250" s="19">
        <f>IF(PaymentSchedule[[#This Row],[PMT NO]]&lt;&gt;"",IF(ROW()-ROW(PaymentSchedule[[#Headers],[BEGINNING BALANCE]])=1,LoanAmount,INDEX(PaymentSchedule[ENDING BALANCE],ROW()-ROW(PaymentSchedule[[#Headers],[BEGINNING BALANCE]])-1)),"")</f>
        <v>1365426.6092261157</v>
      </c>
      <c r="E250" s="19">
        <f>IF(PaymentSchedule[[#This Row],[PMT NO]]&lt;&gt;"",ScheduledPayment,"")</f>
        <v>8050.5201209471252</v>
      </c>
      <c r="F25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50" s="19">
        <f>IF(PaymentSchedule[[#This Row],[PMT NO]]&lt;&gt;"",PaymentSchedule[[#This Row],[TOTAL PAYMENT]]-PaymentSchedule[[#This Row],[INTEREST]],"")</f>
        <v>3783.5619671155137</v>
      </c>
      <c r="I250" s="19">
        <f>IF(PaymentSchedule[[#This Row],[PMT NO]]&lt;&gt;"",PaymentSchedule[[#This Row],[BEGINNING BALANCE]]*(InterestRate/PaymentsPerYear),"")</f>
        <v>4266.9581538316115</v>
      </c>
      <c r="J25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1361643.0472590001</v>
      </c>
      <c r="K250" s="19">
        <f>IF(PaymentSchedule[[#This Row],[PMT NO]]&lt;&gt;"",SUM(INDEX(PaymentSchedule[INTEREST],1,1):PaymentSchedule[[#This Row],[INTEREST]]),"")</f>
        <v>1285717.356165363</v>
      </c>
    </row>
    <row r="251" spans="2:11" x14ac:dyDescent="0.3">
      <c r="B251" s="21">
        <f>IF(LoanIsGood,IF(ROW()-ROW(PaymentSchedule[[#Headers],[PMT NO]])&gt;ScheduledNumberOfPayments,"",ROW()-ROW(PaymentSchedule[[#Headers],[PMT NO]])),"")</f>
        <v>240</v>
      </c>
      <c r="C251" s="20">
        <f>IF(PaymentSchedule[[#This Row],[PMT NO]]&lt;&gt;"",EOMONTH(LoanStartDate,ROW(PaymentSchedule[[#This Row],[PMT NO]])-ROW(PaymentSchedule[[#Headers],[PMT NO]])-2)+DAY(LoanStartDate),"")</f>
        <v>50922</v>
      </c>
      <c r="D251" s="19">
        <f>IF(PaymentSchedule[[#This Row],[PMT NO]]&lt;&gt;"",IF(ROW()-ROW(PaymentSchedule[[#Headers],[BEGINNING BALANCE]])=1,LoanAmount,INDEX(PaymentSchedule[ENDING BALANCE],ROW()-ROW(PaymentSchedule[[#Headers],[BEGINNING BALANCE]])-1)),"")</f>
        <v>1361643.0472590001</v>
      </c>
      <c r="E251" s="19">
        <f>IF(PaymentSchedule[[#This Row],[PMT NO]]&lt;&gt;"",ScheduledPayment,"")</f>
        <v>8050.5201209471252</v>
      </c>
      <c r="F25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51" s="19">
        <f>IF(PaymentSchedule[[#This Row],[PMT NO]]&lt;&gt;"",PaymentSchedule[[#This Row],[TOTAL PAYMENT]]-PaymentSchedule[[#This Row],[INTEREST]],"")</f>
        <v>3795.3855982627501</v>
      </c>
      <c r="I251" s="19">
        <f>IF(PaymentSchedule[[#This Row],[PMT NO]]&lt;&gt;"",PaymentSchedule[[#This Row],[BEGINNING BALANCE]]*(InterestRate/PaymentsPerYear),"")</f>
        <v>4255.134522684375</v>
      </c>
      <c r="J25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1357847.6616607374</v>
      </c>
      <c r="K251" s="19">
        <f>IF(PaymentSchedule[[#This Row],[PMT NO]]&lt;&gt;"",SUM(INDEX(PaymentSchedule[INTEREST],1,1):PaymentSchedule[[#This Row],[INTEREST]]),"")</f>
        <v>1289972.4906880474</v>
      </c>
    </row>
    <row r="252" spans="2:11" x14ac:dyDescent="0.3">
      <c r="B252" s="21">
        <f>IF(LoanIsGood,IF(ROW()-ROW(PaymentSchedule[[#Headers],[PMT NO]])&gt;ScheduledNumberOfPayments,"",ROW()-ROW(PaymentSchedule[[#Headers],[PMT NO]])),"")</f>
        <v>241</v>
      </c>
      <c r="C252" s="20">
        <f>IF(PaymentSchedule[[#This Row],[PMT NO]]&lt;&gt;"",EOMONTH(LoanStartDate,ROW(PaymentSchedule[[#This Row],[PMT NO]])-ROW(PaymentSchedule[[#Headers],[PMT NO]])-2)+DAY(LoanStartDate),"")</f>
        <v>50952</v>
      </c>
      <c r="D252" s="19">
        <f>IF(PaymentSchedule[[#This Row],[PMT NO]]&lt;&gt;"",IF(ROW()-ROW(PaymentSchedule[[#Headers],[BEGINNING BALANCE]])=1,LoanAmount,INDEX(PaymentSchedule[ENDING BALANCE],ROW()-ROW(PaymentSchedule[[#Headers],[BEGINNING BALANCE]])-1)),"")</f>
        <v>1357847.6616607374</v>
      </c>
      <c r="E252" s="19">
        <f>IF(PaymentSchedule[[#This Row],[PMT NO]]&lt;&gt;"",ScheduledPayment,"")</f>
        <v>8050.5201209471252</v>
      </c>
      <c r="F25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52" s="19">
        <f>IF(PaymentSchedule[[#This Row],[PMT NO]]&lt;&gt;"",PaymentSchedule[[#This Row],[TOTAL PAYMENT]]-PaymentSchedule[[#This Row],[INTEREST]],"")</f>
        <v>3807.2461782573209</v>
      </c>
      <c r="I252" s="19">
        <f>IF(PaymentSchedule[[#This Row],[PMT NO]]&lt;&gt;"",PaymentSchedule[[#This Row],[BEGINNING BALANCE]]*(InterestRate/PaymentsPerYear),"")</f>
        <v>4243.2739426898042</v>
      </c>
      <c r="J25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1354040.4154824801</v>
      </c>
      <c r="K252" s="19">
        <f>IF(PaymentSchedule[[#This Row],[PMT NO]]&lt;&gt;"",SUM(INDEX(PaymentSchedule[INTEREST],1,1):PaymentSchedule[[#This Row],[INTEREST]]),"")</f>
        <v>1294215.7646307372</v>
      </c>
    </row>
    <row r="253" spans="2:11" x14ac:dyDescent="0.3">
      <c r="B253" s="21">
        <f>IF(LoanIsGood,IF(ROW()-ROW(PaymentSchedule[[#Headers],[PMT NO]])&gt;ScheduledNumberOfPayments,"",ROW()-ROW(PaymentSchedule[[#Headers],[PMT NO]])),"")</f>
        <v>242</v>
      </c>
      <c r="C253" s="20">
        <f>IF(PaymentSchedule[[#This Row],[PMT NO]]&lt;&gt;"",EOMONTH(LoanStartDate,ROW(PaymentSchedule[[#This Row],[PMT NO]])-ROW(PaymentSchedule[[#Headers],[PMT NO]])-2)+DAY(LoanStartDate),"")</f>
        <v>50983</v>
      </c>
      <c r="D253" s="19">
        <f>IF(PaymentSchedule[[#This Row],[PMT NO]]&lt;&gt;"",IF(ROW()-ROW(PaymentSchedule[[#Headers],[BEGINNING BALANCE]])=1,LoanAmount,INDEX(PaymentSchedule[ENDING BALANCE],ROW()-ROW(PaymentSchedule[[#Headers],[BEGINNING BALANCE]])-1)),"")</f>
        <v>1354040.4154824801</v>
      </c>
      <c r="E253" s="19">
        <f>IF(PaymentSchedule[[#This Row],[PMT NO]]&lt;&gt;"",ScheduledPayment,"")</f>
        <v>8050.5201209471252</v>
      </c>
      <c r="F25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53" s="19">
        <f>IF(PaymentSchedule[[#This Row],[PMT NO]]&lt;&gt;"",PaymentSchedule[[#This Row],[TOTAL PAYMENT]]-PaymentSchedule[[#This Row],[INTEREST]],"")</f>
        <v>3819.1438225643751</v>
      </c>
      <c r="I253" s="19">
        <f>IF(PaymentSchedule[[#This Row],[PMT NO]]&lt;&gt;"",PaymentSchedule[[#This Row],[BEGINNING BALANCE]]*(InterestRate/PaymentsPerYear),"")</f>
        <v>4231.3762983827501</v>
      </c>
      <c r="J25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1350221.2716599158</v>
      </c>
      <c r="K253" s="19">
        <f>IF(PaymentSchedule[[#This Row],[PMT NO]]&lt;&gt;"",SUM(INDEX(PaymentSchedule[INTEREST],1,1):PaymentSchedule[[#This Row],[INTEREST]]),"")</f>
        <v>1298447.1409291199</v>
      </c>
    </row>
    <row r="254" spans="2:11" x14ac:dyDescent="0.3">
      <c r="B254" s="21">
        <f>IF(LoanIsGood,IF(ROW()-ROW(PaymentSchedule[[#Headers],[PMT NO]])&gt;ScheduledNumberOfPayments,"",ROW()-ROW(PaymentSchedule[[#Headers],[PMT NO]])),"")</f>
        <v>243</v>
      </c>
      <c r="C254" s="20">
        <f>IF(PaymentSchedule[[#This Row],[PMT NO]]&lt;&gt;"",EOMONTH(LoanStartDate,ROW(PaymentSchedule[[#This Row],[PMT NO]])-ROW(PaymentSchedule[[#Headers],[PMT NO]])-2)+DAY(LoanStartDate),"")</f>
        <v>51014</v>
      </c>
      <c r="D254" s="19">
        <f>IF(PaymentSchedule[[#This Row],[PMT NO]]&lt;&gt;"",IF(ROW()-ROW(PaymentSchedule[[#Headers],[BEGINNING BALANCE]])=1,LoanAmount,INDEX(PaymentSchedule[ENDING BALANCE],ROW()-ROW(PaymentSchedule[[#Headers],[BEGINNING BALANCE]])-1)),"")</f>
        <v>1350221.2716599158</v>
      </c>
      <c r="E254" s="19">
        <f>IF(PaymentSchedule[[#This Row],[PMT NO]]&lt;&gt;"",ScheduledPayment,"")</f>
        <v>8050.5201209471252</v>
      </c>
      <c r="F25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54" s="19">
        <f>IF(PaymentSchedule[[#This Row],[PMT NO]]&lt;&gt;"",PaymentSchedule[[#This Row],[TOTAL PAYMENT]]-PaymentSchedule[[#This Row],[INTEREST]],"")</f>
        <v>3831.0786470098883</v>
      </c>
      <c r="I254" s="19">
        <f>IF(PaymentSchedule[[#This Row],[PMT NO]]&lt;&gt;"",PaymentSchedule[[#This Row],[BEGINNING BALANCE]]*(InterestRate/PaymentsPerYear),"")</f>
        <v>4219.4414739372369</v>
      </c>
      <c r="J25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1346390.193012906</v>
      </c>
      <c r="K254" s="19">
        <f>IF(PaymentSchedule[[#This Row],[PMT NO]]&lt;&gt;"",SUM(INDEX(PaymentSchedule[INTEREST],1,1):PaymentSchedule[[#This Row],[INTEREST]]),"")</f>
        <v>1302666.582403057</v>
      </c>
    </row>
    <row r="255" spans="2:11" x14ac:dyDescent="0.3">
      <c r="B255" s="21">
        <f>IF(LoanIsGood,IF(ROW()-ROW(PaymentSchedule[[#Headers],[PMT NO]])&gt;ScheduledNumberOfPayments,"",ROW()-ROW(PaymentSchedule[[#Headers],[PMT NO]])),"")</f>
        <v>244</v>
      </c>
      <c r="C255" s="20">
        <f>IF(PaymentSchedule[[#This Row],[PMT NO]]&lt;&gt;"",EOMONTH(LoanStartDate,ROW(PaymentSchedule[[#This Row],[PMT NO]])-ROW(PaymentSchedule[[#Headers],[PMT NO]])-2)+DAY(LoanStartDate),"")</f>
        <v>51044</v>
      </c>
      <c r="D255" s="19">
        <f>IF(PaymentSchedule[[#This Row],[PMT NO]]&lt;&gt;"",IF(ROW()-ROW(PaymentSchedule[[#Headers],[BEGINNING BALANCE]])=1,LoanAmount,INDEX(PaymentSchedule[ENDING BALANCE],ROW()-ROW(PaymentSchedule[[#Headers],[BEGINNING BALANCE]])-1)),"")</f>
        <v>1346390.193012906</v>
      </c>
      <c r="E255" s="19">
        <f>IF(PaymentSchedule[[#This Row],[PMT NO]]&lt;&gt;"",ScheduledPayment,"")</f>
        <v>8050.5201209471252</v>
      </c>
      <c r="F25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55" s="19">
        <f>IF(PaymentSchedule[[#This Row],[PMT NO]]&lt;&gt;"",PaymentSchedule[[#This Row],[TOTAL PAYMENT]]-PaymentSchedule[[#This Row],[INTEREST]],"")</f>
        <v>3843.0507677817941</v>
      </c>
      <c r="I255" s="19">
        <f>IF(PaymentSchedule[[#This Row],[PMT NO]]&lt;&gt;"",PaymentSchedule[[#This Row],[BEGINNING BALANCE]]*(InterestRate/PaymentsPerYear),"")</f>
        <v>4207.4693531653311</v>
      </c>
      <c r="J25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1342547.1422451243</v>
      </c>
      <c r="K255" s="19">
        <f>IF(PaymentSchedule[[#This Row],[PMT NO]]&lt;&gt;"",SUM(INDEX(PaymentSchedule[INTEREST],1,1):PaymentSchedule[[#This Row],[INTEREST]]),"")</f>
        <v>1306874.0517562223</v>
      </c>
    </row>
    <row r="256" spans="2:11" x14ac:dyDescent="0.3">
      <c r="B256" s="21">
        <f>IF(LoanIsGood,IF(ROW()-ROW(PaymentSchedule[[#Headers],[PMT NO]])&gt;ScheduledNumberOfPayments,"",ROW()-ROW(PaymentSchedule[[#Headers],[PMT NO]])),"")</f>
        <v>245</v>
      </c>
      <c r="C256" s="20">
        <f>IF(PaymentSchedule[[#This Row],[PMT NO]]&lt;&gt;"",EOMONTH(LoanStartDate,ROW(PaymentSchedule[[#This Row],[PMT NO]])-ROW(PaymentSchedule[[#Headers],[PMT NO]])-2)+DAY(LoanStartDate),"")</f>
        <v>51075</v>
      </c>
      <c r="D256" s="19">
        <f>IF(PaymentSchedule[[#This Row],[PMT NO]]&lt;&gt;"",IF(ROW()-ROW(PaymentSchedule[[#Headers],[BEGINNING BALANCE]])=1,LoanAmount,INDEX(PaymentSchedule[ENDING BALANCE],ROW()-ROW(PaymentSchedule[[#Headers],[BEGINNING BALANCE]])-1)),"")</f>
        <v>1342547.1422451243</v>
      </c>
      <c r="E256" s="19">
        <f>IF(PaymentSchedule[[#This Row],[PMT NO]]&lt;&gt;"",ScheduledPayment,"")</f>
        <v>8050.5201209471252</v>
      </c>
      <c r="F25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56" s="19">
        <f>IF(PaymentSchedule[[#This Row],[PMT NO]]&lt;&gt;"",PaymentSchedule[[#This Row],[TOTAL PAYMENT]]-PaymentSchedule[[#This Row],[INTEREST]],"")</f>
        <v>3855.0603014311118</v>
      </c>
      <c r="I256" s="19">
        <f>IF(PaymentSchedule[[#This Row],[PMT NO]]&lt;&gt;"",PaymentSchedule[[#This Row],[BEGINNING BALANCE]]*(InterestRate/PaymentsPerYear),"")</f>
        <v>4195.4598195160133</v>
      </c>
      <c r="J25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1338692.0819436931</v>
      </c>
      <c r="K256" s="19">
        <f>IF(PaymentSchedule[[#This Row],[PMT NO]]&lt;&gt;"",SUM(INDEX(PaymentSchedule[INTEREST],1,1):PaymentSchedule[[#This Row],[INTEREST]]),"")</f>
        <v>1311069.5115757382</v>
      </c>
    </row>
    <row r="257" spans="2:11" x14ac:dyDescent="0.3">
      <c r="B257" s="21">
        <f>IF(LoanIsGood,IF(ROW()-ROW(PaymentSchedule[[#Headers],[PMT NO]])&gt;ScheduledNumberOfPayments,"",ROW()-ROW(PaymentSchedule[[#Headers],[PMT NO]])),"")</f>
        <v>246</v>
      </c>
      <c r="C257" s="20">
        <f>IF(PaymentSchedule[[#This Row],[PMT NO]]&lt;&gt;"",EOMONTH(LoanStartDate,ROW(PaymentSchedule[[#This Row],[PMT NO]])-ROW(PaymentSchedule[[#Headers],[PMT NO]])-2)+DAY(LoanStartDate),"")</f>
        <v>51105</v>
      </c>
      <c r="D257" s="19">
        <f>IF(PaymentSchedule[[#This Row],[PMT NO]]&lt;&gt;"",IF(ROW()-ROW(PaymentSchedule[[#Headers],[BEGINNING BALANCE]])=1,LoanAmount,INDEX(PaymentSchedule[ENDING BALANCE],ROW()-ROW(PaymentSchedule[[#Headers],[BEGINNING BALANCE]])-1)),"")</f>
        <v>1338692.0819436931</v>
      </c>
      <c r="E257" s="19">
        <f>IF(PaymentSchedule[[#This Row],[PMT NO]]&lt;&gt;"",ScheduledPayment,"")</f>
        <v>8050.5201209471252</v>
      </c>
      <c r="F25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57" s="19">
        <f>IF(PaymentSchedule[[#This Row],[PMT NO]]&lt;&gt;"",PaymentSchedule[[#This Row],[TOTAL PAYMENT]]-PaymentSchedule[[#This Row],[INTEREST]],"")</f>
        <v>3867.1073648730844</v>
      </c>
      <c r="I257" s="19">
        <f>IF(PaymentSchedule[[#This Row],[PMT NO]]&lt;&gt;"",PaymentSchedule[[#This Row],[BEGINNING BALANCE]]*(InterestRate/PaymentsPerYear),"")</f>
        <v>4183.4127560740408</v>
      </c>
      <c r="J25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1334824.9745788199</v>
      </c>
      <c r="K257" s="19">
        <f>IF(PaymentSchedule[[#This Row],[PMT NO]]&lt;&gt;"",SUM(INDEX(PaymentSchedule[INTEREST],1,1):PaymentSchedule[[#This Row],[INTEREST]]),"")</f>
        <v>1315252.9243318122</v>
      </c>
    </row>
    <row r="258" spans="2:11" x14ac:dyDescent="0.3">
      <c r="B258" s="21">
        <f>IF(LoanIsGood,IF(ROW()-ROW(PaymentSchedule[[#Headers],[PMT NO]])&gt;ScheduledNumberOfPayments,"",ROW()-ROW(PaymentSchedule[[#Headers],[PMT NO]])),"")</f>
        <v>247</v>
      </c>
      <c r="C258" s="20">
        <f>IF(PaymentSchedule[[#This Row],[PMT NO]]&lt;&gt;"",EOMONTH(LoanStartDate,ROW(PaymentSchedule[[#This Row],[PMT NO]])-ROW(PaymentSchedule[[#Headers],[PMT NO]])-2)+DAY(LoanStartDate),"")</f>
        <v>51136</v>
      </c>
      <c r="D258" s="19">
        <f>IF(PaymentSchedule[[#This Row],[PMT NO]]&lt;&gt;"",IF(ROW()-ROW(PaymentSchedule[[#Headers],[BEGINNING BALANCE]])=1,LoanAmount,INDEX(PaymentSchedule[ENDING BALANCE],ROW()-ROW(PaymentSchedule[[#Headers],[BEGINNING BALANCE]])-1)),"")</f>
        <v>1334824.9745788199</v>
      </c>
      <c r="E258" s="19">
        <f>IF(PaymentSchedule[[#This Row],[PMT NO]]&lt;&gt;"",ScheduledPayment,"")</f>
        <v>8050.5201209471252</v>
      </c>
      <c r="F25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58" s="19">
        <f>IF(PaymentSchedule[[#This Row],[PMT NO]]&lt;&gt;"",PaymentSchedule[[#This Row],[TOTAL PAYMENT]]-PaymentSchedule[[#This Row],[INTEREST]],"")</f>
        <v>3879.1920753883132</v>
      </c>
      <c r="I258" s="19">
        <f>IF(PaymentSchedule[[#This Row],[PMT NO]]&lt;&gt;"",PaymentSchedule[[#This Row],[BEGINNING BALANCE]]*(InterestRate/PaymentsPerYear),"")</f>
        <v>4171.3280455588119</v>
      </c>
      <c r="J25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1330945.7825034317</v>
      </c>
      <c r="K258" s="19">
        <f>IF(PaymentSchedule[[#This Row],[PMT NO]]&lt;&gt;"",SUM(INDEX(PaymentSchedule[INTEREST],1,1):PaymentSchedule[[#This Row],[INTEREST]]),"")</f>
        <v>1319424.2523773711</v>
      </c>
    </row>
    <row r="259" spans="2:11" x14ac:dyDescent="0.3">
      <c r="B259" s="21">
        <f>IF(LoanIsGood,IF(ROW()-ROW(PaymentSchedule[[#Headers],[PMT NO]])&gt;ScheduledNumberOfPayments,"",ROW()-ROW(PaymentSchedule[[#Headers],[PMT NO]])),"")</f>
        <v>248</v>
      </c>
      <c r="C259" s="20">
        <f>IF(PaymentSchedule[[#This Row],[PMT NO]]&lt;&gt;"",EOMONTH(LoanStartDate,ROW(PaymentSchedule[[#This Row],[PMT NO]])-ROW(PaymentSchedule[[#Headers],[PMT NO]])-2)+DAY(LoanStartDate),"")</f>
        <v>51167</v>
      </c>
      <c r="D259" s="19">
        <f>IF(PaymentSchedule[[#This Row],[PMT NO]]&lt;&gt;"",IF(ROW()-ROW(PaymentSchedule[[#Headers],[BEGINNING BALANCE]])=1,LoanAmount,INDEX(PaymentSchedule[ENDING BALANCE],ROW()-ROW(PaymentSchedule[[#Headers],[BEGINNING BALANCE]])-1)),"")</f>
        <v>1330945.7825034317</v>
      </c>
      <c r="E259" s="19">
        <f>IF(PaymentSchedule[[#This Row],[PMT NO]]&lt;&gt;"",ScheduledPayment,"")</f>
        <v>8050.5201209471252</v>
      </c>
      <c r="F25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59" s="19">
        <f>IF(PaymentSchedule[[#This Row],[PMT NO]]&lt;&gt;"",PaymentSchedule[[#This Row],[TOTAL PAYMENT]]-PaymentSchedule[[#This Row],[INTEREST]],"")</f>
        <v>3891.3145506239016</v>
      </c>
      <c r="I259" s="19">
        <f>IF(PaymentSchedule[[#This Row],[PMT NO]]&lt;&gt;"",PaymentSchedule[[#This Row],[BEGINNING BALANCE]]*(InterestRate/PaymentsPerYear),"")</f>
        <v>4159.2055703232236</v>
      </c>
      <c r="J25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1327054.4679528077</v>
      </c>
      <c r="K259" s="19">
        <f>IF(PaymentSchedule[[#This Row],[PMT NO]]&lt;&gt;"",SUM(INDEX(PaymentSchedule[INTEREST],1,1):PaymentSchedule[[#This Row],[INTEREST]]),"")</f>
        <v>1323583.4579476942</v>
      </c>
    </row>
    <row r="260" spans="2:11" x14ac:dyDescent="0.3">
      <c r="B260" s="21">
        <f>IF(LoanIsGood,IF(ROW()-ROW(PaymentSchedule[[#Headers],[PMT NO]])&gt;ScheduledNumberOfPayments,"",ROW()-ROW(PaymentSchedule[[#Headers],[PMT NO]])),"")</f>
        <v>249</v>
      </c>
      <c r="C260" s="20">
        <f>IF(PaymentSchedule[[#This Row],[PMT NO]]&lt;&gt;"",EOMONTH(LoanStartDate,ROW(PaymentSchedule[[#This Row],[PMT NO]])-ROW(PaymentSchedule[[#Headers],[PMT NO]])-2)+DAY(LoanStartDate),"")</f>
        <v>51196</v>
      </c>
      <c r="D260" s="19">
        <f>IF(PaymentSchedule[[#This Row],[PMT NO]]&lt;&gt;"",IF(ROW()-ROW(PaymentSchedule[[#Headers],[BEGINNING BALANCE]])=1,LoanAmount,INDEX(PaymentSchedule[ENDING BALANCE],ROW()-ROW(PaymentSchedule[[#Headers],[BEGINNING BALANCE]])-1)),"")</f>
        <v>1327054.4679528077</v>
      </c>
      <c r="E260" s="19">
        <f>IF(PaymentSchedule[[#This Row],[PMT NO]]&lt;&gt;"",ScheduledPayment,"")</f>
        <v>8050.5201209471252</v>
      </c>
      <c r="F26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60" s="19">
        <f>IF(PaymentSchedule[[#This Row],[PMT NO]]&lt;&gt;"",PaymentSchedule[[#This Row],[TOTAL PAYMENT]]-PaymentSchedule[[#This Row],[INTEREST]],"")</f>
        <v>3903.4749085946014</v>
      </c>
      <c r="I260" s="19">
        <f>IF(PaymentSchedule[[#This Row],[PMT NO]]&lt;&gt;"",PaymentSchedule[[#This Row],[BEGINNING BALANCE]]*(InterestRate/PaymentsPerYear),"")</f>
        <v>4147.0452123525238</v>
      </c>
      <c r="J26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1323150.9930442132</v>
      </c>
      <c r="K260" s="19">
        <f>IF(PaymentSchedule[[#This Row],[PMT NO]]&lt;&gt;"",SUM(INDEX(PaymentSchedule[INTEREST],1,1):PaymentSchedule[[#This Row],[INTEREST]]),"")</f>
        <v>1327730.5031600466</v>
      </c>
    </row>
    <row r="261" spans="2:11" x14ac:dyDescent="0.3">
      <c r="B261" s="21">
        <f>IF(LoanIsGood,IF(ROW()-ROW(PaymentSchedule[[#Headers],[PMT NO]])&gt;ScheduledNumberOfPayments,"",ROW()-ROW(PaymentSchedule[[#Headers],[PMT NO]])),"")</f>
        <v>250</v>
      </c>
      <c r="C261" s="20">
        <f>IF(PaymentSchedule[[#This Row],[PMT NO]]&lt;&gt;"",EOMONTH(LoanStartDate,ROW(PaymentSchedule[[#This Row],[PMT NO]])-ROW(PaymentSchedule[[#Headers],[PMT NO]])-2)+DAY(LoanStartDate),"")</f>
        <v>51227</v>
      </c>
      <c r="D261" s="19">
        <f>IF(PaymentSchedule[[#This Row],[PMT NO]]&lt;&gt;"",IF(ROW()-ROW(PaymentSchedule[[#Headers],[BEGINNING BALANCE]])=1,LoanAmount,INDEX(PaymentSchedule[ENDING BALANCE],ROW()-ROW(PaymentSchedule[[#Headers],[BEGINNING BALANCE]])-1)),"")</f>
        <v>1323150.9930442132</v>
      </c>
      <c r="E261" s="19">
        <f>IF(PaymentSchedule[[#This Row],[PMT NO]]&lt;&gt;"",ScheduledPayment,"")</f>
        <v>8050.5201209471252</v>
      </c>
      <c r="F26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61" s="19">
        <f>IF(PaymentSchedule[[#This Row],[PMT NO]]&lt;&gt;"",PaymentSchedule[[#This Row],[TOTAL PAYMENT]]-PaymentSchedule[[#This Row],[INTEREST]],"")</f>
        <v>3915.6732676839592</v>
      </c>
      <c r="I261" s="19">
        <f>IF(PaymentSchedule[[#This Row],[PMT NO]]&lt;&gt;"",PaymentSchedule[[#This Row],[BEGINNING BALANCE]]*(InterestRate/PaymentsPerYear),"")</f>
        <v>4134.8468532631659</v>
      </c>
      <c r="J26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1319235.3197765292</v>
      </c>
      <c r="K261" s="19">
        <f>IF(PaymentSchedule[[#This Row],[PMT NO]]&lt;&gt;"",SUM(INDEX(PaymentSchedule[INTEREST],1,1):PaymentSchedule[[#This Row],[INTEREST]]),"")</f>
        <v>1331865.3500133099</v>
      </c>
    </row>
    <row r="262" spans="2:11" x14ac:dyDescent="0.3">
      <c r="B262" s="21">
        <f>IF(LoanIsGood,IF(ROW()-ROW(PaymentSchedule[[#Headers],[PMT NO]])&gt;ScheduledNumberOfPayments,"",ROW()-ROW(PaymentSchedule[[#Headers],[PMT NO]])),"")</f>
        <v>251</v>
      </c>
      <c r="C262" s="20">
        <f>IF(PaymentSchedule[[#This Row],[PMT NO]]&lt;&gt;"",EOMONTH(LoanStartDate,ROW(PaymentSchedule[[#This Row],[PMT NO]])-ROW(PaymentSchedule[[#Headers],[PMT NO]])-2)+DAY(LoanStartDate),"")</f>
        <v>51257</v>
      </c>
      <c r="D262" s="19">
        <f>IF(PaymentSchedule[[#This Row],[PMT NO]]&lt;&gt;"",IF(ROW()-ROW(PaymentSchedule[[#Headers],[BEGINNING BALANCE]])=1,LoanAmount,INDEX(PaymentSchedule[ENDING BALANCE],ROW()-ROW(PaymentSchedule[[#Headers],[BEGINNING BALANCE]])-1)),"")</f>
        <v>1319235.3197765292</v>
      </c>
      <c r="E262" s="19">
        <f>IF(PaymentSchedule[[#This Row],[PMT NO]]&lt;&gt;"",ScheduledPayment,"")</f>
        <v>8050.5201209471252</v>
      </c>
      <c r="F26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62" s="19">
        <f>IF(PaymentSchedule[[#This Row],[PMT NO]]&lt;&gt;"",PaymentSchedule[[#This Row],[TOTAL PAYMENT]]-PaymentSchedule[[#This Row],[INTEREST]],"")</f>
        <v>3927.9097466454714</v>
      </c>
      <c r="I262" s="19">
        <f>IF(PaymentSchedule[[#This Row],[PMT NO]]&lt;&gt;"",PaymentSchedule[[#This Row],[BEGINNING BALANCE]]*(InterestRate/PaymentsPerYear),"")</f>
        <v>4122.6103743016538</v>
      </c>
      <c r="J26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1315307.4100298837</v>
      </c>
      <c r="K262" s="19">
        <f>IF(PaymentSchedule[[#This Row],[PMT NO]]&lt;&gt;"",SUM(INDEX(PaymentSchedule[INTEREST],1,1):PaymentSchedule[[#This Row],[INTEREST]]),"")</f>
        <v>1335987.9603876115</v>
      </c>
    </row>
    <row r="263" spans="2:11" x14ac:dyDescent="0.3">
      <c r="B263" s="21">
        <f>IF(LoanIsGood,IF(ROW()-ROW(PaymentSchedule[[#Headers],[PMT NO]])&gt;ScheduledNumberOfPayments,"",ROW()-ROW(PaymentSchedule[[#Headers],[PMT NO]])),"")</f>
        <v>252</v>
      </c>
      <c r="C263" s="20">
        <f>IF(PaymentSchedule[[#This Row],[PMT NO]]&lt;&gt;"",EOMONTH(LoanStartDate,ROW(PaymentSchedule[[#This Row],[PMT NO]])-ROW(PaymentSchedule[[#Headers],[PMT NO]])-2)+DAY(LoanStartDate),"")</f>
        <v>51288</v>
      </c>
      <c r="D263" s="19">
        <f>IF(PaymentSchedule[[#This Row],[PMT NO]]&lt;&gt;"",IF(ROW()-ROW(PaymentSchedule[[#Headers],[BEGINNING BALANCE]])=1,LoanAmount,INDEX(PaymentSchedule[ENDING BALANCE],ROW()-ROW(PaymentSchedule[[#Headers],[BEGINNING BALANCE]])-1)),"")</f>
        <v>1315307.4100298837</v>
      </c>
      <c r="E263" s="19">
        <f>IF(PaymentSchedule[[#This Row],[PMT NO]]&lt;&gt;"",ScheduledPayment,"")</f>
        <v>8050.5201209471252</v>
      </c>
      <c r="F26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63" s="19">
        <f>IF(PaymentSchedule[[#This Row],[PMT NO]]&lt;&gt;"",PaymentSchedule[[#This Row],[TOTAL PAYMENT]]-PaymentSchedule[[#This Row],[INTEREST]],"")</f>
        <v>3940.1844646037389</v>
      </c>
      <c r="I263" s="19">
        <f>IF(PaymentSchedule[[#This Row],[PMT NO]]&lt;&gt;"",PaymentSchedule[[#This Row],[BEGINNING BALANCE]]*(InterestRate/PaymentsPerYear),"")</f>
        <v>4110.3356563433863</v>
      </c>
      <c r="J26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1311367.2255652801</v>
      </c>
      <c r="K263" s="19">
        <f>IF(PaymentSchedule[[#This Row],[PMT NO]]&lt;&gt;"",SUM(INDEX(PaymentSchedule[INTEREST],1,1):PaymentSchedule[[#This Row],[INTEREST]]),"")</f>
        <v>1340098.296043955</v>
      </c>
    </row>
    <row r="264" spans="2:11" x14ac:dyDescent="0.3">
      <c r="B264" s="21">
        <f>IF(LoanIsGood,IF(ROW()-ROW(PaymentSchedule[[#Headers],[PMT NO]])&gt;ScheduledNumberOfPayments,"",ROW()-ROW(PaymentSchedule[[#Headers],[PMT NO]])),"")</f>
        <v>253</v>
      </c>
      <c r="C264" s="20">
        <f>IF(PaymentSchedule[[#This Row],[PMT NO]]&lt;&gt;"",EOMONTH(LoanStartDate,ROW(PaymentSchedule[[#This Row],[PMT NO]])-ROW(PaymentSchedule[[#Headers],[PMT NO]])-2)+DAY(LoanStartDate),"")</f>
        <v>51318</v>
      </c>
      <c r="D264" s="19">
        <f>IF(PaymentSchedule[[#This Row],[PMT NO]]&lt;&gt;"",IF(ROW()-ROW(PaymentSchedule[[#Headers],[BEGINNING BALANCE]])=1,LoanAmount,INDEX(PaymentSchedule[ENDING BALANCE],ROW()-ROW(PaymentSchedule[[#Headers],[BEGINNING BALANCE]])-1)),"")</f>
        <v>1311367.2255652801</v>
      </c>
      <c r="E264" s="19">
        <f>IF(PaymentSchedule[[#This Row],[PMT NO]]&lt;&gt;"",ScheduledPayment,"")</f>
        <v>8050.5201209471252</v>
      </c>
      <c r="F26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64" s="19">
        <f>IF(PaymentSchedule[[#This Row],[PMT NO]]&lt;&gt;"",PaymentSchedule[[#This Row],[TOTAL PAYMENT]]-PaymentSchedule[[#This Row],[INTEREST]],"")</f>
        <v>3952.4975410556253</v>
      </c>
      <c r="I264" s="19">
        <f>IF(PaymentSchedule[[#This Row],[PMT NO]]&lt;&gt;"",PaymentSchedule[[#This Row],[BEGINNING BALANCE]]*(InterestRate/PaymentsPerYear),"")</f>
        <v>4098.0225798914998</v>
      </c>
      <c r="J26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1307414.7280242245</v>
      </c>
      <c r="K264" s="19">
        <f>IF(PaymentSchedule[[#This Row],[PMT NO]]&lt;&gt;"",SUM(INDEX(PaymentSchedule[INTEREST],1,1):PaymentSchedule[[#This Row],[INTEREST]]),"")</f>
        <v>1344196.3186238466</v>
      </c>
    </row>
    <row r="265" spans="2:11" x14ac:dyDescent="0.3">
      <c r="B265" s="21">
        <f>IF(LoanIsGood,IF(ROW()-ROW(PaymentSchedule[[#Headers],[PMT NO]])&gt;ScheduledNumberOfPayments,"",ROW()-ROW(PaymentSchedule[[#Headers],[PMT NO]])),"")</f>
        <v>254</v>
      </c>
      <c r="C265" s="20">
        <f>IF(PaymentSchedule[[#This Row],[PMT NO]]&lt;&gt;"",EOMONTH(LoanStartDate,ROW(PaymentSchedule[[#This Row],[PMT NO]])-ROW(PaymentSchedule[[#Headers],[PMT NO]])-2)+DAY(LoanStartDate),"")</f>
        <v>51349</v>
      </c>
      <c r="D265" s="19">
        <f>IF(PaymentSchedule[[#This Row],[PMT NO]]&lt;&gt;"",IF(ROW()-ROW(PaymentSchedule[[#Headers],[BEGINNING BALANCE]])=1,LoanAmount,INDEX(PaymentSchedule[ENDING BALANCE],ROW()-ROW(PaymentSchedule[[#Headers],[BEGINNING BALANCE]])-1)),"")</f>
        <v>1307414.7280242245</v>
      </c>
      <c r="E265" s="19">
        <f>IF(PaymentSchedule[[#This Row],[PMT NO]]&lt;&gt;"",ScheduledPayment,"")</f>
        <v>8050.5201209471252</v>
      </c>
      <c r="F26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65" s="19">
        <f>IF(PaymentSchedule[[#This Row],[PMT NO]]&lt;&gt;"",PaymentSchedule[[#This Row],[TOTAL PAYMENT]]-PaymentSchedule[[#This Row],[INTEREST]],"")</f>
        <v>3964.8490958714237</v>
      </c>
      <c r="I265" s="19">
        <f>IF(PaymentSchedule[[#This Row],[PMT NO]]&lt;&gt;"",PaymentSchedule[[#This Row],[BEGINNING BALANCE]]*(InterestRate/PaymentsPerYear),"")</f>
        <v>4085.6710250757014</v>
      </c>
      <c r="J26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1303449.8789283531</v>
      </c>
      <c r="K265" s="19">
        <f>IF(PaymentSchedule[[#This Row],[PMT NO]]&lt;&gt;"",SUM(INDEX(PaymentSchedule[INTEREST],1,1):PaymentSchedule[[#This Row],[INTEREST]]),"")</f>
        <v>1348281.9896489223</v>
      </c>
    </row>
    <row r="266" spans="2:11" x14ac:dyDescent="0.3">
      <c r="B266" s="21">
        <f>IF(LoanIsGood,IF(ROW()-ROW(PaymentSchedule[[#Headers],[PMT NO]])&gt;ScheduledNumberOfPayments,"",ROW()-ROW(PaymentSchedule[[#Headers],[PMT NO]])),"")</f>
        <v>255</v>
      </c>
      <c r="C266" s="20">
        <f>IF(PaymentSchedule[[#This Row],[PMT NO]]&lt;&gt;"",EOMONTH(LoanStartDate,ROW(PaymentSchedule[[#This Row],[PMT NO]])-ROW(PaymentSchedule[[#Headers],[PMT NO]])-2)+DAY(LoanStartDate),"")</f>
        <v>51380</v>
      </c>
      <c r="D266" s="19">
        <f>IF(PaymentSchedule[[#This Row],[PMT NO]]&lt;&gt;"",IF(ROW()-ROW(PaymentSchedule[[#Headers],[BEGINNING BALANCE]])=1,LoanAmount,INDEX(PaymentSchedule[ENDING BALANCE],ROW()-ROW(PaymentSchedule[[#Headers],[BEGINNING BALANCE]])-1)),"")</f>
        <v>1303449.8789283531</v>
      </c>
      <c r="E266" s="19">
        <f>IF(PaymentSchedule[[#This Row],[PMT NO]]&lt;&gt;"",ScheduledPayment,"")</f>
        <v>8050.5201209471252</v>
      </c>
      <c r="F26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66" s="19">
        <f>IF(PaymentSchedule[[#This Row],[PMT NO]]&lt;&gt;"",PaymentSchedule[[#This Row],[TOTAL PAYMENT]]-PaymentSchedule[[#This Row],[INTEREST]],"")</f>
        <v>3977.2392492960221</v>
      </c>
      <c r="I266" s="19">
        <f>IF(PaymentSchedule[[#This Row],[PMT NO]]&lt;&gt;"",PaymentSchedule[[#This Row],[BEGINNING BALANCE]]*(InterestRate/PaymentsPerYear),"")</f>
        <v>4073.2808716511031</v>
      </c>
      <c r="J26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1299472.6396790571</v>
      </c>
      <c r="K266" s="19">
        <f>IF(PaymentSchedule[[#This Row],[PMT NO]]&lt;&gt;"",SUM(INDEX(PaymentSchedule[INTEREST],1,1):PaymentSchedule[[#This Row],[INTEREST]]),"")</f>
        <v>1352355.2705205735</v>
      </c>
    </row>
    <row r="267" spans="2:11" x14ac:dyDescent="0.3">
      <c r="B267" s="21">
        <f>IF(LoanIsGood,IF(ROW()-ROW(PaymentSchedule[[#Headers],[PMT NO]])&gt;ScheduledNumberOfPayments,"",ROW()-ROW(PaymentSchedule[[#Headers],[PMT NO]])),"")</f>
        <v>256</v>
      </c>
      <c r="C267" s="20">
        <f>IF(PaymentSchedule[[#This Row],[PMT NO]]&lt;&gt;"",EOMONTH(LoanStartDate,ROW(PaymentSchedule[[#This Row],[PMT NO]])-ROW(PaymentSchedule[[#Headers],[PMT NO]])-2)+DAY(LoanStartDate),"")</f>
        <v>51410</v>
      </c>
      <c r="D267" s="19">
        <f>IF(PaymentSchedule[[#This Row],[PMT NO]]&lt;&gt;"",IF(ROW()-ROW(PaymentSchedule[[#Headers],[BEGINNING BALANCE]])=1,LoanAmount,INDEX(PaymentSchedule[ENDING BALANCE],ROW()-ROW(PaymentSchedule[[#Headers],[BEGINNING BALANCE]])-1)),"")</f>
        <v>1299472.6396790571</v>
      </c>
      <c r="E267" s="19">
        <f>IF(PaymentSchedule[[#This Row],[PMT NO]]&lt;&gt;"",ScheduledPayment,"")</f>
        <v>8050.5201209471252</v>
      </c>
      <c r="F26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67" s="19">
        <f>IF(PaymentSchedule[[#This Row],[PMT NO]]&lt;&gt;"",PaymentSchedule[[#This Row],[TOTAL PAYMENT]]-PaymentSchedule[[#This Row],[INTEREST]],"")</f>
        <v>3989.6681219500724</v>
      </c>
      <c r="I267" s="19">
        <f>IF(PaymentSchedule[[#This Row],[PMT NO]]&lt;&gt;"",PaymentSchedule[[#This Row],[BEGINNING BALANCE]]*(InterestRate/PaymentsPerYear),"")</f>
        <v>4060.8519989970528</v>
      </c>
      <c r="J26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1295482.9715571071</v>
      </c>
      <c r="K267" s="19">
        <f>IF(PaymentSchedule[[#This Row],[PMT NO]]&lt;&gt;"",SUM(INDEX(PaymentSchedule[INTEREST],1,1):PaymentSchedule[[#This Row],[INTEREST]]),"")</f>
        <v>1356416.1225195706</v>
      </c>
    </row>
    <row r="268" spans="2:11" x14ac:dyDescent="0.3">
      <c r="B268" s="21">
        <f>IF(LoanIsGood,IF(ROW()-ROW(PaymentSchedule[[#Headers],[PMT NO]])&gt;ScheduledNumberOfPayments,"",ROW()-ROW(PaymentSchedule[[#Headers],[PMT NO]])),"")</f>
        <v>257</v>
      </c>
      <c r="C268" s="20">
        <f>IF(PaymentSchedule[[#This Row],[PMT NO]]&lt;&gt;"",EOMONTH(LoanStartDate,ROW(PaymentSchedule[[#This Row],[PMT NO]])-ROW(PaymentSchedule[[#Headers],[PMT NO]])-2)+DAY(LoanStartDate),"")</f>
        <v>51441</v>
      </c>
      <c r="D268" s="19">
        <f>IF(PaymentSchedule[[#This Row],[PMT NO]]&lt;&gt;"",IF(ROW()-ROW(PaymentSchedule[[#Headers],[BEGINNING BALANCE]])=1,LoanAmount,INDEX(PaymentSchedule[ENDING BALANCE],ROW()-ROW(PaymentSchedule[[#Headers],[BEGINNING BALANCE]])-1)),"")</f>
        <v>1295482.9715571071</v>
      </c>
      <c r="E268" s="19">
        <f>IF(PaymentSchedule[[#This Row],[PMT NO]]&lt;&gt;"",ScheduledPayment,"")</f>
        <v>8050.5201209471252</v>
      </c>
      <c r="F26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68" s="19">
        <f>IF(PaymentSchedule[[#This Row],[PMT NO]]&lt;&gt;"",PaymentSchedule[[#This Row],[TOTAL PAYMENT]]-PaymentSchedule[[#This Row],[INTEREST]],"")</f>
        <v>4002.135834831166</v>
      </c>
      <c r="I268" s="19">
        <f>IF(PaymentSchedule[[#This Row],[PMT NO]]&lt;&gt;"",PaymentSchedule[[#This Row],[BEGINNING BALANCE]]*(InterestRate/PaymentsPerYear),"")</f>
        <v>4048.3842861159592</v>
      </c>
      <c r="J26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1291480.8357222758</v>
      </c>
      <c r="K268" s="19">
        <f>IF(PaymentSchedule[[#This Row],[PMT NO]]&lt;&gt;"",SUM(INDEX(PaymentSchedule[INTEREST],1,1):PaymentSchedule[[#This Row],[INTEREST]]),"")</f>
        <v>1360464.5068056865</v>
      </c>
    </row>
    <row r="269" spans="2:11" x14ac:dyDescent="0.3">
      <c r="B269" s="21">
        <f>IF(LoanIsGood,IF(ROW()-ROW(PaymentSchedule[[#Headers],[PMT NO]])&gt;ScheduledNumberOfPayments,"",ROW()-ROW(PaymentSchedule[[#Headers],[PMT NO]])),"")</f>
        <v>258</v>
      </c>
      <c r="C269" s="20">
        <f>IF(PaymentSchedule[[#This Row],[PMT NO]]&lt;&gt;"",EOMONTH(LoanStartDate,ROW(PaymentSchedule[[#This Row],[PMT NO]])-ROW(PaymentSchedule[[#Headers],[PMT NO]])-2)+DAY(LoanStartDate),"")</f>
        <v>51471</v>
      </c>
      <c r="D269" s="19">
        <f>IF(PaymentSchedule[[#This Row],[PMT NO]]&lt;&gt;"",IF(ROW()-ROW(PaymentSchedule[[#Headers],[BEGINNING BALANCE]])=1,LoanAmount,INDEX(PaymentSchedule[ENDING BALANCE],ROW()-ROW(PaymentSchedule[[#Headers],[BEGINNING BALANCE]])-1)),"")</f>
        <v>1291480.8357222758</v>
      </c>
      <c r="E269" s="19">
        <f>IF(PaymentSchedule[[#This Row],[PMT NO]]&lt;&gt;"",ScheduledPayment,"")</f>
        <v>8050.5201209471252</v>
      </c>
      <c r="F26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69" s="19">
        <f>IF(PaymentSchedule[[#This Row],[PMT NO]]&lt;&gt;"",PaymentSchedule[[#This Row],[TOTAL PAYMENT]]-PaymentSchedule[[#This Row],[INTEREST]],"")</f>
        <v>4014.6425093150137</v>
      </c>
      <c r="I269" s="19">
        <f>IF(PaymentSchedule[[#This Row],[PMT NO]]&lt;&gt;"",PaymentSchedule[[#This Row],[BEGINNING BALANCE]]*(InterestRate/PaymentsPerYear),"")</f>
        <v>4035.8776116321114</v>
      </c>
      <c r="J26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1287466.1932129608</v>
      </c>
      <c r="K269" s="19">
        <f>IF(PaymentSchedule[[#This Row],[PMT NO]]&lt;&gt;"",SUM(INDEX(PaymentSchedule[INTEREST],1,1):PaymentSchedule[[#This Row],[INTEREST]]),"")</f>
        <v>1364500.3844173187</v>
      </c>
    </row>
    <row r="270" spans="2:11" x14ac:dyDescent="0.3">
      <c r="B270" s="21">
        <f>IF(LoanIsGood,IF(ROW()-ROW(PaymentSchedule[[#Headers],[PMT NO]])&gt;ScheduledNumberOfPayments,"",ROW()-ROW(PaymentSchedule[[#Headers],[PMT NO]])),"")</f>
        <v>259</v>
      </c>
      <c r="C270" s="20">
        <f>IF(PaymentSchedule[[#This Row],[PMT NO]]&lt;&gt;"",EOMONTH(LoanStartDate,ROW(PaymentSchedule[[#This Row],[PMT NO]])-ROW(PaymentSchedule[[#Headers],[PMT NO]])-2)+DAY(LoanStartDate),"")</f>
        <v>51502</v>
      </c>
      <c r="D270" s="19">
        <f>IF(PaymentSchedule[[#This Row],[PMT NO]]&lt;&gt;"",IF(ROW()-ROW(PaymentSchedule[[#Headers],[BEGINNING BALANCE]])=1,LoanAmount,INDEX(PaymentSchedule[ENDING BALANCE],ROW()-ROW(PaymentSchedule[[#Headers],[BEGINNING BALANCE]])-1)),"")</f>
        <v>1287466.1932129608</v>
      </c>
      <c r="E270" s="19">
        <f>IF(PaymentSchedule[[#This Row],[PMT NO]]&lt;&gt;"",ScheduledPayment,"")</f>
        <v>8050.5201209471252</v>
      </c>
      <c r="F27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70" s="19">
        <f>IF(PaymentSchedule[[#This Row],[PMT NO]]&lt;&gt;"",PaymentSchedule[[#This Row],[TOTAL PAYMENT]]-PaymentSchedule[[#This Row],[INTEREST]],"")</f>
        <v>4027.1882671566227</v>
      </c>
      <c r="I270" s="19">
        <f>IF(PaymentSchedule[[#This Row],[PMT NO]]&lt;&gt;"",PaymentSchedule[[#This Row],[BEGINNING BALANCE]]*(InterestRate/PaymentsPerYear),"")</f>
        <v>4023.3318537905025</v>
      </c>
      <c r="J27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1283439.0049458041</v>
      </c>
      <c r="K270" s="19">
        <f>IF(PaymentSchedule[[#This Row],[PMT NO]]&lt;&gt;"",SUM(INDEX(PaymentSchedule[INTEREST],1,1):PaymentSchedule[[#This Row],[INTEREST]]),"")</f>
        <v>1368523.7162711092</v>
      </c>
    </row>
    <row r="271" spans="2:11" x14ac:dyDescent="0.3">
      <c r="B271" s="21">
        <f>IF(LoanIsGood,IF(ROW()-ROW(PaymentSchedule[[#Headers],[PMT NO]])&gt;ScheduledNumberOfPayments,"",ROW()-ROW(PaymentSchedule[[#Headers],[PMT NO]])),"")</f>
        <v>260</v>
      </c>
      <c r="C271" s="20">
        <f>IF(PaymentSchedule[[#This Row],[PMT NO]]&lt;&gt;"",EOMONTH(LoanStartDate,ROW(PaymentSchedule[[#This Row],[PMT NO]])-ROW(PaymentSchedule[[#Headers],[PMT NO]])-2)+DAY(LoanStartDate),"")</f>
        <v>51533</v>
      </c>
      <c r="D271" s="19">
        <f>IF(PaymentSchedule[[#This Row],[PMT NO]]&lt;&gt;"",IF(ROW()-ROW(PaymentSchedule[[#Headers],[BEGINNING BALANCE]])=1,LoanAmount,INDEX(PaymentSchedule[ENDING BALANCE],ROW()-ROW(PaymentSchedule[[#Headers],[BEGINNING BALANCE]])-1)),"")</f>
        <v>1283439.0049458041</v>
      </c>
      <c r="E271" s="19">
        <f>IF(PaymentSchedule[[#This Row],[PMT NO]]&lt;&gt;"",ScheduledPayment,"")</f>
        <v>8050.5201209471252</v>
      </c>
      <c r="F27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71" s="19">
        <f>IF(PaymentSchedule[[#This Row],[PMT NO]]&lt;&gt;"",PaymentSchedule[[#This Row],[TOTAL PAYMENT]]-PaymentSchedule[[#This Row],[INTEREST]],"")</f>
        <v>4039.7732304914875</v>
      </c>
      <c r="I271" s="19">
        <f>IF(PaymentSchedule[[#This Row],[PMT NO]]&lt;&gt;"",PaymentSchedule[[#This Row],[BEGINNING BALANCE]]*(InterestRate/PaymentsPerYear),"")</f>
        <v>4010.7468904556376</v>
      </c>
      <c r="J27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1279399.2317153127</v>
      </c>
      <c r="K271" s="19">
        <f>IF(PaymentSchedule[[#This Row],[PMT NO]]&lt;&gt;"",SUM(INDEX(PaymentSchedule[INTEREST],1,1):PaymentSchedule[[#This Row],[INTEREST]]),"")</f>
        <v>1372534.4631615649</v>
      </c>
    </row>
    <row r="272" spans="2:11" x14ac:dyDescent="0.3">
      <c r="B272" s="21">
        <f>IF(LoanIsGood,IF(ROW()-ROW(PaymentSchedule[[#Headers],[PMT NO]])&gt;ScheduledNumberOfPayments,"",ROW()-ROW(PaymentSchedule[[#Headers],[PMT NO]])),"")</f>
        <v>261</v>
      </c>
      <c r="C272" s="20">
        <f>IF(PaymentSchedule[[#This Row],[PMT NO]]&lt;&gt;"",EOMONTH(LoanStartDate,ROW(PaymentSchedule[[#This Row],[PMT NO]])-ROW(PaymentSchedule[[#Headers],[PMT NO]])-2)+DAY(LoanStartDate),"")</f>
        <v>51561</v>
      </c>
      <c r="D272" s="19">
        <f>IF(PaymentSchedule[[#This Row],[PMT NO]]&lt;&gt;"",IF(ROW()-ROW(PaymentSchedule[[#Headers],[BEGINNING BALANCE]])=1,LoanAmount,INDEX(PaymentSchedule[ENDING BALANCE],ROW()-ROW(PaymentSchedule[[#Headers],[BEGINNING BALANCE]])-1)),"")</f>
        <v>1279399.2317153127</v>
      </c>
      <c r="E272" s="19">
        <f>IF(PaymentSchedule[[#This Row],[PMT NO]]&lt;&gt;"",ScheduledPayment,"")</f>
        <v>8050.5201209471252</v>
      </c>
      <c r="F27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72" s="19">
        <f>IF(PaymentSchedule[[#This Row],[PMT NO]]&lt;&gt;"",PaymentSchedule[[#This Row],[TOTAL PAYMENT]]-PaymentSchedule[[#This Row],[INTEREST]],"")</f>
        <v>4052.3975218367732</v>
      </c>
      <c r="I272" s="19">
        <f>IF(PaymentSchedule[[#This Row],[PMT NO]]&lt;&gt;"",PaymentSchedule[[#This Row],[BEGINNING BALANCE]]*(InterestRate/PaymentsPerYear),"")</f>
        <v>3998.122599110352</v>
      </c>
      <c r="J27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1275346.834193476</v>
      </c>
      <c r="K272" s="19">
        <f>IF(PaymentSchedule[[#This Row],[PMT NO]]&lt;&gt;"",SUM(INDEX(PaymentSchedule[INTEREST],1,1):PaymentSchedule[[#This Row],[INTEREST]]),"")</f>
        <v>1376532.5857606751</v>
      </c>
    </row>
    <row r="273" spans="2:11" x14ac:dyDescent="0.3">
      <c r="B273" s="21">
        <f>IF(LoanIsGood,IF(ROW()-ROW(PaymentSchedule[[#Headers],[PMT NO]])&gt;ScheduledNumberOfPayments,"",ROW()-ROW(PaymentSchedule[[#Headers],[PMT NO]])),"")</f>
        <v>262</v>
      </c>
      <c r="C273" s="20">
        <f>IF(PaymentSchedule[[#This Row],[PMT NO]]&lt;&gt;"",EOMONTH(LoanStartDate,ROW(PaymentSchedule[[#This Row],[PMT NO]])-ROW(PaymentSchedule[[#Headers],[PMT NO]])-2)+DAY(LoanStartDate),"")</f>
        <v>51592</v>
      </c>
      <c r="D273" s="19">
        <f>IF(PaymentSchedule[[#This Row],[PMT NO]]&lt;&gt;"",IF(ROW()-ROW(PaymentSchedule[[#Headers],[BEGINNING BALANCE]])=1,LoanAmount,INDEX(PaymentSchedule[ENDING BALANCE],ROW()-ROW(PaymentSchedule[[#Headers],[BEGINNING BALANCE]])-1)),"")</f>
        <v>1275346.834193476</v>
      </c>
      <c r="E273" s="19">
        <f>IF(PaymentSchedule[[#This Row],[PMT NO]]&lt;&gt;"",ScheduledPayment,"")</f>
        <v>8050.5201209471252</v>
      </c>
      <c r="F27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73" s="19">
        <f>IF(PaymentSchedule[[#This Row],[PMT NO]]&lt;&gt;"",PaymentSchedule[[#This Row],[TOTAL PAYMENT]]-PaymentSchedule[[#This Row],[INTEREST]],"")</f>
        <v>4065.0612640925128</v>
      </c>
      <c r="I273" s="19">
        <f>IF(PaymentSchedule[[#This Row],[PMT NO]]&lt;&gt;"",PaymentSchedule[[#This Row],[BEGINNING BALANCE]]*(InterestRate/PaymentsPerYear),"")</f>
        <v>3985.4588568546123</v>
      </c>
      <c r="J27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1271281.7729293834</v>
      </c>
      <c r="K273" s="19">
        <f>IF(PaymentSchedule[[#This Row],[PMT NO]]&lt;&gt;"",SUM(INDEX(PaymentSchedule[INTEREST],1,1):PaymentSchedule[[#This Row],[INTEREST]]),"")</f>
        <v>1380518.0446175297</v>
      </c>
    </row>
    <row r="274" spans="2:11" x14ac:dyDescent="0.3">
      <c r="B274" s="21">
        <f>IF(LoanIsGood,IF(ROW()-ROW(PaymentSchedule[[#Headers],[PMT NO]])&gt;ScheduledNumberOfPayments,"",ROW()-ROW(PaymentSchedule[[#Headers],[PMT NO]])),"")</f>
        <v>263</v>
      </c>
      <c r="C274" s="20">
        <f>IF(PaymentSchedule[[#This Row],[PMT NO]]&lt;&gt;"",EOMONTH(LoanStartDate,ROW(PaymentSchedule[[#This Row],[PMT NO]])-ROW(PaymentSchedule[[#Headers],[PMT NO]])-2)+DAY(LoanStartDate),"")</f>
        <v>51622</v>
      </c>
      <c r="D274" s="19">
        <f>IF(PaymentSchedule[[#This Row],[PMT NO]]&lt;&gt;"",IF(ROW()-ROW(PaymentSchedule[[#Headers],[BEGINNING BALANCE]])=1,LoanAmount,INDEX(PaymentSchedule[ENDING BALANCE],ROW()-ROW(PaymentSchedule[[#Headers],[BEGINNING BALANCE]])-1)),"")</f>
        <v>1271281.7729293834</v>
      </c>
      <c r="E274" s="19">
        <f>IF(PaymentSchedule[[#This Row],[PMT NO]]&lt;&gt;"",ScheduledPayment,"")</f>
        <v>8050.5201209471252</v>
      </c>
      <c r="F27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74" s="19">
        <f>IF(PaymentSchedule[[#This Row],[PMT NO]]&lt;&gt;"",PaymentSchedule[[#This Row],[TOTAL PAYMENT]]-PaymentSchedule[[#This Row],[INTEREST]],"")</f>
        <v>4077.7645805428024</v>
      </c>
      <c r="I274" s="19">
        <f>IF(PaymentSchedule[[#This Row],[PMT NO]]&lt;&gt;"",PaymentSchedule[[#This Row],[BEGINNING BALANCE]]*(InterestRate/PaymentsPerYear),"")</f>
        <v>3972.7555404043228</v>
      </c>
      <c r="J27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1267204.0083488408</v>
      </c>
      <c r="K274" s="19">
        <f>IF(PaymentSchedule[[#This Row],[PMT NO]]&lt;&gt;"",SUM(INDEX(PaymentSchedule[INTEREST],1,1):PaymentSchedule[[#This Row],[INTEREST]]),"")</f>
        <v>1384490.800157934</v>
      </c>
    </row>
    <row r="275" spans="2:11" x14ac:dyDescent="0.3">
      <c r="B275" s="21">
        <f>IF(LoanIsGood,IF(ROW()-ROW(PaymentSchedule[[#Headers],[PMT NO]])&gt;ScheduledNumberOfPayments,"",ROW()-ROW(PaymentSchedule[[#Headers],[PMT NO]])),"")</f>
        <v>264</v>
      </c>
      <c r="C275" s="20">
        <f>IF(PaymentSchedule[[#This Row],[PMT NO]]&lt;&gt;"",EOMONTH(LoanStartDate,ROW(PaymentSchedule[[#This Row],[PMT NO]])-ROW(PaymentSchedule[[#Headers],[PMT NO]])-2)+DAY(LoanStartDate),"")</f>
        <v>51653</v>
      </c>
      <c r="D275" s="19">
        <f>IF(PaymentSchedule[[#This Row],[PMT NO]]&lt;&gt;"",IF(ROW()-ROW(PaymentSchedule[[#Headers],[BEGINNING BALANCE]])=1,LoanAmount,INDEX(PaymentSchedule[ENDING BALANCE],ROW()-ROW(PaymentSchedule[[#Headers],[BEGINNING BALANCE]])-1)),"")</f>
        <v>1267204.0083488408</v>
      </c>
      <c r="E275" s="19">
        <f>IF(PaymentSchedule[[#This Row],[PMT NO]]&lt;&gt;"",ScheduledPayment,"")</f>
        <v>8050.5201209471252</v>
      </c>
      <c r="F27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75" s="19">
        <f>IF(PaymentSchedule[[#This Row],[PMT NO]]&lt;&gt;"",PaymentSchedule[[#This Row],[TOTAL PAYMENT]]-PaymentSchedule[[#This Row],[INTEREST]],"")</f>
        <v>4090.5075948569984</v>
      </c>
      <c r="I275" s="19">
        <f>IF(PaymentSchedule[[#This Row],[PMT NO]]&lt;&gt;"",PaymentSchedule[[#This Row],[BEGINNING BALANCE]]*(InterestRate/PaymentsPerYear),"")</f>
        <v>3960.0125260901268</v>
      </c>
      <c r="J27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1263113.5007539839</v>
      </c>
      <c r="K275" s="19">
        <f>IF(PaymentSchedule[[#This Row],[PMT NO]]&lt;&gt;"",SUM(INDEX(PaymentSchedule[INTEREST],1,1):PaymentSchedule[[#This Row],[INTEREST]]),"")</f>
        <v>1388450.812684024</v>
      </c>
    </row>
    <row r="276" spans="2:11" x14ac:dyDescent="0.3">
      <c r="B276" s="21">
        <f>IF(LoanIsGood,IF(ROW()-ROW(PaymentSchedule[[#Headers],[PMT NO]])&gt;ScheduledNumberOfPayments,"",ROW()-ROW(PaymentSchedule[[#Headers],[PMT NO]])),"")</f>
        <v>265</v>
      </c>
      <c r="C276" s="20">
        <f>IF(PaymentSchedule[[#This Row],[PMT NO]]&lt;&gt;"",EOMONTH(LoanStartDate,ROW(PaymentSchedule[[#This Row],[PMT NO]])-ROW(PaymentSchedule[[#Headers],[PMT NO]])-2)+DAY(LoanStartDate),"")</f>
        <v>51683</v>
      </c>
      <c r="D276" s="19">
        <f>IF(PaymentSchedule[[#This Row],[PMT NO]]&lt;&gt;"",IF(ROW()-ROW(PaymentSchedule[[#Headers],[BEGINNING BALANCE]])=1,LoanAmount,INDEX(PaymentSchedule[ENDING BALANCE],ROW()-ROW(PaymentSchedule[[#Headers],[BEGINNING BALANCE]])-1)),"")</f>
        <v>1263113.5007539839</v>
      </c>
      <c r="E276" s="19">
        <f>IF(PaymentSchedule[[#This Row],[PMT NO]]&lt;&gt;"",ScheduledPayment,"")</f>
        <v>8050.5201209471252</v>
      </c>
      <c r="F27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76" s="19">
        <f>IF(PaymentSchedule[[#This Row],[PMT NO]]&lt;&gt;"",PaymentSchedule[[#This Row],[TOTAL PAYMENT]]-PaymentSchedule[[#This Row],[INTEREST]],"")</f>
        <v>4103.2904310909262</v>
      </c>
      <c r="I276" s="19">
        <f>IF(PaymentSchedule[[#This Row],[PMT NO]]&lt;&gt;"",PaymentSchedule[[#This Row],[BEGINNING BALANCE]]*(InterestRate/PaymentsPerYear),"")</f>
        <v>3947.229689856199</v>
      </c>
      <c r="J27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1259010.210322893</v>
      </c>
      <c r="K276" s="19">
        <f>IF(PaymentSchedule[[#This Row],[PMT NO]]&lt;&gt;"",SUM(INDEX(PaymentSchedule[INTEREST],1,1):PaymentSchedule[[#This Row],[INTEREST]]),"")</f>
        <v>1392398.0423738803</v>
      </c>
    </row>
    <row r="277" spans="2:11" x14ac:dyDescent="0.3">
      <c r="B277" s="21">
        <f>IF(LoanIsGood,IF(ROW()-ROW(PaymentSchedule[[#Headers],[PMT NO]])&gt;ScheduledNumberOfPayments,"",ROW()-ROW(PaymentSchedule[[#Headers],[PMT NO]])),"")</f>
        <v>266</v>
      </c>
      <c r="C277" s="20">
        <f>IF(PaymentSchedule[[#This Row],[PMT NO]]&lt;&gt;"",EOMONTH(LoanStartDate,ROW(PaymentSchedule[[#This Row],[PMT NO]])-ROW(PaymentSchedule[[#Headers],[PMT NO]])-2)+DAY(LoanStartDate),"")</f>
        <v>51714</v>
      </c>
      <c r="D277" s="19">
        <f>IF(PaymentSchedule[[#This Row],[PMT NO]]&lt;&gt;"",IF(ROW()-ROW(PaymentSchedule[[#Headers],[BEGINNING BALANCE]])=1,LoanAmount,INDEX(PaymentSchedule[ENDING BALANCE],ROW()-ROW(PaymentSchedule[[#Headers],[BEGINNING BALANCE]])-1)),"")</f>
        <v>1259010.210322893</v>
      </c>
      <c r="E277" s="19">
        <f>IF(PaymentSchedule[[#This Row],[PMT NO]]&lt;&gt;"",ScheduledPayment,"")</f>
        <v>8050.5201209471252</v>
      </c>
      <c r="F27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77" s="19">
        <f>IF(PaymentSchedule[[#This Row],[PMT NO]]&lt;&gt;"",PaymentSchedule[[#This Row],[TOTAL PAYMENT]]-PaymentSchedule[[#This Row],[INTEREST]],"")</f>
        <v>4116.1132136880851</v>
      </c>
      <c r="I277" s="19">
        <f>IF(PaymentSchedule[[#This Row],[PMT NO]]&lt;&gt;"",PaymentSchedule[[#This Row],[BEGINNING BALANCE]]*(InterestRate/PaymentsPerYear),"")</f>
        <v>3934.4069072590401</v>
      </c>
      <c r="J27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1254894.0971092049</v>
      </c>
      <c r="K277" s="19">
        <f>IF(PaymentSchedule[[#This Row],[PMT NO]]&lt;&gt;"",SUM(INDEX(PaymentSchedule[INTEREST],1,1):PaymentSchedule[[#This Row],[INTEREST]]),"")</f>
        <v>1396332.4492811393</v>
      </c>
    </row>
    <row r="278" spans="2:11" x14ac:dyDescent="0.3">
      <c r="B278" s="21">
        <f>IF(LoanIsGood,IF(ROW()-ROW(PaymentSchedule[[#Headers],[PMT NO]])&gt;ScheduledNumberOfPayments,"",ROW()-ROW(PaymentSchedule[[#Headers],[PMT NO]])),"")</f>
        <v>267</v>
      </c>
      <c r="C278" s="20">
        <f>IF(PaymentSchedule[[#This Row],[PMT NO]]&lt;&gt;"",EOMONTH(LoanStartDate,ROW(PaymentSchedule[[#This Row],[PMT NO]])-ROW(PaymentSchedule[[#Headers],[PMT NO]])-2)+DAY(LoanStartDate),"")</f>
        <v>51745</v>
      </c>
      <c r="D278" s="19">
        <f>IF(PaymentSchedule[[#This Row],[PMT NO]]&lt;&gt;"",IF(ROW()-ROW(PaymentSchedule[[#Headers],[BEGINNING BALANCE]])=1,LoanAmount,INDEX(PaymentSchedule[ENDING BALANCE],ROW()-ROW(PaymentSchedule[[#Headers],[BEGINNING BALANCE]])-1)),"")</f>
        <v>1254894.0971092049</v>
      </c>
      <c r="E278" s="19">
        <f>IF(PaymentSchedule[[#This Row],[PMT NO]]&lt;&gt;"",ScheduledPayment,"")</f>
        <v>8050.5201209471252</v>
      </c>
      <c r="F27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78" s="19">
        <f>IF(PaymentSchedule[[#This Row],[PMT NO]]&lt;&gt;"",PaymentSchedule[[#This Row],[TOTAL PAYMENT]]-PaymentSchedule[[#This Row],[INTEREST]],"")</f>
        <v>4128.9760674808604</v>
      </c>
      <c r="I278" s="19">
        <f>IF(PaymentSchedule[[#This Row],[PMT NO]]&lt;&gt;"",PaymentSchedule[[#This Row],[BEGINNING BALANCE]]*(InterestRate/PaymentsPerYear),"")</f>
        <v>3921.5440534662648</v>
      </c>
      <c r="J27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1250765.121041724</v>
      </c>
      <c r="K278" s="19">
        <f>IF(PaymentSchedule[[#This Row],[PMT NO]]&lt;&gt;"",SUM(INDEX(PaymentSchedule[INTEREST],1,1):PaymentSchedule[[#This Row],[INTEREST]]),"")</f>
        <v>1400253.9933346056</v>
      </c>
    </row>
    <row r="279" spans="2:11" x14ac:dyDescent="0.3">
      <c r="B279" s="21">
        <f>IF(LoanIsGood,IF(ROW()-ROW(PaymentSchedule[[#Headers],[PMT NO]])&gt;ScheduledNumberOfPayments,"",ROW()-ROW(PaymentSchedule[[#Headers],[PMT NO]])),"")</f>
        <v>268</v>
      </c>
      <c r="C279" s="20">
        <f>IF(PaymentSchedule[[#This Row],[PMT NO]]&lt;&gt;"",EOMONTH(LoanStartDate,ROW(PaymentSchedule[[#This Row],[PMT NO]])-ROW(PaymentSchedule[[#Headers],[PMT NO]])-2)+DAY(LoanStartDate),"")</f>
        <v>51775</v>
      </c>
      <c r="D279" s="19">
        <f>IF(PaymentSchedule[[#This Row],[PMT NO]]&lt;&gt;"",IF(ROW()-ROW(PaymentSchedule[[#Headers],[BEGINNING BALANCE]])=1,LoanAmount,INDEX(PaymentSchedule[ENDING BALANCE],ROW()-ROW(PaymentSchedule[[#Headers],[BEGINNING BALANCE]])-1)),"")</f>
        <v>1250765.121041724</v>
      </c>
      <c r="E279" s="19">
        <f>IF(PaymentSchedule[[#This Row],[PMT NO]]&lt;&gt;"",ScheduledPayment,"")</f>
        <v>8050.5201209471252</v>
      </c>
      <c r="F27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79" s="19">
        <f>IF(PaymentSchedule[[#This Row],[PMT NO]]&lt;&gt;"",PaymentSchedule[[#This Row],[TOTAL PAYMENT]]-PaymentSchedule[[#This Row],[INTEREST]],"")</f>
        <v>4141.8791176917384</v>
      </c>
      <c r="I279" s="19">
        <f>IF(PaymentSchedule[[#This Row],[PMT NO]]&lt;&gt;"",PaymentSchedule[[#This Row],[BEGINNING BALANCE]]*(InterestRate/PaymentsPerYear),"")</f>
        <v>3908.6410032553872</v>
      </c>
      <c r="J27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1246623.2419240323</v>
      </c>
      <c r="K279" s="19">
        <f>IF(PaymentSchedule[[#This Row],[PMT NO]]&lt;&gt;"",SUM(INDEX(PaymentSchedule[INTEREST],1,1):PaymentSchedule[[#This Row],[INTEREST]]),"")</f>
        <v>1404162.6343378611</v>
      </c>
    </row>
    <row r="280" spans="2:11" x14ac:dyDescent="0.3">
      <c r="B280" s="21">
        <f>IF(LoanIsGood,IF(ROW()-ROW(PaymentSchedule[[#Headers],[PMT NO]])&gt;ScheduledNumberOfPayments,"",ROW()-ROW(PaymentSchedule[[#Headers],[PMT NO]])),"")</f>
        <v>269</v>
      </c>
      <c r="C280" s="20">
        <f>IF(PaymentSchedule[[#This Row],[PMT NO]]&lt;&gt;"",EOMONTH(LoanStartDate,ROW(PaymentSchedule[[#This Row],[PMT NO]])-ROW(PaymentSchedule[[#Headers],[PMT NO]])-2)+DAY(LoanStartDate),"")</f>
        <v>51806</v>
      </c>
      <c r="D280" s="19">
        <f>IF(PaymentSchedule[[#This Row],[PMT NO]]&lt;&gt;"",IF(ROW()-ROW(PaymentSchedule[[#Headers],[BEGINNING BALANCE]])=1,LoanAmount,INDEX(PaymentSchedule[ENDING BALANCE],ROW()-ROW(PaymentSchedule[[#Headers],[BEGINNING BALANCE]])-1)),"")</f>
        <v>1246623.2419240323</v>
      </c>
      <c r="E280" s="19">
        <f>IF(PaymentSchedule[[#This Row],[PMT NO]]&lt;&gt;"",ScheduledPayment,"")</f>
        <v>8050.5201209471252</v>
      </c>
      <c r="F28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80" s="19">
        <f>IF(PaymentSchedule[[#This Row],[PMT NO]]&lt;&gt;"",PaymentSchedule[[#This Row],[TOTAL PAYMENT]]-PaymentSchedule[[#This Row],[INTEREST]],"")</f>
        <v>4154.8224899345241</v>
      </c>
      <c r="I280" s="19">
        <f>IF(PaymentSchedule[[#This Row],[PMT NO]]&lt;&gt;"",PaymentSchedule[[#This Row],[BEGINNING BALANCE]]*(InterestRate/PaymentsPerYear),"")</f>
        <v>3895.6976310126006</v>
      </c>
      <c r="J28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1242468.4194340978</v>
      </c>
      <c r="K280" s="19">
        <f>IF(PaymentSchedule[[#This Row],[PMT NO]]&lt;&gt;"",SUM(INDEX(PaymentSchedule[INTEREST],1,1):PaymentSchedule[[#This Row],[INTEREST]]),"")</f>
        <v>1408058.3319688737</v>
      </c>
    </row>
    <row r="281" spans="2:11" x14ac:dyDescent="0.3">
      <c r="B281" s="21">
        <f>IF(LoanIsGood,IF(ROW()-ROW(PaymentSchedule[[#Headers],[PMT NO]])&gt;ScheduledNumberOfPayments,"",ROW()-ROW(PaymentSchedule[[#Headers],[PMT NO]])),"")</f>
        <v>270</v>
      </c>
      <c r="C281" s="20">
        <f>IF(PaymentSchedule[[#This Row],[PMT NO]]&lt;&gt;"",EOMONTH(LoanStartDate,ROW(PaymentSchedule[[#This Row],[PMT NO]])-ROW(PaymentSchedule[[#Headers],[PMT NO]])-2)+DAY(LoanStartDate),"")</f>
        <v>51836</v>
      </c>
      <c r="D281" s="19">
        <f>IF(PaymentSchedule[[#This Row],[PMT NO]]&lt;&gt;"",IF(ROW()-ROW(PaymentSchedule[[#Headers],[BEGINNING BALANCE]])=1,LoanAmount,INDEX(PaymentSchedule[ENDING BALANCE],ROW()-ROW(PaymentSchedule[[#Headers],[BEGINNING BALANCE]])-1)),"")</f>
        <v>1242468.4194340978</v>
      </c>
      <c r="E281" s="19">
        <f>IF(PaymentSchedule[[#This Row],[PMT NO]]&lt;&gt;"",ScheduledPayment,"")</f>
        <v>8050.5201209471252</v>
      </c>
      <c r="F28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81" s="19">
        <f>IF(PaymentSchedule[[#This Row],[PMT NO]]&lt;&gt;"",PaymentSchedule[[#This Row],[TOTAL PAYMENT]]-PaymentSchedule[[#This Row],[INTEREST]],"")</f>
        <v>4167.8063102155702</v>
      </c>
      <c r="I281" s="19">
        <f>IF(PaymentSchedule[[#This Row],[PMT NO]]&lt;&gt;"",PaymentSchedule[[#This Row],[BEGINNING BALANCE]]*(InterestRate/PaymentsPerYear),"")</f>
        <v>3882.7138107315554</v>
      </c>
      <c r="J28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1238300.6131238823</v>
      </c>
      <c r="K281" s="19">
        <f>IF(PaymentSchedule[[#This Row],[PMT NO]]&lt;&gt;"",SUM(INDEX(PaymentSchedule[INTEREST],1,1):PaymentSchedule[[#This Row],[INTEREST]]),"")</f>
        <v>1411941.0457796054</v>
      </c>
    </row>
    <row r="282" spans="2:11" x14ac:dyDescent="0.3">
      <c r="B282" s="21">
        <f>IF(LoanIsGood,IF(ROW()-ROW(PaymentSchedule[[#Headers],[PMT NO]])&gt;ScheduledNumberOfPayments,"",ROW()-ROW(PaymentSchedule[[#Headers],[PMT NO]])),"")</f>
        <v>271</v>
      </c>
      <c r="C282" s="20">
        <f>IF(PaymentSchedule[[#This Row],[PMT NO]]&lt;&gt;"",EOMONTH(LoanStartDate,ROW(PaymentSchedule[[#This Row],[PMT NO]])-ROW(PaymentSchedule[[#Headers],[PMT NO]])-2)+DAY(LoanStartDate),"")</f>
        <v>51867</v>
      </c>
      <c r="D282" s="19">
        <f>IF(PaymentSchedule[[#This Row],[PMT NO]]&lt;&gt;"",IF(ROW()-ROW(PaymentSchedule[[#Headers],[BEGINNING BALANCE]])=1,LoanAmount,INDEX(PaymentSchedule[ENDING BALANCE],ROW()-ROW(PaymentSchedule[[#Headers],[BEGINNING BALANCE]])-1)),"")</f>
        <v>1238300.6131238823</v>
      </c>
      <c r="E282" s="19">
        <f>IF(PaymentSchedule[[#This Row],[PMT NO]]&lt;&gt;"",ScheduledPayment,"")</f>
        <v>8050.5201209471252</v>
      </c>
      <c r="F28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82" s="19">
        <f>IF(PaymentSchedule[[#This Row],[PMT NO]]&lt;&gt;"",PaymentSchedule[[#This Row],[TOTAL PAYMENT]]-PaymentSchedule[[#This Row],[INTEREST]],"")</f>
        <v>4180.8307049349933</v>
      </c>
      <c r="I282" s="19">
        <f>IF(PaymentSchedule[[#This Row],[PMT NO]]&lt;&gt;"",PaymentSchedule[[#This Row],[BEGINNING BALANCE]]*(InterestRate/PaymentsPerYear),"")</f>
        <v>3869.6894160121319</v>
      </c>
      <c r="J28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1234119.7824189474</v>
      </c>
      <c r="K282" s="19">
        <f>IF(PaymentSchedule[[#This Row],[PMT NO]]&lt;&gt;"",SUM(INDEX(PaymentSchedule[INTEREST],1,1):PaymentSchedule[[#This Row],[INTEREST]]),"")</f>
        <v>1415810.7351956174</v>
      </c>
    </row>
    <row r="283" spans="2:11" x14ac:dyDescent="0.3">
      <c r="B283" s="21">
        <f>IF(LoanIsGood,IF(ROW()-ROW(PaymentSchedule[[#Headers],[PMT NO]])&gt;ScheduledNumberOfPayments,"",ROW()-ROW(PaymentSchedule[[#Headers],[PMT NO]])),"")</f>
        <v>272</v>
      </c>
      <c r="C283" s="20">
        <f>IF(PaymentSchedule[[#This Row],[PMT NO]]&lt;&gt;"",EOMONTH(LoanStartDate,ROW(PaymentSchedule[[#This Row],[PMT NO]])-ROW(PaymentSchedule[[#Headers],[PMT NO]])-2)+DAY(LoanStartDate),"")</f>
        <v>51898</v>
      </c>
      <c r="D283" s="19">
        <f>IF(PaymentSchedule[[#This Row],[PMT NO]]&lt;&gt;"",IF(ROW()-ROW(PaymentSchedule[[#Headers],[BEGINNING BALANCE]])=1,LoanAmount,INDEX(PaymentSchedule[ENDING BALANCE],ROW()-ROW(PaymentSchedule[[#Headers],[BEGINNING BALANCE]])-1)),"")</f>
        <v>1234119.7824189474</v>
      </c>
      <c r="E283" s="19">
        <f>IF(PaymentSchedule[[#This Row],[PMT NO]]&lt;&gt;"",ScheduledPayment,"")</f>
        <v>8050.5201209471252</v>
      </c>
      <c r="F28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83" s="19">
        <f>IF(PaymentSchedule[[#This Row],[PMT NO]]&lt;&gt;"",PaymentSchedule[[#This Row],[TOTAL PAYMENT]]-PaymentSchedule[[#This Row],[INTEREST]],"")</f>
        <v>4193.8958008879144</v>
      </c>
      <c r="I283" s="19">
        <f>IF(PaymentSchedule[[#This Row],[PMT NO]]&lt;&gt;"",PaymentSchedule[[#This Row],[BEGINNING BALANCE]]*(InterestRate/PaymentsPerYear),"")</f>
        <v>3856.6243200592103</v>
      </c>
      <c r="J28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1229925.8866180596</v>
      </c>
      <c r="K283" s="19">
        <f>IF(PaymentSchedule[[#This Row],[PMT NO]]&lt;&gt;"",SUM(INDEX(PaymentSchedule[INTEREST],1,1):PaymentSchedule[[#This Row],[INTEREST]]),"")</f>
        <v>1419667.3595156767</v>
      </c>
    </row>
    <row r="284" spans="2:11" x14ac:dyDescent="0.3">
      <c r="B284" s="21">
        <f>IF(LoanIsGood,IF(ROW()-ROW(PaymentSchedule[[#Headers],[PMT NO]])&gt;ScheduledNumberOfPayments,"",ROW()-ROW(PaymentSchedule[[#Headers],[PMT NO]])),"")</f>
        <v>273</v>
      </c>
      <c r="C284" s="20">
        <f>IF(PaymentSchedule[[#This Row],[PMT NO]]&lt;&gt;"",EOMONTH(LoanStartDate,ROW(PaymentSchedule[[#This Row],[PMT NO]])-ROW(PaymentSchedule[[#Headers],[PMT NO]])-2)+DAY(LoanStartDate),"")</f>
        <v>51926</v>
      </c>
      <c r="D284" s="19">
        <f>IF(PaymentSchedule[[#This Row],[PMT NO]]&lt;&gt;"",IF(ROW()-ROW(PaymentSchedule[[#Headers],[BEGINNING BALANCE]])=1,LoanAmount,INDEX(PaymentSchedule[ENDING BALANCE],ROW()-ROW(PaymentSchedule[[#Headers],[BEGINNING BALANCE]])-1)),"")</f>
        <v>1229925.8866180596</v>
      </c>
      <c r="E284" s="19">
        <f>IF(PaymentSchedule[[#This Row],[PMT NO]]&lt;&gt;"",ScheduledPayment,"")</f>
        <v>8050.5201209471252</v>
      </c>
      <c r="F28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84" s="19">
        <f>IF(PaymentSchedule[[#This Row],[PMT NO]]&lt;&gt;"",PaymentSchedule[[#This Row],[TOTAL PAYMENT]]-PaymentSchedule[[#This Row],[INTEREST]],"")</f>
        <v>4207.0017252656889</v>
      </c>
      <c r="I284" s="19">
        <f>IF(PaymentSchedule[[#This Row],[PMT NO]]&lt;&gt;"",PaymentSchedule[[#This Row],[BEGINNING BALANCE]]*(InterestRate/PaymentsPerYear),"")</f>
        <v>3843.5183956814358</v>
      </c>
      <c r="J28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1225718.8848927938</v>
      </c>
      <c r="K284" s="19">
        <f>IF(PaymentSchedule[[#This Row],[PMT NO]]&lt;&gt;"",SUM(INDEX(PaymentSchedule[INTEREST],1,1):PaymentSchedule[[#This Row],[INTEREST]]),"")</f>
        <v>1423510.8779113581</v>
      </c>
    </row>
    <row r="285" spans="2:11" x14ac:dyDescent="0.3">
      <c r="B285" s="21">
        <f>IF(LoanIsGood,IF(ROW()-ROW(PaymentSchedule[[#Headers],[PMT NO]])&gt;ScheduledNumberOfPayments,"",ROW()-ROW(PaymentSchedule[[#Headers],[PMT NO]])),"")</f>
        <v>274</v>
      </c>
      <c r="C285" s="20">
        <f>IF(PaymentSchedule[[#This Row],[PMT NO]]&lt;&gt;"",EOMONTH(LoanStartDate,ROW(PaymentSchedule[[#This Row],[PMT NO]])-ROW(PaymentSchedule[[#Headers],[PMT NO]])-2)+DAY(LoanStartDate),"")</f>
        <v>51957</v>
      </c>
      <c r="D285" s="19">
        <f>IF(PaymentSchedule[[#This Row],[PMT NO]]&lt;&gt;"",IF(ROW()-ROW(PaymentSchedule[[#Headers],[BEGINNING BALANCE]])=1,LoanAmount,INDEX(PaymentSchedule[ENDING BALANCE],ROW()-ROW(PaymentSchedule[[#Headers],[BEGINNING BALANCE]])-1)),"")</f>
        <v>1225718.8848927938</v>
      </c>
      <c r="E285" s="19">
        <f>IF(PaymentSchedule[[#This Row],[PMT NO]]&lt;&gt;"",ScheduledPayment,"")</f>
        <v>8050.5201209471252</v>
      </c>
      <c r="F28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85" s="19">
        <f>IF(PaymentSchedule[[#This Row],[PMT NO]]&lt;&gt;"",PaymentSchedule[[#This Row],[TOTAL PAYMENT]]-PaymentSchedule[[#This Row],[INTEREST]],"")</f>
        <v>4220.1486056571448</v>
      </c>
      <c r="I285" s="19">
        <f>IF(PaymentSchedule[[#This Row],[PMT NO]]&lt;&gt;"",PaymentSchedule[[#This Row],[BEGINNING BALANCE]]*(InterestRate/PaymentsPerYear),"")</f>
        <v>3830.3715152899804</v>
      </c>
      <c r="J28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1221498.7362871368</v>
      </c>
      <c r="K285" s="19">
        <f>IF(PaymentSchedule[[#This Row],[PMT NO]]&lt;&gt;"",SUM(INDEX(PaymentSchedule[INTEREST],1,1):PaymentSchedule[[#This Row],[INTEREST]]),"")</f>
        <v>1427341.249426648</v>
      </c>
    </row>
    <row r="286" spans="2:11" x14ac:dyDescent="0.3">
      <c r="B286" s="21">
        <f>IF(LoanIsGood,IF(ROW()-ROW(PaymentSchedule[[#Headers],[PMT NO]])&gt;ScheduledNumberOfPayments,"",ROW()-ROW(PaymentSchedule[[#Headers],[PMT NO]])),"")</f>
        <v>275</v>
      </c>
      <c r="C286" s="20">
        <f>IF(PaymentSchedule[[#This Row],[PMT NO]]&lt;&gt;"",EOMONTH(LoanStartDate,ROW(PaymentSchedule[[#This Row],[PMT NO]])-ROW(PaymentSchedule[[#Headers],[PMT NO]])-2)+DAY(LoanStartDate),"")</f>
        <v>51987</v>
      </c>
      <c r="D286" s="19">
        <f>IF(PaymentSchedule[[#This Row],[PMT NO]]&lt;&gt;"",IF(ROW()-ROW(PaymentSchedule[[#Headers],[BEGINNING BALANCE]])=1,LoanAmount,INDEX(PaymentSchedule[ENDING BALANCE],ROW()-ROW(PaymentSchedule[[#Headers],[BEGINNING BALANCE]])-1)),"")</f>
        <v>1221498.7362871368</v>
      </c>
      <c r="E286" s="19">
        <f>IF(PaymentSchedule[[#This Row],[PMT NO]]&lt;&gt;"",ScheduledPayment,"")</f>
        <v>8050.5201209471252</v>
      </c>
      <c r="F28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86" s="19">
        <f>IF(PaymentSchedule[[#This Row],[PMT NO]]&lt;&gt;"",PaymentSchedule[[#This Row],[TOTAL PAYMENT]]-PaymentSchedule[[#This Row],[INTEREST]],"")</f>
        <v>4233.3365700498234</v>
      </c>
      <c r="I286" s="19">
        <f>IF(PaymentSchedule[[#This Row],[PMT NO]]&lt;&gt;"",PaymentSchedule[[#This Row],[BEGINNING BALANCE]]*(InterestRate/PaymentsPerYear),"")</f>
        <v>3817.1835508973022</v>
      </c>
      <c r="J28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1217265.3997170869</v>
      </c>
      <c r="K286" s="19">
        <f>IF(PaymentSchedule[[#This Row],[PMT NO]]&lt;&gt;"",SUM(INDEX(PaymentSchedule[INTEREST],1,1):PaymentSchedule[[#This Row],[INTEREST]]),"")</f>
        <v>1431158.4329775453</v>
      </c>
    </row>
    <row r="287" spans="2:11" x14ac:dyDescent="0.3">
      <c r="B287" s="21">
        <f>IF(LoanIsGood,IF(ROW()-ROW(PaymentSchedule[[#Headers],[PMT NO]])&gt;ScheduledNumberOfPayments,"",ROW()-ROW(PaymentSchedule[[#Headers],[PMT NO]])),"")</f>
        <v>276</v>
      </c>
      <c r="C287" s="20">
        <f>IF(PaymentSchedule[[#This Row],[PMT NO]]&lt;&gt;"",EOMONTH(LoanStartDate,ROW(PaymentSchedule[[#This Row],[PMT NO]])-ROW(PaymentSchedule[[#Headers],[PMT NO]])-2)+DAY(LoanStartDate),"")</f>
        <v>52018</v>
      </c>
      <c r="D287" s="19">
        <f>IF(PaymentSchedule[[#This Row],[PMT NO]]&lt;&gt;"",IF(ROW()-ROW(PaymentSchedule[[#Headers],[BEGINNING BALANCE]])=1,LoanAmount,INDEX(PaymentSchedule[ENDING BALANCE],ROW()-ROW(PaymentSchedule[[#Headers],[BEGINNING BALANCE]])-1)),"")</f>
        <v>1217265.3997170869</v>
      </c>
      <c r="E287" s="19">
        <f>IF(PaymentSchedule[[#This Row],[PMT NO]]&lt;&gt;"",ScheduledPayment,"")</f>
        <v>8050.5201209471252</v>
      </c>
      <c r="F28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87" s="19">
        <f>IF(PaymentSchedule[[#This Row],[PMT NO]]&lt;&gt;"",PaymentSchedule[[#This Row],[TOTAL PAYMENT]]-PaymentSchedule[[#This Row],[INTEREST]],"")</f>
        <v>4246.5657468312293</v>
      </c>
      <c r="I287" s="19">
        <f>IF(PaymentSchedule[[#This Row],[PMT NO]]&lt;&gt;"",PaymentSchedule[[#This Row],[BEGINNING BALANCE]]*(InterestRate/PaymentsPerYear),"")</f>
        <v>3803.9543741158964</v>
      </c>
      <c r="J28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1213018.8339702557</v>
      </c>
      <c r="K287" s="19">
        <f>IF(PaymentSchedule[[#This Row],[PMT NO]]&lt;&gt;"",SUM(INDEX(PaymentSchedule[INTEREST],1,1):PaymentSchedule[[#This Row],[INTEREST]]),"")</f>
        <v>1434962.3873516612</v>
      </c>
    </row>
    <row r="288" spans="2:11" x14ac:dyDescent="0.3">
      <c r="B288" s="21">
        <f>IF(LoanIsGood,IF(ROW()-ROW(PaymentSchedule[[#Headers],[PMT NO]])&gt;ScheduledNumberOfPayments,"",ROW()-ROW(PaymentSchedule[[#Headers],[PMT NO]])),"")</f>
        <v>277</v>
      </c>
      <c r="C288" s="20">
        <f>IF(PaymentSchedule[[#This Row],[PMT NO]]&lt;&gt;"",EOMONTH(LoanStartDate,ROW(PaymentSchedule[[#This Row],[PMT NO]])-ROW(PaymentSchedule[[#Headers],[PMT NO]])-2)+DAY(LoanStartDate),"")</f>
        <v>52048</v>
      </c>
      <c r="D288" s="19">
        <f>IF(PaymentSchedule[[#This Row],[PMT NO]]&lt;&gt;"",IF(ROW()-ROW(PaymentSchedule[[#Headers],[BEGINNING BALANCE]])=1,LoanAmount,INDEX(PaymentSchedule[ENDING BALANCE],ROW()-ROW(PaymentSchedule[[#Headers],[BEGINNING BALANCE]])-1)),"")</f>
        <v>1213018.8339702557</v>
      </c>
      <c r="E288" s="19">
        <f>IF(PaymentSchedule[[#This Row],[PMT NO]]&lt;&gt;"",ScheduledPayment,"")</f>
        <v>8050.5201209471252</v>
      </c>
      <c r="F28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88" s="19">
        <f>IF(PaymentSchedule[[#This Row],[PMT NO]]&lt;&gt;"",PaymentSchedule[[#This Row],[TOTAL PAYMENT]]-PaymentSchedule[[#This Row],[INTEREST]],"")</f>
        <v>4259.8362647900758</v>
      </c>
      <c r="I288" s="19">
        <f>IF(PaymentSchedule[[#This Row],[PMT NO]]&lt;&gt;"",PaymentSchedule[[#This Row],[BEGINNING BALANCE]]*(InterestRate/PaymentsPerYear),"")</f>
        <v>3790.6838561570489</v>
      </c>
      <c r="J28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1208758.9977054656</v>
      </c>
      <c r="K288" s="19">
        <f>IF(PaymentSchedule[[#This Row],[PMT NO]]&lt;&gt;"",SUM(INDEX(PaymentSchedule[INTEREST],1,1):PaymentSchedule[[#This Row],[INTEREST]]),"")</f>
        <v>1438753.0712078183</v>
      </c>
    </row>
    <row r="289" spans="2:11" x14ac:dyDescent="0.3">
      <c r="B289" s="21">
        <f>IF(LoanIsGood,IF(ROW()-ROW(PaymentSchedule[[#Headers],[PMT NO]])&gt;ScheduledNumberOfPayments,"",ROW()-ROW(PaymentSchedule[[#Headers],[PMT NO]])),"")</f>
        <v>278</v>
      </c>
      <c r="C289" s="20">
        <f>IF(PaymentSchedule[[#This Row],[PMT NO]]&lt;&gt;"",EOMONTH(LoanStartDate,ROW(PaymentSchedule[[#This Row],[PMT NO]])-ROW(PaymentSchedule[[#Headers],[PMT NO]])-2)+DAY(LoanStartDate),"")</f>
        <v>52079</v>
      </c>
      <c r="D289" s="19">
        <f>IF(PaymentSchedule[[#This Row],[PMT NO]]&lt;&gt;"",IF(ROW()-ROW(PaymentSchedule[[#Headers],[BEGINNING BALANCE]])=1,LoanAmount,INDEX(PaymentSchedule[ENDING BALANCE],ROW()-ROW(PaymentSchedule[[#Headers],[BEGINNING BALANCE]])-1)),"")</f>
        <v>1208758.9977054656</v>
      </c>
      <c r="E289" s="19">
        <f>IF(PaymentSchedule[[#This Row],[PMT NO]]&lt;&gt;"",ScheduledPayment,"")</f>
        <v>8050.5201209471252</v>
      </c>
      <c r="F28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89" s="19">
        <f>IF(PaymentSchedule[[#This Row],[PMT NO]]&lt;&gt;"",PaymentSchedule[[#This Row],[TOTAL PAYMENT]]-PaymentSchedule[[#This Row],[INTEREST]],"")</f>
        <v>4273.1482531175452</v>
      </c>
      <c r="I289" s="19">
        <f>IF(PaymentSchedule[[#This Row],[PMT NO]]&lt;&gt;"",PaymentSchedule[[#This Row],[BEGINNING BALANCE]]*(InterestRate/PaymentsPerYear),"")</f>
        <v>3777.37186782958</v>
      </c>
      <c r="J28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1204485.8494523482</v>
      </c>
      <c r="K289" s="19">
        <f>IF(PaymentSchedule[[#This Row],[PMT NO]]&lt;&gt;"",SUM(INDEX(PaymentSchedule[INTEREST],1,1):PaymentSchedule[[#This Row],[INTEREST]]),"")</f>
        <v>1442530.4430756478</v>
      </c>
    </row>
    <row r="290" spans="2:11" x14ac:dyDescent="0.3">
      <c r="B290" s="21">
        <f>IF(LoanIsGood,IF(ROW()-ROW(PaymentSchedule[[#Headers],[PMT NO]])&gt;ScheduledNumberOfPayments,"",ROW()-ROW(PaymentSchedule[[#Headers],[PMT NO]])),"")</f>
        <v>279</v>
      </c>
      <c r="C290" s="20">
        <f>IF(PaymentSchedule[[#This Row],[PMT NO]]&lt;&gt;"",EOMONTH(LoanStartDate,ROW(PaymentSchedule[[#This Row],[PMT NO]])-ROW(PaymentSchedule[[#Headers],[PMT NO]])-2)+DAY(LoanStartDate),"")</f>
        <v>52110</v>
      </c>
      <c r="D290" s="19">
        <f>IF(PaymentSchedule[[#This Row],[PMT NO]]&lt;&gt;"",IF(ROW()-ROW(PaymentSchedule[[#Headers],[BEGINNING BALANCE]])=1,LoanAmount,INDEX(PaymentSchedule[ENDING BALANCE],ROW()-ROW(PaymentSchedule[[#Headers],[BEGINNING BALANCE]])-1)),"")</f>
        <v>1204485.8494523482</v>
      </c>
      <c r="E290" s="19">
        <f>IF(PaymentSchedule[[#This Row],[PMT NO]]&lt;&gt;"",ScheduledPayment,"")</f>
        <v>8050.5201209471252</v>
      </c>
      <c r="F29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90" s="19">
        <f>IF(PaymentSchedule[[#This Row],[PMT NO]]&lt;&gt;"",PaymentSchedule[[#This Row],[TOTAL PAYMENT]]-PaymentSchedule[[#This Row],[INTEREST]],"")</f>
        <v>4286.5018414085371</v>
      </c>
      <c r="I290" s="19">
        <f>IF(PaymentSchedule[[#This Row],[PMT NO]]&lt;&gt;"",PaymentSchedule[[#This Row],[BEGINNING BALANCE]]*(InterestRate/PaymentsPerYear),"")</f>
        <v>3764.0182795385876</v>
      </c>
      <c r="J29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1200199.3476109398</v>
      </c>
      <c r="K290" s="19">
        <f>IF(PaymentSchedule[[#This Row],[PMT NO]]&lt;&gt;"",SUM(INDEX(PaymentSchedule[INTEREST],1,1):PaymentSchedule[[#This Row],[INTEREST]]),"")</f>
        <v>1446294.4613551863</v>
      </c>
    </row>
    <row r="291" spans="2:11" x14ac:dyDescent="0.3">
      <c r="B291" s="21">
        <f>IF(LoanIsGood,IF(ROW()-ROW(PaymentSchedule[[#Headers],[PMT NO]])&gt;ScheduledNumberOfPayments,"",ROW()-ROW(PaymentSchedule[[#Headers],[PMT NO]])),"")</f>
        <v>280</v>
      </c>
      <c r="C291" s="20">
        <f>IF(PaymentSchedule[[#This Row],[PMT NO]]&lt;&gt;"",EOMONTH(LoanStartDate,ROW(PaymentSchedule[[#This Row],[PMT NO]])-ROW(PaymentSchedule[[#Headers],[PMT NO]])-2)+DAY(LoanStartDate),"")</f>
        <v>52140</v>
      </c>
      <c r="D291" s="19">
        <f>IF(PaymentSchedule[[#This Row],[PMT NO]]&lt;&gt;"",IF(ROW()-ROW(PaymentSchedule[[#Headers],[BEGINNING BALANCE]])=1,LoanAmount,INDEX(PaymentSchedule[ENDING BALANCE],ROW()-ROW(PaymentSchedule[[#Headers],[BEGINNING BALANCE]])-1)),"")</f>
        <v>1200199.3476109398</v>
      </c>
      <c r="E291" s="19">
        <f>IF(PaymentSchedule[[#This Row],[PMT NO]]&lt;&gt;"",ScheduledPayment,"")</f>
        <v>8050.5201209471252</v>
      </c>
      <c r="F29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91" s="19">
        <f>IF(PaymentSchedule[[#This Row],[PMT NO]]&lt;&gt;"",PaymentSchedule[[#This Row],[TOTAL PAYMENT]]-PaymentSchedule[[#This Row],[INTEREST]],"")</f>
        <v>4299.8971596629381</v>
      </c>
      <c r="I291" s="19">
        <f>IF(PaymentSchedule[[#This Row],[PMT NO]]&lt;&gt;"",PaymentSchedule[[#This Row],[BEGINNING BALANCE]]*(InterestRate/PaymentsPerYear),"")</f>
        <v>3750.6229612841867</v>
      </c>
      <c r="J29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1195899.4504512767</v>
      </c>
      <c r="K291" s="19">
        <f>IF(PaymentSchedule[[#This Row],[PMT NO]]&lt;&gt;"",SUM(INDEX(PaymentSchedule[INTEREST],1,1):PaymentSchedule[[#This Row],[INTEREST]]),"")</f>
        <v>1450045.0843164704</v>
      </c>
    </row>
    <row r="292" spans="2:11" x14ac:dyDescent="0.3">
      <c r="B292" s="21">
        <f>IF(LoanIsGood,IF(ROW()-ROW(PaymentSchedule[[#Headers],[PMT NO]])&gt;ScheduledNumberOfPayments,"",ROW()-ROW(PaymentSchedule[[#Headers],[PMT NO]])),"")</f>
        <v>281</v>
      </c>
      <c r="C292" s="20">
        <f>IF(PaymentSchedule[[#This Row],[PMT NO]]&lt;&gt;"",EOMONTH(LoanStartDate,ROW(PaymentSchedule[[#This Row],[PMT NO]])-ROW(PaymentSchedule[[#Headers],[PMT NO]])-2)+DAY(LoanStartDate),"")</f>
        <v>52171</v>
      </c>
      <c r="D292" s="19">
        <f>IF(PaymentSchedule[[#This Row],[PMT NO]]&lt;&gt;"",IF(ROW()-ROW(PaymentSchedule[[#Headers],[BEGINNING BALANCE]])=1,LoanAmount,INDEX(PaymentSchedule[ENDING BALANCE],ROW()-ROW(PaymentSchedule[[#Headers],[BEGINNING BALANCE]])-1)),"")</f>
        <v>1195899.4504512767</v>
      </c>
      <c r="E292" s="19">
        <f>IF(PaymentSchedule[[#This Row],[PMT NO]]&lt;&gt;"",ScheduledPayment,"")</f>
        <v>8050.5201209471252</v>
      </c>
      <c r="F29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92" s="19">
        <f>IF(PaymentSchedule[[#This Row],[PMT NO]]&lt;&gt;"",PaymentSchedule[[#This Row],[TOTAL PAYMENT]]-PaymentSchedule[[#This Row],[INTEREST]],"")</f>
        <v>4313.3343382868861</v>
      </c>
      <c r="I292" s="19">
        <f>IF(PaymentSchedule[[#This Row],[PMT NO]]&lt;&gt;"",PaymentSchedule[[#This Row],[BEGINNING BALANCE]]*(InterestRate/PaymentsPerYear),"")</f>
        <v>3737.1857826602395</v>
      </c>
      <c r="J29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1191586.1161129898</v>
      </c>
      <c r="K292" s="19">
        <f>IF(PaymentSchedule[[#This Row],[PMT NO]]&lt;&gt;"",SUM(INDEX(PaymentSchedule[INTEREST],1,1):PaymentSchedule[[#This Row],[INTEREST]]),"")</f>
        <v>1453782.2700991307</v>
      </c>
    </row>
    <row r="293" spans="2:11" x14ac:dyDescent="0.3">
      <c r="B293" s="21">
        <f>IF(LoanIsGood,IF(ROW()-ROW(PaymentSchedule[[#Headers],[PMT NO]])&gt;ScheduledNumberOfPayments,"",ROW()-ROW(PaymentSchedule[[#Headers],[PMT NO]])),"")</f>
        <v>282</v>
      </c>
      <c r="C293" s="20">
        <f>IF(PaymentSchedule[[#This Row],[PMT NO]]&lt;&gt;"",EOMONTH(LoanStartDate,ROW(PaymentSchedule[[#This Row],[PMT NO]])-ROW(PaymentSchedule[[#Headers],[PMT NO]])-2)+DAY(LoanStartDate),"")</f>
        <v>52201</v>
      </c>
      <c r="D293" s="19">
        <f>IF(PaymentSchedule[[#This Row],[PMT NO]]&lt;&gt;"",IF(ROW()-ROW(PaymentSchedule[[#Headers],[BEGINNING BALANCE]])=1,LoanAmount,INDEX(PaymentSchedule[ENDING BALANCE],ROW()-ROW(PaymentSchedule[[#Headers],[BEGINNING BALANCE]])-1)),"")</f>
        <v>1191586.1161129898</v>
      </c>
      <c r="E293" s="19">
        <f>IF(PaymentSchedule[[#This Row],[PMT NO]]&lt;&gt;"",ScheduledPayment,"")</f>
        <v>8050.5201209471252</v>
      </c>
      <c r="F29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93" s="19">
        <f>IF(PaymentSchedule[[#This Row],[PMT NO]]&lt;&gt;"",PaymentSchedule[[#This Row],[TOTAL PAYMENT]]-PaymentSchedule[[#This Row],[INTEREST]],"")</f>
        <v>4326.8135080940319</v>
      </c>
      <c r="I293" s="19">
        <f>IF(PaymentSchedule[[#This Row],[PMT NO]]&lt;&gt;"",PaymentSchedule[[#This Row],[BEGINNING BALANCE]]*(InterestRate/PaymentsPerYear),"")</f>
        <v>3723.7066128530928</v>
      </c>
      <c r="J29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1187259.3026048958</v>
      </c>
      <c r="K293" s="19">
        <f>IF(PaymentSchedule[[#This Row],[PMT NO]]&lt;&gt;"",SUM(INDEX(PaymentSchedule[INTEREST],1,1):PaymentSchedule[[#This Row],[INTEREST]]),"")</f>
        <v>1457505.9767119838</v>
      </c>
    </row>
    <row r="294" spans="2:11" x14ac:dyDescent="0.3">
      <c r="B294" s="21">
        <f>IF(LoanIsGood,IF(ROW()-ROW(PaymentSchedule[[#Headers],[PMT NO]])&gt;ScheduledNumberOfPayments,"",ROW()-ROW(PaymentSchedule[[#Headers],[PMT NO]])),"")</f>
        <v>283</v>
      </c>
      <c r="C294" s="20">
        <f>IF(PaymentSchedule[[#This Row],[PMT NO]]&lt;&gt;"",EOMONTH(LoanStartDate,ROW(PaymentSchedule[[#This Row],[PMT NO]])-ROW(PaymentSchedule[[#Headers],[PMT NO]])-2)+DAY(LoanStartDate),"")</f>
        <v>52232</v>
      </c>
      <c r="D294" s="19">
        <f>IF(PaymentSchedule[[#This Row],[PMT NO]]&lt;&gt;"",IF(ROW()-ROW(PaymentSchedule[[#Headers],[BEGINNING BALANCE]])=1,LoanAmount,INDEX(PaymentSchedule[ENDING BALANCE],ROW()-ROW(PaymentSchedule[[#Headers],[BEGINNING BALANCE]])-1)),"")</f>
        <v>1187259.3026048958</v>
      </c>
      <c r="E294" s="19">
        <f>IF(PaymentSchedule[[#This Row],[PMT NO]]&lt;&gt;"",ScheduledPayment,"")</f>
        <v>8050.5201209471252</v>
      </c>
      <c r="F29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94" s="19">
        <f>IF(PaymentSchedule[[#This Row],[PMT NO]]&lt;&gt;"",PaymentSchedule[[#This Row],[TOTAL PAYMENT]]-PaymentSchedule[[#This Row],[INTEREST]],"")</f>
        <v>4340.3348003068259</v>
      </c>
      <c r="I294" s="19">
        <f>IF(PaymentSchedule[[#This Row],[PMT NO]]&lt;&gt;"",PaymentSchedule[[#This Row],[BEGINNING BALANCE]]*(InterestRate/PaymentsPerYear),"")</f>
        <v>3710.1853206402989</v>
      </c>
      <c r="J29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1182918.9678045888</v>
      </c>
      <c r="K294" s="19">
        <f>IF(PaymentSchedule[[#This Row],[PMT NO]]&lt;&gt;"",SUM(INDEX(PaymentSchedule[INTEREST],1,1):PaymentSchedule[[#This Row],[INTEREST]]),"")</f>
        <v>1461216.162032624</v>
      </c>
    </row>
    <row r="295" spans="2:11" x14ac:dyDescent="0.3">
      <c r="B295" s="21">
        <f>IF(LoanIsGood,IF(ROW()-ROW(PaymentSchedule[[#Headers],[PMT NO]])&gt;ScheduledNumberOfPayments,"",ROW()-ROW(PaymentSchedule[[#Headers],[PMT NO]])),"")</f>
        <v>284</v>
      </c>
      <c r="C295" s="20">
        <f>IF(PaymentSchedule[[#This Row],[PMT NO]]&lt;&gt;"",EOMONTH(LoanStartDate,ROW(PaymentSchedule[[#This Row],[PMT NO]])-ROW(PaymentSchedule[[#Headers],[PMT NO]])-2)+DAY(LoanStartDate),"")</f>
        <v>52263</v>
      </c>
      <c r="D295" s="19">
        <f>IF(PaymentSchedule[[#This Row],[PMT NO]]&lt;&gt;"",IF(ROW()-ROW(PaymentSchedule[[#Headers],[BEGINNING BALANCE]])=1,LoanAmount,INDEX(PaymentSchedule[ENDING BALANCE],ROW()-ROW(PaymentSchedule[[#Headers],[BEGINNING BALANCE]])-1)),"")</f>
        <v>1182918.9678045888</v>
      </c>
      <c r="E295" s="19">
        <f>IF(PaymentSchedule[[#This Row],[PMT NO]]&lt;&gt;"",ScheduledPayment,"")</f>
        <v>8050.5201209471252</v>
      </c>
      <c r="F29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95" s="19">
        <f>IF(PaymentSchedule[[#This Row],[PMT NO]]&lt;&gt;"",PaymentSchedule[[#This Row],[TOTAL PAYMENT]]-PaymentSchedule[[#This Row],[INTEREST]],"")</f>
        <v>4353.8983465577858</v>
      </c>
      <c r="I295" s="19">
        <f>IF(PaymentSchedule[[#This Row],[PMT NO]]&lt;&gt;"",PaymentSchedule[[#This Row],[BEGINNING BALANCE]]*(InterestRate/PaymentsPerYear),"")</f>
        <v>3696.6217743893399</v>
      </c>
      <c r="J29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1178565.0694580311</v>
      </c>
      <c r="K295" s="19">
        <f>IF(PaymentSchedule[[#This Row],[PMT NO]]&lt;&gt;"",SUM(INDEX(PaymentSchedule[INTEREST],1,1):PaymentSchedule[[#This Row],[INTEREST]]),"")</f>
        <v>1464912.7838070134</v>
      </c>
    </row>
    <row r="296" spans="2:11" x14ac:dyDescent="0.3">
      <c r="B296" s="21">
        <f>IF(LoanIsGood,IF(ROW()-ROW(PaymentSchedule[[#Headers],[PMT NO]])&gt;ScheduledNumberOfPayments,"",ROW()-ROW(PaymentSchedule[[#Headers],[PMT NO]])),"")</f>
        <v>285</v>
      </c>
      <c r="C296" s="20">
        <f>IF(PaymentSchedule[[#This Row],[PMT NO]]&lt;&gt;"",EOMONTH(LoanStartDate,ROW(PaymentSchedule[[#This Row],[PMT NO]])-ROW(PaymentSchedule[[#Headers],[PMT NO]])-2)+DAY(LoanStartDate),"")</f>
        <v>52291</v>
      </c>
      <c r="D296" s="19">
        <f>IF(PaymentSchedule[[#This Row],[PMT NO]]&lt;&gt;"",IF(ROW()-ROW(PaymentSchedule[[#Headers],[BEGINNING BALANCE]])=1,LoanAmount,INDEX(PaymentSchedule[ENDING BALANCE],ROW()-ROW(PaymentSchedule[[#Headers],[BEGINNING BALANCE]])-1)),"")</f>
        <v>1178565.0694580311</v>
      </c>
      <c r="E296" s="19">
        <f>IF(PaymentSchedule[[#This Row],[PMT NO]]&lt;&gt;"",ScheduledPayment,"")</f>
        <v>8050.5201209471252</v>
      </c>
      <c r="F29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96" s="19">
        <f>IF(PaymentSchedule[[#This Row],[PMT NO]]&lt;&gt;"",PaymentSchedule[[#This Row],[TOTAL PAYMENT]]-PaymentSchedule[[#This Row],[INTEREST]],"")</f>
        <v>4367.5042788907776</v>
      </c>
      <c r="I296" s="19">
        <f>IF(PaymentSchedule[[#This Row],[PMT NO]]&lt;&gt;"",PaymentSchedule[[#This Row],[BEGINNING BALANCE]]*(InterestRate/PaymentsPerYear),"")</f>
        <v>3683.0158420563471</v>
      </c>
      <c r="J29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1174197.5651791403</v>
      </c>
      <c r="K296" s="19">
        <f>IF(PaymentSchedule[[#This Row],[PMT NO]]&lt;&gt;"",SUM(INDEX(PaymentSchedule[INTEREST],1,1):PaymentSchedule[[#This Row],[INTEREST]]),"")</f>
        <v>1468595.7996490698</v>
      </c>
    </row>
    <row r="297" spans="2:11" x14ac:dyDescent="0.3">
      <c r="B297" s="21">
        <f>IF(LoanIsGood,IF(ROW()-ROW(PaymentSchedule[[#Headers],[PMT NO]])&gt;ScheduledNumberOfPayments,"",ROW()-ROW(PaymentSchedule[[#Headers],[PMT NO]])),"")</f>
        <v>286</v>
      </c>
      <c r="C297" s="20">
        <f>IF(PaymentSchedule[[#This Row],[PMT NO]]&lt;&gt;"",EOMONTH(LoanStartDate,ROW(PaymentSchedule[[#This Row],[PMT NO]])-ROW(PaymentSchedule[[#Headers],[PMT NO]])-2)+DAY(LoanStartDate),"")</f>
        <v>52322</v>
      </c>
      <c r="D297" s="19">
        <f>IF(PaymentSchedule[[#This Row],[PMT NO]]&lt;&gt;"",IF(ROW()-ROW(PaymentSchedule[[#Headers],[BEGINNING BALANCE]])=1,LoanAmount,INDEX(PaymentSchedule[ENDING BALANCE],ROW()-ROW(PaymentSchedule[[#Headers],[BEGINNING BALANCE]])-1)),"")</f>
        <v>1174197.5651791403</v>
      </c>
      <c r="E297" s="19">
        <f>IF(PaymentSchedule[[#This Row],[PMT NO]]&lt;&gt;"",ScheduledPayment,"")</f>
        <v>8050.5201209471252</v>
      </c>
      <c r="F29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97" s="19">
        <f>IF(PaymentSchedule[[#This Row],[PMT NO]]&lt;&gt;"",PaymentSchedule[[#This Row],[TOTAL PAYMENT]]-PaymentSchedule[[#This Row],[INTEREST]],"")</f>
        <v>4381.1527297623124</v>
      </c>
      <c r="I297" s="19">
        <f>IF(PaymentSchedule[[#This Row],[PMT NO]]&lt;&gt;"",PaymentSchedule[[#This Row],[BEGINNING BALANCE]]*(InterestRate/PaymentsPerYear),"")</f>
        <v>3669.3673911848132</v>
      </c>
      <c r="J29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1169816.4124493781</v>
      </c>
      <c r="K297" s="19">
        <f>IF(PaymentSchedule[[#This Row],[PMT NO]]&lt;&gt;"",SUM(INDEX(PaymentSchedule[INTEREST],1,1):PaymentSchedule[[#This Row],[INTEREST]]),"")</f>
        <v>1472265.1670402547</v>
      </c>
    </row>
    <row r="298" spans="2:11" x14ac:dyDescent="0.3">
      <c r="B298" s="21">
        <f>IF(LoanIsGood,IF(ROW()-ROW(PaymentSchedule[[#Headers],[PMT NO]])&gt;ScheduledNumberOfPayments,"",ROW()-ROW(PaymentSchedule[[#Headers],[PMT NO]])),"")</f>
        <v>287</v>
      </c>
      <c r="C298" s="20">
        <f>IF(PaymentSchedule[[#This Row],[PMT NO]]&lt;&gt;"",EOMONTH(LoanStartDate,ROW(PaymentSchedule[[#This Row],[PMT NO]])-ROW(PaymentSchedule[[#Headers],[PMT NO]])-2)+DAY(LoanStartDate),"")</f>
        <v>52352</v>
      </c>
      <c r="D298" s="19">
        <f>IF(PaymentSchedule[[#This Row],[PMT NO]]&lt;&gt;"",IF(ROW()-ROW(PaymentSchedule[[#Headers],[BEGINNING BALANCE]])=1,LoanAmount,INDEX(PaymentSchedule[ENDING BALANCE],ROW()-ROW(PaymentSchedule[[#Headers],[BEGINNING BALANCE]])-1)),"")</f>
        <v>1169816.4124493781</v>
      </c>
      <c r="E298" s="19">
        <f>IF(PaymentSchedule[[#This Row],[PMT NO]]&lt;&gt;"",ScheduledPayment,"")</f>
        <v>8050.5201209471252</v>
      </c>
      <c r="F29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98" s="19">
        <f>IF(PaymentSchedule[[#This Row],[PMT NO]]&lt;&gt;"",PaymentSchedule[[#This Row],[TOTAL PAYMENT]]-PaymentSchedule[[#This Row],[INTEREST]],"")</f>
        <v>4394.8438320428195</v>
      </c>
      <c r="I298" s="19">
        <f>IF(PaymentSchedule[[#This Row],[PMT NO]]&lt;&gt;"",PaymentSchedule[[#This Row],[BEGINNING BALANCE]]*(InterestRate/PaymentsPerYear),"")</f>
        <v>3655.6762889043061</v>
      </c>
      <c r="J29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1165421.5686173353</v>
      </c>
      <c r="K298" s="19">
        <f>IF(PaymentSchedule[[#This Row],[PMT NO]]&lt;&gt;"",SUM(INDEX(PaymentSchedule[INTEREST],1,1):PaymentSchedule[[#This Row],[INTEREST]]),"")</f>
        <v>1475920.8433291591</v>
      </c>
    </row>
    <row r="299" spans="2:11" x14ac:dyDescent="0.3">
      <c r="B299" s="21">
        <f>IF(LoanIsGood,IF(ROW()-ROW(PaymentSchedule[[#Headers],[PMT NO]])&gt;ScheduledNumberOfPayments,"",ROW()-ROW(PaymentSchedule[[#Headers],[PMT NO]])),"")</f>
        <v>288</v>
      </c>
      <c r="C299" s="20">
        <f>IF(PaymentSchedule[[#This Row],[PMT NO]]&lt;&gt;"",EOMONTH(LoanStartDate,ROW(PaymentSchedule[[#This Row],[PMT NO]])-ROW(PaymentSchedule[[#Headers],[PMT NO]])-2)+DAY(LoanStartDate),"")</f>
        <v>52383</v>
      </c>
      <c r="D299" s="19">
        <f>IF(PaymentSchedule[[#This Row],[PMT NO]]&lt;&gt;"",IF(ROW()-ROW(PaymentSchedule[[#Headers],[BEGINNING BALANCE]])=1,LoanAmount,INDEX(PaymentSchedule[ENDING BALANCE],ROW()-ROW(PaymentSchedule[[#Headers],[BEGINNING BALANCE]])-1)),"")</f>
        <v>1165421.5686173353</v>
      </c>
      <c r="E299" s="19">
        <f>IF(PaymentSchedule[[#This Row],[PMT NO]]&lt;&gt;"",ScheduledPayment,"")</f>
        <v>8050.5201209471252</v>
      </c>
      <c r="F29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299" s="19">
        <f>IF(PaymentSchedule[[#This Row],[PMT NO]]&lt;&gt;"",PaymentSchedule[[#This Row],[TOTAL PAYMENT]]-PaymentSchedule[[#This Row],[INTEREST]],"")</f>
        <v>4408.5777190179524</v>
      </c>
      <c r="I299" s="19">
        <f>IF(PaymentSchedule[[#This Row],[PMT NO]]&lt;&gt;"",PaymentSchedule[[#This Row],[BEGINNING BALANCE]]*(InterestRate/PaymentsPerYear),"")</f>
        <v>3641.9424019291723</v>
      </c>
      <c r="J29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1161012.9908983174</v>
      </c>
      <c r="K299" s="19">
        <f>IF(PaymentSchedule[[#This Row],[PMT NO]]&lt;&gt;"",SUM(INDEX(PaymentSchedule[INTEREST],1,1):PaymentSchedule[[#This Row],[INTEREST]]),"")</f>
        <v>1479562.7857310881</v>
      </c>
    </row>
    <row r="300" spans="2:11" x14ac:dyDescent="0.3">
      <c r="B300" s="21">
        <f>IF(LoanIsGood,IF(ROW()-ROW(PaymentSchedule[[#Headers],[PMT NO]])&gt;ScheduledNumberOfPayments,"",ROW()-ROW(PaymentSchedule[[#Headers],[PMT NO]])),"")</f>
        <v>289</v>
      </c>
      <c r="C300" s="20">
        <f>IF(PaymentSchedule[[#This Row],[PMT NO]]&lt;&gt;"",EOMONTH(LoanStartDate,ROW(PaymentSchedule[[#This Row],[PMT NO]])-ROW(PaymentSchedule[[#Headers],[PMT NO]])-2)+DAY(LoanStartDate),"")</f>
        <v>52413</v>
      </c>
      <c r="D300" s="19">
        <f>IF(PaymentSchedule[[#This Row],[PMT NO]]&lt;&gt;"",IF(ROW()-ROW(PaymentSchedule[[#Headers],[BEGINNING BALANCE]])=1,LoanAmount,INDEX(PaymentSchedule[ENDING BALANCE],ROW()-ROW(PaymentSchedule[[#Headers],[BEGINNING BALANCE]])-1)),"")</f>
        <v>1161012.9908983174</v>
      </c>
      <c r="E300" s="19">
        <f>IF(PaymentSchedule[[#This Row],[PMT NO]]&lt;&gt;"",ScheduledPayment,"")</f>
        <v>8050.5201209471252</v>
      </c>
      <c r="F30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00" s="19">
        <f>IF(PaymentSchedule[[#This Row],[PMT NO]]&lt;&gt;"",PaymentSchedule[[#This Row],[TOTAL PAYMENT]]-PaymentSchedule[[#This Row],[INTEREST]],"")</f>
        <v>4422.3545243898834</v>
      </c>
      <c r="I300" s="19">
        <f>IF(PaymentSchedule[[#This Row],[PMT NO]]&lt;&gt;"",PaymentSchedule[[#This Row],[BEGINNING BALANCE]]*(InterestRate/PaymentsPerYear),"")</f>
        <v>3628.1655965572418</v>
      </c>
      <c r="J30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1156590.6363739276</v>
      </c>
      <c r="K300" s="19">
        <f>IF(PaymentSchedule[[#This Row],[PMT NO]]&lt;&gt;"",SUM(INDEX(PaymentSchedule[INTEREST],1,1):PaymentSchedule[[#This Row],[INTEREST]]),"")</f>
        <v>1483190.9513276455</v>
      </c>
    </row>
    <row r="301" spans="2:11" x14ac:dyDescent="0.3">
      <c r="B301" s="21">
        <f>IF(LoanIsGood,IF(ROW()-ROW(PaymentSchedule[[#Headers],[PMT NO]])&gt;ScheduledNumberOfPayments,"",ROW()-ROW(PaymentSchedule[[#Headers],[PMT NO]])),"")</f>
        <v>290</v>
      </c>
      <c r="C301" s="20">
        <f>IF(PaymentSchedule[[#This Row],[PMT NO]]&lt;&gt;"",EOMONTH(LoanStartDate,ROW(PaymentSchedule[[#This Row],[PMT NO]])-ROW(PaymentSchedule[[#Headers],[PMT NO]])-2)+DAY(LoanStartDate),"")</f>
        <v>52444</v>
      </c>
      <c r="D301" s="19">
        <f>IF(PaymentSchedule[[#This Row],[PMT NO]]&lt;&gt;"",IF(ROW()-ROW(PaymentSchedule[[#Headers],[BEGINNING BALANCE]])=1,LoanAmount,INDEX(PaymentSchedule[ENDING BALANCE],ROW()-ROW(PaymentSchedule[[#Headers],[BEGINNING BALANCE]])-1)),"")</f>
        <v>1156590.6363739276</v>
      </c>
      <c r="E301" s="19">
        <f>IF(PaymentSchedule[[#This Row],[PMT NO]]&lt;&gt;"",ScheduledPayment,"")</f>
        <v>8050.5201209471252</v>
      </c>
      <c r="F30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01" s="19">
        <f>IF(PaymentSchedule[[#This Row],[PMT NO]]&lt;&gt;"",PaymentSchedule[[#This Row],[TOTAL PAYMENT]]-PaymentSchedule[[#This Row],[INTEREST]],"")</f>
        <v>4436.1743822786011</v>
      </c>
      <c r="I301" s="19">
        <f>IF(PaymentSchedule[[#This Row],[PMT NO]]&lt;&gt;"",PaymentSchedule[[#This Row],[BEGINNING BALANCE]]*(InterestRate/PaymentsPerYear),"")</f>
        <v>3614.3457386685236</v>
      </c>
      <c r="J30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1152154.4619916489</v>
      </c>
      <c r="K301" s="19">
        <f>IF(PaymentSchedule[[#This Row],[PMT NO]]&lt;&gt;"",SUM(INDEX(PaymentSchedule[INTEREST],1,1):PaymentSchedule[[#This Row],[INTEREST]]),"")</f>
        <v>1486805.2970663139</v>
      </c>
    </row>
    <row r="302" spans="2:11" x14ac:dyDescent="0.3">
      <c r="B302" s="21">
        <f>IF(LoanIsGood,IF(ROW()-ROW(PaymentSchedule[[#Headers],[PMT NO]])&gt;ScheduledNumberOfPayments,"",ROW()-ROW(PaymentSchedule[[#Headers],[PMT NO]])),"")</f>
        <v>291</v>
      </c>
      <c r="C302" s="20">
        <f>IF(PaymentSchedule[[#This Row],[PMT NO]]&lt;&gt;"",EOMONTH(LoanStartDate,ROW(PaymentSchedule[[#This Row],[PMT NO]])-ROW(PaymentSchedule[[#Headers],[PMT NO]])-2)+DAY(LoanStartDate),"")</f>
        <v>52475</v>
      </c>
      <c r="D302" s="19">
        <f>IF(PaymentSchedule[[#This Row],[PMT NO]]&lt;&gt;"",IF(ROW()-ROW(PaymentSchedule[[#Headers],[BEGINNING BALANCE]])=1,LoanAmount,INDEX(PaymentSchedule[ENDING BALANCE],ROW()-ROW(PaymentSchedule[[#Headers],[BEGINNING BALANCE]])-1)),"")</f>
        <v>1152154.4619916489</v>
      </c>
      <c r="E302" s="19">
        <f>IF(PaymentSchedule[[#This Row],[PMT NO]]&lt;&gt;"",ScheduledPayment,"")</f>
        <v>8050.5201209471252</v>
      </c>
      <c r="F30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02" s="19">
        <f>IF(PaymentSchedule[[#This Row],[PMT NO]]&lt;&gt;"",PaymentSchedule[[#This Row],[TOTAL PAYMENT]]-PaymentSchedule[[#This Row],[INTEREST]],"")</f>
        <v>4450.037427223222</v>
      </c>
      <c r="I302" s="19">
        <f>IF(PaymentSchedule[[#This Row],[PMT NO]]&lt;&gt;"",PaymentSchedule[[#This Row],[BEGINNING BALANCE]]*(InterestRate/PaymentsPerYear),"")</f>
        <v>3600.4826937239027</v>
      </c>
      <c r="J30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1147704.4245644256</v>
      </c>
      <c r="K302" s="19">
        <f>IF(PaymentSchedule[[#This Row],[PMT NO]]&lt;&gt;"",SUM(INDEX(PaymentSchedule[INTEREST],1,1):PaymentSchedule[[#This Row],[INTEREST]]),"")</f>
        <v>1490405.7797600378</v>
      </c>
    </row>
    <row r="303" spans="2:11" x14ac:dyDescent="0.3">
      <c r="B303" s="21">
        <f>IF(LoanIsGood,IF(ROW()-ROW(PaymentSchedule[[#Headers],[PMT NO]])&gt;ScheduledNumberOfPayments,"",ROW()-ROW(PaymentSchedule[[#Headers],[PMT NO]])),"")</f>
        <v>292</v>
      </c>
      <c r="C303" s="20">
        <f>IF(PaymentSchedule[[#This Row],[PMT NO]]&lt;&gt;"",EOMONTH(LoanStartDate,ROW(PaymentSchedule[[#This Row],[PMT NO]])-ROW(PaymentSchedule[[#Headers],[PMT NO]])-2)+DAY(LoanStartDate),"")</f>
        <v>52505</v>
      </c>
      <c r="D303" s="19">
        <f>IF(PaymentSchedule[[#This Row],[PMT NO]]&lt;&gt;"",IF(ROW()-ROW(PaymentSchedule[[#Headers],[BEGINNING BALANCE]])=1,LoanAmount,INDEX(PaymentSchedule[ENDING BALANCE],ROW()-ROW(PaymentSchedule[[#Headers],[BEGINNING BALANCE]])-1)),"")</f>
        <v>1147704.4245644256</v>
      </c>
      <c r="E303" s="19">
        <f>IF(PaymentSchedule[[#This Row],[PMT NO]]&lt;&gt;"",ScheduledPayment,"")</f>
        <v>8050.5201209471252</v>
      </c>
      <c r="F30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03" s="19">
        <f>IF(PaymentSchedule[[#This Row],[PMT NO]]&lt;&gt;"",PaymentSchedule[[#This Row],[TOTAL PAYMENT]]-PaymentSchedule[[#This Row],[INTEREST]],"")</f>
        <v>4463.9437941832948</v>
      </c>
      <c r="I303" s="19">
        <f>IF(PaymentSchedule[[#This Row],[PMT NO]]&lt;&gt;"",PaymentSchedule[[#This Row],[BEGINNING BALANCE]]*(InterestRate/PaymentsPerYear),"")</f>
        <v>3586.5763267638299</v>
      </c>
      <c r="J30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1143240.4807702424</v>
      </c>
      <c r="K303" s="19">
        <f>IF(PaymentSchedule[[#This Row],[PMT NO]]&lt;&gt;"",SUM(INDEX(PaymentSchedule[INTEREST],1,1):PaymentSchedule[[#This Row],[INTEREST]]),"")</f>
        <v>1493992.3560868015</v>
      </c>
    </row>
    <row r="304" spans="2:11" x14ac:dyDescent="0.3">
      <c r="B304" s="21">
        <f>IF(LoanIsGood,IF(ROW()-ROW(PaymentSchedule[[#Headers],[PMT NO]])&gt;ScheduledNumberOfPayments,"",ROW()-ROW(PaymentSchedule[[#Headers],[PMT NO]])),"")</f>
        <v>293</v>
      </c>
      <c r="C304" s="20">
        <f>IF(PaymentSchedule[[#This Row],[PMT NO]]&lt;&gt;"",EOMONTH(LoanStartDate,ROW(PaymentSchedule[[#This Row],[PMT NO]])-ROW(PaymentSchedule[[#Headers],[PMT NO]])-2)+DAY(LoanStartDate),"")</f>
        <v>52536</v>
      </c>
      <c r="D304" s="19">
        <f>IF(PaymentSchedule[[#This Row],[PMT NO]]&lt;&gt;"",IF(ROW()-ROW(PaymentSchedule[[#Headers],[BEGINNING BALANCE]])=1,LoanAmount,INDEX(PaymentSchedule[ENDING BALANCE],ROW()-ROW(PaymentSchedule[[#Headers],[BEGINNING BALANCE]])-1)),"")</f>
        <v>1143240.4807702424</v>
      </c>
      <c r="E304" s="19">
        <f>IF(PaymentSchedule[[#This Row],[PMT NO]]&lt;&gt;"",ScheduledPayment,"")</f>
        <v>8050.5201209471252</v>
      </c>
      <c r="F30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04" s="19">
        <f>IF(PaymentSchedule[[#This Row],[PMT NO]]&lt;&gt;"",PaymentSchedule[[#This Row],[TOTAL PAYMENT]]-PaymentSchedule[[#This Row],[INTEREST]],"")</f>
        <v>4477.893618540118</v>
      </c>
      <c r="I304" s="19">
        <f>IF(PaymentSchedule[[#This Row],[PMT NO]]&lt;&gt;"",PaymentSchedule[[#This Row],[BEGINNING BALANCE]]*(InterestRate/PaymentsPerYear),"")</f>
        <v>3572.6265024070071</v>
      </c>
      <c r="J30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1138762.5871517023</v>
      </c>
      <c r="K304" s="19">
        <f>IF(PaymentSchedule[[#This Row],[PMT NO]]&lt;&gt;"",SUM(INDEX(PaymentSchedule[INTEREST],1,1):PaymentSchedule[[#This Row],[INTEREST]]),"")</f>
        <v>1497564.9825892085</v>
      </c>
    </row>
    <row r="305" spans="2:11" x14ac:dyDescent="0.3">
      <c r="B305" s="21">
        <f>IF(LoanIsGood,IF(ROW()-ROW(PaymentSchedule[[#Headers],[PMT NO]])&gt;ScheduledNumberOfPayments,"",ROW()-ROW(PaymentSchedule[[#Headers],[PMT NO]])),"")</f>
        <v>294</v>
      </c>
      <c r="C305" s="20">
        <f>IF(PaymentSchedule[[#This Row],[PMT NO]]&lt;&gt;"",EOMONTH(LoanStartDate,ROW(PaymentSchedule[[#This Row],[PMT NO]])-ROW(PaymentSchedule[[#Headers],[PMT NO]])-2)+DAY(LoanStartDate),"")</f>
        <v>52566</v>
      </c>
      <c r="D305" s="19">
        <f>IF(PaymentSchedule[[#This Row],[PMT NO]]&lt;&gt;"",IF(ROW()-ROW(PaymentSchedule[[#Headers],[BEGINNING BALANCE]])=1,LoanAmount,INDEX(PaymentSchedule[ENDING BALANCE],ROW()-ROW(PaymentSchedule[[#Headers],[BEGINNING BALANCE]])-1)),"")</f>
        <v>1138762.5871517023</v>
      </c>
      <c r="E305" s="19">
        <f>IF(PaymentSchedule[[#This Row],[PMT NO]]&lt;&gt;"",ScheduledPayment,"")</f>
        <v>8050.5201209471252</v>
      </c>
      <c r="F30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05" s="19">
        <f>IF(PaymentSchedule[[#This Row],[PMT NO]]&lt;&gt;"",PaymentSchedule[[#This Row],[TOTAL PAYMENT]]-PaymentSchedule[[#This Row],[INTEREST]],"")</f>
        <v>4491.8870360980563</v>
      </c>
      <c r="I305" s="19">
        <f>IF(PaymentSchedule[[#This Row],[PMT NO]]&lt;&gt;"",PaymentSchedule[[#This Row],[BEGINNING BALANCE]]*(InterestRate/PaymentsPerYear),"")</f>
        <v>3558.6330848490693</v>
      </c>
      <c r="J30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1134270.7001156041</v>
      </c>
      <c r="K305" s="19">
        <f>IF(PaymentSchedule[[#This Row],[PMT NO]]&lt;&gt;"",SUM(INDEX(PaymentSchedule[INTEREST],1,1):PaymentSchedule[[#This Row],[INTEREST]]),"")</f>
        <v>1501123.6156740575</v>
      </c>
    </row>
    <row r="306" spans="2:11" x14ac:dyDescent="0.3">
      <c r="B306" s="21">
        <f>IF(LoanIsGood,IF(ROW()-ROW(PaymentSchedule[[#Headers],[PMT NO]])&gt;ScheduledNumberOfPayments,"",ROW()-ROW(PaymentSchedule[[#Headers],[PMT NO]])),"")</f>
        <v>295</v>
      </c>
      <c r="C306" s="20">
        <f>IF(PaymentSchedule[[#This Row],[PMT NO]]&lt;&gt;"",EOMONTH(LoanStartDate,ROW(PaymentSchedule[[#This Row],[PMT NO]])-ROW(PaymentSchedule[[#Headers],[PMT NO]])-2)+DAY(LoanStartDate),"")</f>
        <v>52597</v>
      </c>
      <c r="D306" s="19">
        <f>IF(PaymentSchedule[[#This Row],[PMT NO]]&lt;&gt;"",IF(ROW()-ROW(PaymentSchedule[[#Headers],[BEGINNING BALANCE]])=1,LoanAmount,INDEX(PaymentSchedule[ENDING BALANCE],ROW()-ROW(PaymentSchedule[[#Headers],[BEGINNING BALANCE]])-1)),"")</f>
        <v>1134270.7001156041</v>
      </c>
      <c r="E306" s="19">
        <f>IF(PaymentSchedule[[#This Row],[PMT NO]]&lt;&gt;"",ScheduledPayment,"")</f>
        <v>8050.5201209471252</v>
      </c>
      <c r="F30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06" s="19">
        <f>IF(PaymentSchedule[[#This Row],[PMT NO]]&lt;&gt;"",PaymentSchedule[[#This Row],[TOTAL PAYMENT]]-PaymentSchedule[[#This Row],[INTEREST]],"")</f>
        <v>4505.9241830858628</v>
      </c>
      <c r="I306" s="19">
        <f>IF(PaymentSchedule[[#This Row],[PMT NO]]&lt;&gt;"",PaymentSchedule[[#This Row],[BEGINNING BALANCE]]*(InterestRate/PaymentsPerYear),"")</f>
        <v>3544.5959378612624</v>
      </c>
      <c r="J30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1129764.7759325183</v>
      </c>
      <c r="K306" s="19">
        <f>IF(PaymentSchedule[[#This Row],[PMT NO]]&lt;&gt;"",SUM(INDEX(PaymentSchedule[INTEREST],1,1):PaymentSchedule[[#This Row],[INTEREST]]),"")</f>
        <v>1504668.2116119189</v>
      </c>
    </row>
    <row r="307" spans="2:11" x14ac:dyDescent="0.3">
      <c r="B307" s="21">
        <f>IF(LoanIsGood,IF(ROW()-ROW(PaymentSchedule[[#Headers],[PMT NO]])&gt;ScheduledNumberOfPayments,"",ROW()-ROW(PaymentSchedule[[#Headers],[PMT NO]])),"")</f>
        <v>296</v>
      </c>
      <c r="C307" s="20">
        <f>IF(PaymentSchedule[[#This Row],[PMT NO]]&lt;&gt;"",EOMONTH(LoanStartDate,ROW(PaymentSchedule[[#This Row],[PMT NO]])-ROW(PaymentSchedule[[#Headers],[PMT NO]])-2)+DAY(LoanStartDate),"")</f>
        <v>52628</v>
      </c>
      <c r="D307" s="19">
        <f>IF(PaymentSchedule[[#This Row],[PMT NO]]&lt;&gt;"",IF(ROW()-ROW(PaymentSchedule[[#Headers],[BEGINNING BALANCE]])=1,LoanAmount,INDEX(PaymentSchedule[ENDING BALANCE],ROW()-ROW(PaymentSchedule[[#Headers],[BEGINNING BALANCE]])-1)),"")</f>
        <v>1129764.7759325183</v>
      </c>
      <c r="E307" s="19">
        <f>IF(PaymentSchedule[[#This Row],[PMT NO]]&lt;&gt;"",ScheduledPayment,"")</f>
        <v>8050.5201209471252</v>
      </c>
      <c r="F30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07" s="19">
        <f>IF(PaymentSchedule[[#This Row],[PMT NO]]&lt;&gt;"",PaymentSchedule[[#This Row],[TOTAL PAYMENT]]-PaymentSchedule[[#This Row],[INTEREST]],"")</f>
        <v>4520.0051961580057</v>
      </c>
      <c r="I307" s="19">
        <f>IF(PaymentSchedule[[#This Row],[PMT NO]]&lt;&gt;"",PaymentSchedule[[#This Row],[BEGINNING BALANCE]]*(InterestRate/PaymentsPerYear),"")</f>
        <v>3530.5149247891195</v>
      </c>
      <c r="J30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1125244.7707363602</v>
      </c>
      <c r="K307" s="19">
        <f>IF(PaymentSchedule[[#This Row],[PMT NO]]&lt;&gt;"",SUM(INDEX(PaymentSchedule[INTEREST],1,1):PaymentSchedule[[#This Row],[INTEREST]]),"")</f>
        <v>1508198.726536708</v>
      </c>
    </row>
    <row r="308" spans="2:11" x14ac:dyDescent="0.3">
      <c r="B308" s="21">
        <f>IF(LoanIsGood,IF(ROW()-ROW(PaymentSchedule[[#Headers],[PMT NO]])&gt;ScheduledNumberOfPayments,"",ROW()-ROW(PaymentSchedule[[#Headers],[PMT NO]])),"")</f>
        <v>297</v>
      </c>
      <c r="C308" s="20">
        <f>IF(PaymentSchedule[[#This Row],[PMT NO]]&lt;&gt;"",EOMONTH(LoanStartDate,ROW(PaymentSchedule[[#This Row],[PMT NO]])-ROW(PaymentSchedule[[#Headers],[PMT NO]])-2)+DAY(LoanStartDate),"")</f>
        <v>52657</v>
      </c>
      <c r="D308" s="19">
        <f>IF(PaymentSchedule[[#This Row],[PMT NO]]&lt;&gt;"",IF(ROW()-ROW(PaymentSchedule[[#Headers],[BEGINNING BALANCE]])=1,LoanAmount,INDEX(PaymentSchedule[ENDING BALANCE],ROW()-ROW(PaymentSchedule[[#Headers],[BEGINNING BALANCE]])-1)),"")</f>
        <v>1125244.7707363602</v>
      </c>
      <c r="E308" s="19">
        <f>IF(PaymentSchedule[[#This Row],[PMT NO]]&lt;&gt;"",ScheduledPayment,"")</f>
        <v>8050.5201209471252</v>
      </c>
      <c r="F30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08" s="19">
        <f>IF(PaymentSchedule[[#This Row],[PMT NO]]&lt;&gt;"",PaymentSchedule[[#This Row],[TOTAL PAYMENT]]-PaymentSchedule[[#This Row],[INTEREST]],"")</f>
        <v>4534.1302123959995</v>
      </c>
      <c r="I308" s="19">
        <f>IF(PaymentSchedule[[#This Row],[PMT NO]]&lt;&gt;"",PaymentSchedule[[#This Row],[BEGINNING BALANCE]]*(InterestRate/PaymentsPerYear),"")</f>
        <v>3516.3899085511252</v>
      </c>
      <c r="J30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1120710.6405239643</v>
      </c>
      <c r="K308" s="19">
        <f>IF(PaymentSchedule[[#This Row],[PMT NO]]&lt;&gt;"",SUM(INDEX(PaymentSchedule[INTEREST],1,1):PaymentSchedule[[#This Row],[INTEREST]]),"")</f>
        <v>1511715.1164452592</v>
      </c>
    </row>
    <row r="309" spans="2:11" x14ac:dyDescent="0.3">
      <c r="B309" s="21">
        <f>IF(LoanIsGood,IF(ROW()-ROW(PaymentSchedule[[#Headers],[PMT NO]])&gt;ScheduledNumberOfPayments,"",ROW()-ROW(PaymentSchedule[[#Headers],[PMT NO]])),"")</f>
        <v>298</v>
      </c>
      <c r="C309" s="20">
        <f>IF(PaymentSchedule[[#This Row],[PMT NO]]&lt;&gt;"",EOMONTH(LoanStartDate,ROW(PaymentSchedule[[#This Row],[PMT NO]])-ROW(PaymentSchedule[[#Headers],[PMT NO]])-2)+DAY(LoanStartDate),"")</f>
        <v>52688</v>
      </c>
      <c r="D309" s="19">
        <f>IF(PaymentSchedule[[#This Row],[PMT NO]]&lt;&gt;"",IF(ROW()-ROW(PaymentSchedule[[#Headers],[BEGINNING BALANCE]])=1,LoanAmount,INDEX(PaymentSchedule[ENDING BALANCE],ROW()-ROW(PaymentSchedule[[#Headers],[BEGINNING BALANCE]])-1)),"")</f>
        <v>1120710.6405239643</v>
      </c>
      <c r="E309" s="19">
        <f>IF(PaymentSchedule[[#This Row],[PMT NO]]&lt;&gt;"",ScheduledPayment,"")</f>
        <v>8050.5201209471252</v>
      </c>
      <c r="F30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09" s="19">
        <f>IF(PaymentSchedule[[#This Row],[PMT NO]]&lt;&gt;"",PaymentSchedule[[#This Row],[TOTAL PAYMENT]]-PaymentSchedule[[#This Row],[INTEREST]],"")</f>
        <v>4548.2993693097369</v>
      </c>
      <c r="I309" s="19">
        <f>IF(PaymentSchedule[[#This Row],[PMT NO]]&lt;&gt;"",PaymentSchedule[[#This Row],[BEGINNING BALANCE]]*(InterestRate/PaymentsPerYear),"")</f>
        <v>3502.2207516373883</v>
      </c>
      <c r="J30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1116162.3411546545</v>
      </c>
      <c r="K309" s="19">
        <f>IF(PaymentSchedule[[#This Row],[PMT NO]]&lt;&gt;"",SUM(INDEX(PaymentSchedule[INTEREST],1,1):PaymentSchedule[[#This Row],[INTEREST]]),"")</f>
        <v>1515217.3371968966</v>
      </c>
    </row>
    <row r="310" spans="2:11" x14ac:dyDescent="0.3">
      <c r="B310" s="21">
        <f>IF(LoanIsGood,IF(ROW()-ROW(PaymentSchedule[[#Headers],[PMT NO]])&gt;ScheduledNumberOfPayments,"",ROW()-ROW(PaymentSchedule[[#Headers],[PMT NO]])),"")</f>
        <v>299</v>
      </c>
      <c r="C310" s="20">
        <f>IF(PaymentSchedule[[#This Row],[PMT NO]]&lt;&gt;"",EOMONTH(LoanStartDate,ROW(PaymentSchedule[[#This Row],[PMT NO]])-ROW(PaymentSchedule[[#Headers],[PMT NO]])-2)+DAY(LoanStartDate),"")</f>
        <v>52718</v>
      </c>
      <c r="D310" s="19">
        <f>IF(PaymentSchedule[[#This Row],[PMT NO]]&lt;&gt;"",IF(ROW()-ROW(PaymentSchedule[[#Headers],[BEGINNING BALANCE]])=1,LoanAmount,INDEX(PaymentSchedule[ENDING BALANCE],ROW()-ROW(PaymentSchedule[[#Headers],[BEGINNING BALANCE]])-1)),"")</f>
        <v>1116162.3411546545</v>
      </c>
      <c r="E310" s="19">
        <f>IF(PaymentSchedule[[#This Row],[PMT NO]]&lt;&gt;"",ScheduledPayment,"")</f>
        <v>8050.5201209471252</v>
      </c>
      <c r="F31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10" s="19">
        <f>IF(PaymentSchedule[[#This Row],[PMT NO]]&lt;&gt;"",PaymentSchedule[[#This Row],[TOTAL PAYMENT]]-PaymentSchedule[[#This Row],[INTEREST]],"")</f>
        <v>4562.5128048388306</v>
      </c>
      <c r="I310" s="19">
        <f>IF(PaymentSchedule[[#This Row],[PMT NO]]&lt;&gt;"",PaymentSchedule[[#This Row],[BEGINNING BALANCE]]*(InterestRate/PaymentsPerYear),"")</f>
        <v>3488.0073161082951</v>
      </c>
      <c r="J31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1111599.8283498157</v>
      </c>
      <c r="K310" s="19">
        <f>IF(PaymentSchedule[[#This Row],[PMT NO]]&lt;&gt;"",SUM(INDEX(PaymentSchedule[INTEREST],1,1):PaymentSchedule[[#This Row],[INTEREST]]),"")</f>
        <v>1518705.3445130049</v>
      </c>
    </row>
    <row r="311" spans="2:11" x14ac:dyDescent="0.3">
      <c r="B311" s="21">
        <f>IF(LoanIsGood,IF(ROW()-ROW(PaymentSchedule[[#Headers],[PMT NO]])&gt;ScheduledNumberOfPayments,"",ROW()-ROW(PaymentSchedule[[#Headers],[PMT NO]])),"")</f>
        <v>300</v>
      </c>
      <c r="C311" s="20">
        <f>IF(PaymentSchedule[[#This Row],[PMT NO]]&lt;&gt;"",EOMONTH(LoanStartDate,ROW(PaymentSchedule[[#This Row],[PMT NO]])-ROW(PaymentSchedule[[#Headers],[PMT NO]])-2)+DAY(LoanStartDate),"")</f>
        <v>52749</v>
      </c>
      <c r="D311" s="19">
        <f>IF(PaymentSchedule[[#This Row],[PMT NO]]&lt;&gt;"",IF(ROW()-ROW(PaymentSchedule[[#Headers],[BEGINNING BALANCE]])=1,LoanAmount,INDEX(PaymentSchedule[ENDING BALANCE],ROW()-ROW(PaymentSchedule[[#Headers],[BEGINNING BALANCE]])-1)),"")</f>
        <v>1111599.8283498157</v>
      </c>
      <c r="E311" s="19">
        <f>IF(PaymentSchedule[[#This Row],[PMT NO]]&lt;&gt;"",ScheduledPayment,"")</f>
        <v>8050.5201209471252</v>
      </c>
      <c r="F31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11" s="19">
        <f>IF(PaymentSchedule[[#This Row],[PMT NO]]&lt;&gt;"",PaymentSchedule[[#This Row],[TOTAL PAYMENT]]-PaymentSchedule[[#This Row],[INTEREST]],"")</f>
        <v>4576.7706573539508</v>
      </c>
      <c r="I311" s="19">
        <f>IF(PaymentSchedule[[#This Row],[PMT NO]]&lt;&gt;"",PaymentSchedule[[#This Row],[BEGINNING BALANCE]]*(InterestRate/PaymentsPerYear),"")</f>
        <v>3473.7494635931739</v>
      </c>
      <c r="J31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1107023.0576924616</v>
      </c>
      <c r="K311" s="19">
        <f>IF(PaymentSchedule[[#This Row],[PMT NO]]&lt;&gt;"",SUM(INDEX(PaymentSchedule[INTEREST],1,1):PaymentSchedule[[#This Row],[INTEREST]]),"")</f>
        <v>1522179.093976598</v>
      </c>
    </row>
    <row r="312" spans="2:11" x14ac:dyDescent="0.3">
      <c r="B312" s="21">
        <f>IF(LoanIsGood,IF(ROW()-ROW(PaymentSchedule[[#Headers],[PMT NO]])&gt;ScheduledNumberOfPayments,"",ROW()-ROW(PaymentSchedule[[#Headers],[PMT NO]])),"")</f>
        <v>301</v>
      </c>
      <c r="C312" s="20">
        <f>IF(PaymentSchedule[[#This Row],[PMT NO]]&lt;&gt;"",EOMONTH(LoanStartDate,ROW(PaymentSchedule[[#This Row],[PMT NO]])-ROW(PaymentSchedule[[#Headers],[PMT NO]])-2)+DAY(LoanStartDate),"")</f>
        <v>52779</v>
      </c>
      <c r="D312" s="19">
        <f>IF(PaymentSchedule[[#This Row],[PMT NO]]&lt;&gt;"",IF(ROW()-ROW(PaymentSchedule[[#Headers],[BEGINNING BALANCE]])=1,LoanAmount,INDEX(PaymentSchedule[ENDING BALANCE],ROW()-ROW(PaymentSchedule[[#Headers],[BEGINNING BALANCE]])-1)),"")</f>
        <v>1107023.0576924616</v>
      </c>
      <c r="E312" s="19">
        <f>IF(PaymentSchedule[[#This Row],[PMT NO]]&lt;&gt;"",ScheduledPayment,"")</f>
        <v>8050.5201209471252</v>
      </c>
      <c r="F31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12" s="19">
        <f>IF(PaymentSchedule[[#This Row],[PMT NO]]&lt;&gt;"",PaymentSchedule[[#This Row],[TOTAL PAYMENT]]-PaymentSchedule[[#This Row],[INTEREST]],"")</f>
        <v>4591.0730656581827</v>
      </c>
      <c r="I312" s="19">
        <f>IF(PaymentSchedule[[#This Row],[PMT NO]]&lt;&gt;"",PaymentSchedule[[#This Row],[BEGINNING BALANCE]]*(InterestRate/PaymentsPerYear),"")</f>
        <v>3459.4470552889425</v>
      </c>
      <c r="J31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1102431.9846268035</v>
      </c>
      <c r="K312" s="19">
        <f>IF(PaymentSchedule[[#This Row],[PMT NO]]&lt;&gt;"",SUM(INDEX(PaymentSchedule[INTEREST],1,1):PaymentSchedule[[#This Row],[INTEREST]]),"")</f>
        <v>1525638.5410318871</v>
      </c>
    </row>
    <row r="313" spans="2:11" x14ac:dyDescent="0.3">
      <c r="B313" s="21">
        <f>IF(LoanIsGood,IF(ROW()-ROW(PaymentSchedule[[#Headers],[PMT NO]])&gt;ScheduledNumberOfPayments,"",ROW()-ROW(PaymentSchedule[[#Headers],[PMT NO]])),"")</f>
        <v>302</v>
      </c>
      <c r="C313" s="20">
        <f>IF(PaymentSchedule[[#This Row],[PMT NO]]&lt;&gt;"",EOMONTH(LoanStartDate,ROW(PaymentSchedule[[#This Row],[PMT NO]])-ROW(PaymentSchedule[[#Headers],[PMT NO]])-2)+DAY(LoanStartDate),"")</f>
        <v>52810</v>
      </c>
      <c r="D313" s="19">
        <f>IF(PaymentSchedule[[#This Row],[PMT NO]]&lt;&gt;"",IF(ROW()-ROW(PaymentSchedule[[#Headers],[BEGINNING BALANCE]])=1,LoanAmount,INDEX(PaymentSchedule[ENDING BALANCE],ROW()-ROW(PaymentSchedule[[#Headers],[BEGINNING BALANCE]])-1)),"")</f>
        <v>1102431.9846268035</v>
      </c>
      <c r="E313" s="19">
        <f>IF(PaymentSchedule[[#This Row],[PMT NO]]&lt;&gt;"",ScheduledPayment,"")</f>
        <v>8050.5201209471252</v>
      </c>
      <c r="F31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13" s="19">
        <f>IF(PaymentSchedule[[#This Row],[PMT NO]]&lt;&gt;"",PaymentSchedule[[#This Row],[TOTAL PAYMENT]]-PaymentSchedule[[#This Row],[INTEREST]],"")</f>
        <v>4605.4201689883648</v>
      </c>
      <c r="I313" s="19">
        <f>IF(PaymentSchedule[[#This Row],[PMT NO]]&lt;&gt;"",PaymentSchedule[[#This Row],[BEGINNING BALANCE]]*(InterestRate/PaymentsPerYear),"")</f>
        <v>3445.0999519587608</v>
      </c>
      <c r="J31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1097826.5644578151</v>
      </c>
      <c r="K313" s="19">
        <f>IF(PaymentSchedule[[#This Row],[PMT NO]]&lt;&gt;"",SUM(INDEX(PaymentSchedule[INTEREST],1,1):PaymentSchedule[[#This Row],[INTEREST]]),"")</f>
        <v>1529083.6409838458</v>
      </c>
    </row>
    <row r="314" spans="2:11" x14ac:dyDescent="0.3">
      <c r="B314" s="21">
        <f>IF(LoanIsGood,IF(ROW()-ROW(PaymentSchedule[[#Headers],[PMT NO]])&gt;ScheduledNumberOfPayments,"",ROW()-ROW(PaymentSchedule[[#Headers],[PMT NO]])),"")</f>
        <v>303</v>
      </c>
      <c r="C314" s="20">
        <f>IF(PaymentSchedule[[#This Row],[PMT NO]]&lt;&gt;"",EOMONTH(LoanStartDate,ROW(PaymentSchedule[[#This Row],[PMT NO]])-ROW(PaymentSchedule[[#Headers],[PMT NO]])-2)+DAY(LoanStartDate),"")</f>
        <v>52841</v>
      </c>
      <c r="D314" s="19">
        <f>IF(PaymentSchedule[[#This Row],[PMT NO]]&lt;&gt;"",IF(ROW()-ROW(PaymentSchedule[[#Headers],[BEGINNING BALANCE]])=1,LoanAmount,INDEX(PaymentSchedule[ENDING BALANCE],ROW()-ROW(PaymentSchedule[[#Headers],[BEGINNING BALANCE]])-1)),"")</f>
        <v>1097826.5644578151</v>
      </c>
      <c r="E314" s="19">
        <f>IF(PaymentSchedule[[#This Row],[PMT NO]]&lt;&gt;"",ScheduledPayment,"")</f>
        <v>8050.5201209471252</v>
      </c>
      <c r="F31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14" s="19">
        <f>IF(PaymentSchedule[[#This Row],[PMT NO]]&lt;&gt;"",PaymentSchedule[[#This Row],[TOTAL PAYMENT]]-PaymentSchedule[[#This Row],[INTEREST]],"")</f>
        <v>4619.8121070164525</v>
      </c>
      <c r="I314" s="19">
        <f>IF(PaymentSchedule[[#This Row],[PMT NO]]&lt;&gt;"",PaymentSchedule[[#This Row],[BEGINNING BALANCE]]*(InterestRate/PaymentsPerYear),"")</f>
        <v>3430.7080139306722</v>
      </c>
      <c r="J31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1093206.7523507986</v>
      </c>
      <c r="K314" s="19">
        <f>IF(PaymentSchedule[[#This Row],[PMT NO]]&lt;&gt;"",SUM(INDEX(PaymentSchedule[INTEREST],1,1):PaymentSchedule[[#This Row],[INTEREST]]),"")</f>
        <v>1532514.3489977764</v>
      </c>
    </row>
    <row r="315" spans="2:11" x14ac:dyDescent="0.3">
      <c r="B315" s="21">
        <f>IF(LoanIsGood,IF(ROW()-ROW(PaymentSchedule[[#Headers],[PMT NO]])&gt;ScheduledNumberOfPayments,"",ROW()-ROW(PaymentSchedule[[#Headers],[PMT NO]])),"")</f>
        <v>304</v>
      </c>
      <c r="C315" s="20">
        <f>IF(PaymentSchedule[[#This Row],[PMT NO]]&lt;&gt;"",EOMONTH(LoanStartDate,ROW(PaymentSchedule[[#This Row],[PMT NO]])-ROW(PaymentSchedule[[#Headers],[PMT NO]])-2)+DAY(LoanStartDate),"")</f>
        <v>52871</v>
      </c>
      <c r="D315" s="19">
        <f>IF(PaymentSchedule[[#This Row],[PMT NO]]&lt;&gt;"",IF(ROW()-ROW(PaymentSchedule[[#Headers],[BEGINNING BALANCE]])=1,LoanAmount,INDEX(PaymentSchedule[ENDING BALANCE],ROW()-ROW(PaymentSchedule[[#Headers],[BEGINNING BALANCE]])-1)),"")</f>
        <v>1093206.7523507986</v>
      </c>
      <c r="E315" s="19">
        <f>IF(PaymentSchedule[[#This Row],[PMT NO]]&lt;&gt;"",ScheduledPayment,"")</f>
        <v>8050.5201209471252</v>
      </c>
      <c r="F31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15" s="19">
        <f>IF(PaymentSchedule[[#This Row],[PMT NO]]&lt;&gt;"",PaymentSchedule[[#This Row],[TOTAL PAYMENT]]-PaymentSchedule[[#This Row],[INTEREST]],"")</f>
        <v>4634.2490198508804</v>
      </c>
      <c r="I315" s="19">
        <f>IF(PaymentSchedule[[#This Row],[PMT NO]]&lt;&gt;"",PaymentSchedule[[#This Row],[BEGINNING BALANCE]]*(InterestRate/PaymentsPerYear),"")</f>
        <v>3416.2711010962453</v>
      </c>
      <c r="J31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1088572.5033309476</v>
      </c>
      <c r="K315" s="19">
        <f>IF(PaymentSchedule[[#This Row],[PMT NO]]&lt;&gt;"",SUM(INDEX(PaymentSchedule[INTEREST],1,1):PaymentSchedule[[#This Row],[INTEREST]]),"")</f>
        <v>1535930.6200988726</v>
      </c>
    </row>
    <row r="316" spans="2:11" x14ac:dyDescent="0.3">
      <c r="B316" s="21">
        <f>IF(LoanIsGood,IF(ROW()-ROW(PaymentSchedule[[#Headers],[PMT NO]])&gt;ScheduledNumberOfPayments,"",ROW()-ROW(PaymentSchedule[[#Headers],[PMT NO]])),"")</f>
        <v>305</v>
      </c>
      <c r="C316" s="20">
        <f>IF(PaymentSchedule[[#This Row],[PMT NO]]&lt;&gt;"",EOMONTH(LoanStartDate,ROW(PaymentSchedule[[#This Row],[PMT NO]])-ROW(PaymentSchedule[[#Headers],[PMT NO]])-2)+DAY(LoanStartDate),"")</f>
        <v>52902</v>
      </c>
      <c r="D316" s="19">
        <f>IF(PaymentSchedule[[#This Row],[PMT NO]]&lt;&gt;"",IF(ROW()-ROW(PaymentSchedule[[#Headers],[BEGINNING BALANCE]])=1,LoanAmount,INDEX(PaymentSchedule[ENDING BALANCE],ROW()-ROW(PaymentSchedule[[#Headers],[BEGINNING BALANCE]])-1)),"")</f>
        <v>1088572.5033309476</v>
      </c>
      <c r="E316" s="19">
        <f>IF(PaymentSchedule[[#This Row],[PMT NO]]&lt;&gt;"",ScheduledPayment,"")</f>
        <v>8050.5201209471252</v>
      </c>
      <c r="F31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16" s="19">
        <f>IF(PaymentSchedule[[#This Row],[PMT NO]]&lt;&gt;"",PaymentSchedule[[#This Row],[TOTAL PAYMENT]]-PaymentSchedule[[#This Row],[INTEREST]],"")</f>
        <v>4648.7310480379147</v>
      </c>
      <c r="I316" s="19">
        <f>IF(PaymentSchedule[[#This Row],[PMT NO]]&lt;&gt;"",PaymentSchedule[[#This Row],[BEGINNING BALANCE]]*(InterestRate/PaymentsPerYear),"")</f>
        <v>3401.789072909211</v>
      </c>
      <c r="J31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1083923.7722829096</v>
      </c>
      <c r="K316" s="19">
        <f>IF(PaymentSchedule[[#This Row],[PMT NO]]&lt;&gt;"",SUM(INDEX(PaymentSchedule[INTEREST],1,1):PaymentSchedule[[#This Row],[INTEREST]]),"")</f>
        <v>1539332.4091717817</v>
      </c>
    </row>
    <row r="317" spans="2:11" x14ac:dyDescent="0.3">
      <c r="B317" s="21">
        <f>IF(LoanIsGood,IF(ROW()-ROW(PaymentSchedule[[#Headers],[PMT NO]])&gt;ScheduledNumberOfPayments,"",ROW()-ROW(PaymentSchedule[[#Headers],[PMT NO]])),"")</f>
        <v>306</v>
      </c>
      <c r="C317" s="20">
        <f>IF(PaymentSchedule[[#This Row],[PMT NO]]&lt;&gt;"",EOMONTH(LoanStartDate,ROW(PaymentSchedule[[#This Row],[PMT NO]])-ROW(PaymentSchedule[[#Headers],[PMT NO]])-2)+DAY(LoanStartDate),"")</f>
        <v>52932</v>
      </c>
      <c r="D317" s="19">
        <f>IF(PaymentSchedule[[#This Row],[PMT NO]]&lt;&gt;"",IF(ROW()-ROW(PaymentSchedule[[#Headers],[BEGINNING BALANCE]])=1,LoanAmount,INDEX(PaymentSchedule[ENDING BALANCE],ROW()-ROW(PaymentSchedule[[#Headers],[BEGINNING BALANCE]])-1)),"")</f>
        <v>1083923.7722829096</v>
      </c>
      <c r="E317" s="19">
        <f>IF(PaymentSchedule[[#This Row],[PMT NO]]&lt;&gt;"",ScheduledPayment,"")</f>
        <v>8050.5201209471252</v>
      </c>
      <c r="F31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17" s="19">
        <f>IF(PaymentSchedule[[#This Row],[PMT NO]]&lt;&gt;"",PaymentSchedule[[#This Row],[TOTAL PAYMENT]]-PaymentSchedule[[#This Row],[INTEREST]],"")</f>
        <v>4663.258332563033</v>
      </c>
      <c r="I317" s="19">
        <f>IF(PaymentSchedule[[#This Row],[PMT NO]]&lt;&gt;"",PaymentSchedule[[#This Row],[BEGINNING BALANCE]]*(InterestRate/PaymentsPerYear),"")</f>
        <v>3387.2617883840921</v>
      </c>
      <c r="J31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1079260.5139503465</v>
      </c>
      <c r="K317" s="19">
        <f>IF(PaymentSchedule[[#This Row],[PMT NO]]&lt;&gt;"",SUM(INDEX(PaymentSchedule[INTEREST],1,1):PaymentSchedule[[#This Row],[INTEREST]]),"")</f>
        <v>1542719.6709601658</v>
      </c>
    </row>
    <row r="318" spans="2:11" x14ac:dyDescent="0.3">
      <c r="B318" s="21">
        <f>IF(LoanIsGood,IF(ROW()-ROW(PaymentSchedule[[#Headers],[PMT NO]])&gt;ScheduledNumberOfPayments,"",ROW()-ROW(PaymentSchedule[[#Headers],[PMT NO]])),"")</f>
        <v>307</v>
      </c>
      <c r="C318" s="20">
        <f>IF(PaymentSchedule[[#This Row],[PMT NO]]&lt;&gt;"",EOMONTH(LoanStartDate,ROW(PaymentSchedule[[#This Row],[PMT NO]])-ROW(PaymentSchedule[[#Headers],[PMT NO]])-2)+DAY(LoanStartDate),"")</f>
        <v>52963</v>
      </c>
      <c r="D318" s="19">
        <f>IF(PaymentSchedule[[#This Row],[PMT NO]]&lt;&gt;"",IF(ROW()-ROW(PaymentSchedule[[#Headers],[BEGINNING BALANCE]])=1,LoanAmount,INDEX(PaymentSchedule[ENDING BALANCE],ROW()-ROW(PaymentSchedule[[#Headers],[BEGINNING BALANCE]])-1)),"")</f>
        <v>1079260.5139503465</v>
      </c>
      <c r="E318" s="19">
        <f>IF(PaymentSchedule[[#This Row],[PMT NO]]&lt;&gt;"",ScheduledPayment,"")</f>
        <v>8050.5201209471252</v>
      </c>
      <c r="F31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18" s="19">
        <f>IF(PaymentSchedule[[#This Row],[PMT NO]]&lt;&gt;"",PaymentSchedule[[#This Row],[TOTAL PAYMENT]]-PaymentSchedule[[#This Row],[INTEREST]],"")</f>
        <v>4677.8310148522924</v>
      </c>
      <c r="I318" s="19">
        <f>IF(PaymentSchedule[[#This Row],[PMT NO]]&lt;&gt;"",PaymentSchedule[[#This Row],[BEGINNING BALANCE]]*(InterestRate/PaymentsPerYear),"")</f>
        <v>3372.6891060948324</v>
      </c>
      <c r="J31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1074582.6829354942</v>
      </c>
      <c r="K318" s="19">
        <f>IF(PaymentSchedule[[#This Row],[PMT NO]]&lt;&gt;"",SUM(INDEX(PaymentSchedule[INTEREST],1,1):PaymentSchedule[[#This Row],[INTEREST]]),"")</f>
        <v>1546092.3600662607</v>
      </c>
    </row>
    <row r="319" spans="2:11" x14ac:dyDescent="0.3">
      <c r="B319" s="21">
        <f>IF(LoanIsGood,IF(ROW()-ROW(PaymentSchedule[[#Headers],[PMT NO]])&gt;ScheduledNumberOfPayments,"",ROW()-ROW(PaymentSchedule[[#Headers],[PMT NO]])),"")</f>
        <v>308</v>
      </c>
      <c r="C319" s="20">
        <f>IF(PaymentSchedule[[#This Row],[PMT NO]]&lt;&gt;"",EOMONTH(LoanStartDate,ROW(PaymentSchedule[[#This Row],[PMT NO]])-ROW(PaymentSchedule[[#Headers],[PMT NO]])-2)+DAY(LoanStartDate),"")</f>
        <v>52994</v>
      </c>
      <c r="D319" s="19">
        <f>IF(PaymentSchedule[[#This Row],[PMT NO]]&lt;&gt;"",IF(ROW()-ROW(PaymentSchedule[[#Headers],[BEGINNING BALANCE]])=1,LoanAmount,INDEX(PaymentSchedule[ENDING BALANCE],ROW()-ROW(PaymentSchedule[[#Headers],[BEGINNING BALANCE]])-1)),"")</f>
        <v>1074582.6829354942</v>
      </c>
      <c r="E319" s="19">
        <f>IF(PaymentSchedule[[#This Row],[PMT NO]]&lt;&gt;"",ScheduledPayment,"")</f>
        <v>8050.5201209471252</v>
      </c>
      <c r="F31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19" s="19">
        <f>IF(PaymentSchedule[[#This Row],[PMT NO]]&lt;&gt;"",PaymentSchedule[[#This Row],[TOTAL PAYMENT]]-PaymentSchedule[[#This Row],[INTEREST]],"")</f>
        <v>4692.4492367737057</v>
      </c>
      <c r="I319" s="19">
        <f>IF(PaymentSchedule[[#This Row],[PMT NO]]&lt;&gt;"",PaymentSchedule[[#This Row],[BEGINNING BALANCE]]*(InterestRate/PaymentsPerYear),"")</f>
        <v>3358.070884173419</v>
      </c>
      <c r="J31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1069890.2336987206</v>
      </c>
      <c r="K319" s="19">
        <f>IF(PaymentSchedule[[#This Row],[PMT NO]]&lt;&gt;"",SUM(INDEX(PaymentSchedule[INTEREST],1,1):PaymentSchedule[[#This Row],[INTEREST]]),"")</f>
        <v>1549450.4309504342</v>
      </c>
    </row>
    <row r="320" spans="2:11" x14ac:dyDescent="0.3">
      <c r="B320" s="21">
        <f>IF(LoanIsGood,IF(ROW()-ROW(PaymentSchedule[[#Headers],[PMT NO]])&gt;ScheduledNumberOfPayments,"",ROW()-ROW(PaymentSchedule[[#Headers],[PMT NO]])),"")</f>
        <v>309</v>
      </c>
      <c r="C320" s="20">
        <f>IF(PaymentSchedule[[#This Row],[PMT NO]]&lt;&gt;"",EOMONTH(LoanStartDate,ROW(PaymentSchedule[[#This Row],[PMT NO]])-ROW(PaymentSchedule[[#Headers],[PMT NO]])-2)+DAY(LoanStartDate),"")</f>
        <v>53022</v>
      </c>
      <c r="D320" s="19">
        <f>IF(PaymentSchedule[[#This Row],[PMT NO]]&lt;&gt;"",IF(ROW()-ROW(PaymentSchedule[[#Headers],[BEGINNING BALANCE]])=1,LoanAmount,INDEX(PaymentSchedule[ENDING BALANCE],ROW()-ROW(PaymentSchedule[[#Headers],[BEGINNING BALANCE]])-1)),"")</f>
        <v>1069890.2336987206</v>
      </c>
      <c r="E320" s="19">
        <f>IF(PaymentSchedule[[#This Row],[PMT NO]]&lt;&gt;"",ScheduledPayment,"")</f>
        <v>8050.5201209471252</v>
      </c>
      <c r="F32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20" s="19">
        <f>IF(PaymentSchedule[[#This Row],[PMT NO]]&lt;&gt;"",PaymentSchedule[[#This Row],[TOTAL PAYMENT]]-PaymentSchedule[[#This Row],[INTEREST]],"")</f>
        <v>4707.113140638623</v>
      </c>
      <c r="I320" s="19">
        <f>IF(PaymentSchedule[[#This Row],[PMT NO]]&lt;&gt;"",PaymentSchedule[[#This Row],[BEGINNING BALANCE]]*(InterestRate/PaymentsPerYear),"")</f>
        <v>3343.4069803085017</v>
      </c>
      <c r="J32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1065183.1205580819</v>
      </c>
      <c r="K320" s="19">
        <f>IF(PaymentSchedule[[#This Row],[PMT NO]]&lt;&gt;"",SUM(INDEX(PaymentSchedule[INTEREST],1,1):PaymentSchedule[[#This Row],[INTEREST]]),"")</f>
        <v>1552793.8379307427</v>
      </c>
    </row>
    <row r="321" spans="2:11" x14ac:dyDescent="0.3">
      <c r="B321" s="21">
        <f>IF(LoanIsGood,IF(ROW()-ROW(PaymentSchedule[[#Headers],[PMT NO]])&gt;ScheduledNumberOfPayments,"",ROW()-ROW(PaymentSchedule[[#Headers],[PMT NO]])),"")</f>
        <v>310</v>
      </c>
      <c r="C321" s="20">
        <f>IF(PaymentSchedule[[#This Row],[PMT NO]]&lt;&gt;"",EOMONTH(LoanStartDate,ROW(PaymentSchedule[[#This Row],[PMT NO]])-ROW(PaymentSchedule[[#Headers],[PMT NO]])-2)+DAY(LoanStartDate),"")</f>
        <v>53053</v>
      </c>
      <c r="D321" s="19">
        <f>IF(PaymentSchedule[[#This Row],[PMT NO]]&lt;&gt;"",IF(ROW()-ROW(PaymentSchedule[[#Headers],[BEGINNING BALANCE]])=1,LoanAmount,INDEX(PaymentSchedule[ENDING BALANCE],ROW()-ROW(PaymentSchedule[[#Headers],[BEGINNING BALANCE]])-1)),"")</f>
        <v>1065183.1205580819</v>
      </c>
      <c r="E321" s="19">
        <f>IF(PaymentSchedule[[#This Row],[PMT NO]]&lt;&gt;"",ScheduledPayment,"")</f>
        <v>8050.5201209471252</v>
      </c>
      <c r="F32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21" s="19">
        <f>IF(PaymentSchedule[[#This Row],[PMT NO]]&lt;&gt;"",PaymentSchedule[[#This Row],[TOTAL PAYMENT]]-PaymentSchedule[[#This Row],[INTEREST]],"")</f>
        <v>4721.8228692031189</v>
      </c>
      <c r="I321" s="19">
        <f>IF(PaymentSchedule[[#This Row],[PMT NO]]&lt;&gt;"",PaymentSchedule[[#This Row],[BEGINNING BALANCE]]*(InterestRate/PaymentsPerYear),"")</f>
        <v>3328.6972517440058</v>
      </c>
      <c r="J32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1060461.2976888788</v>
      </c>
      <c r="K321" s="19">
        <f>IF(PaymentSchedule[[#This Row],[PMT NO]]&lt;&gt;"",SUM(INDEX(PaymentSchedule[INTEREST],1,1):PaymentSchedule[[#This Row],[INTEREST]]),"")</f>
        <v>1556122.5351824868</v>
      </c>
    </row>
    <row r="322" spans="2:11" x14ac:dyDescent="0.3">
      <c r="B322" s="21">
        <f>IF(LoanIsGood,IF(ROW()-ROW(PaymentSchedule[[#Headers],[PMT NO]])&gt;ScheduledNumberOfPayments,"",ROW()-ROW(PaymentSchedule[[#Headers],[PMT NO]])),"")</f>
        <v>311</v>
      </c>
      <c r="C322" s="20">
        <f>IF(PaymentSchedule[[#This Row],[PMT NO]]&lt;&gt;"",EOMONTH(LoanStartDate,ROW(PaymentSchedule[[#This Row],[PMT NO]])-ROW(PaymentSchedule[[#Headers],[PMT NO]])-2)+DAY(LoanStartDate),"")</f>
        <v>53083</v>
      </c>
      <c r="D322" s="19">
        <f>IF(PaymentSchedule[[#This Row],[PMT NO]]&lt;&gt;"",IF(ROW()-ROW(PaymentSchedule[[#Headers],[BEGINNING BALANCE]])=1,LoanAmount,INDEX(PaymentSchedule[ENDING BALANCE],ROW()-ROW(PaymentSchedule[[#Headers],[BEGINNING BALANCE]])-1)),"")</f>
        <v>1060461.2976888788</v>
      </c>
      <c r="E322" s="19">
        <f>IF(PaymentSchedule[[#This Row],[PMT NO]]&lt;&gt;"",ScheduledPayment,"")</f>
        <v>8050.5201209471252</v>
      </c>
      <c r="F32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22" s="19">
        <f>IF(PaymentSchedule[[#This Row],[PMT NO]]&lt;&gt;"",PaymentSchedule[[#This Row],[TOTAL PAYMENT]]-PaymentSchedule[[#This Row],[INTEREST]],"")</f>
        <v>4736.5785656693788</v>
      </c>
      <c r="I322" s="19">
        <f>IF(PaymentSchedule[[#This Row],[PMT NO]]&lt;&gt;"",PaymentSchedule[[#This Row],[BEGINNING BALANCE]]*(InterestRate/PaymentsPerYear),"")</f>
        <v>3313.9415552777459</v>
      </c>
      <c r="J32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1055724.7191232094</v>
      </c>
      <c r="K322" s="19">
        <f>IF(PaymentSchedule[[#This Row],[PMT NO]]&lt;&gt;"",SUM(INDEX(PaymentSchedule[INTEREST],1,1):PaymentSchedule[[#This Row],[INTEREST]]),"")</f>
        <v>1559436.4767377644</v>
      </c>
    </row>
    <row r="323" spans="2:11" x14ac:dyDescent="0.3">
      <c r="B323" s="21">
        <f>IF(LoanIsGood,IF(ROW()-ROW(PaymentSchedule[[#Headers],[PMT NO]])&gt;ScheduledNumberOfPayments,"",ROW()-ROW(PaymentSchedule[[#Headers],[PMT NO]])),"")</f>
        <v>312</v>
      </c>
      <c r="C323" s="20">
        <f>IF(PaymentSchedule[[#This Row],[PMT NO]]&lt;&gt;"",EOMONTH(LoanStartDate,ROW(PaymentSchedule[[#This Row],[PMT NO]])-ROW(PaymentSchedule[[#Headers],[PMT NO]])-2)+DAY(LoanStartDate),"")</f>
        <v>53114</v>
      </c>
      <c r="D323" s="19">
        <f>IF(PaymentSchedule[[#This Row],[PMT NO]]&lt;&gt;"",IF(ROW()-ROW(PaymentSchedule[[#Headers],[BEGINNING BALANCE]])=1,LoanAmount,INDEX(PaymentSchedule[ENDING BALANCE],ROW()-ROW(PaymentSchedule[[#Headers],[BEGINNING BALANCE]])-1)),"")</f>
        <v>1055724.7191232094</v>
      </c>
      <c r="E323" s="19">
        <f>IF(PaymentSchedule[[#This Row],[PMT NO]]&lt;&gt;"",ScheduledPayment,"")</f>
        <v>8050.5201209471252</v>
      </c>
      <c r="F32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23" s="19">
        <f>IF(PaymentSchedule[[#This Row],[PMT NO]]&lt;&gt;"",PaymentSchedule[[#This Row],[TOTAL PAYMENT]]-PaymentSchedule[[#This Row],[INTEREST]],"")</f>
        <v>4751.3803736870959</v>
      </c>
      <c r="I323" s="19">
        <f>IF(PaymentSchedule[[#This Row],[PMT NO]]&lt;&gt;"",PaymentSchedule[[#This Row],[BEGINNING BALANCE]]*(InterestRate/PaymentsPerYear),"")</f>
        <v>3299.1397472600288</v>
      </c>
      <c r="J32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1050973.3387495223</v>
      </c>
      <c r="K323" s="19">
        <f>IF(PaymentSchedule[[#This Row],[PMT NO]]&lt;&gt;"",SUM(INDEX(PaymentSchedule[INTEREST],1,1):PaymentSchedule[[#This Row],[INTEREST]]),"")</f>
        <v>1562735.6164850246</v>
      </c>
    </row>
    <row r="324" spans="2:11" x14ac:dyDescent="0.3">
      <c r="B324" s="21">
        <f>IF(LoanIsGood,IF(ROW()-ROW(PaymentSchedule[[#Headers],[PMT NO]])&gt;ScheduledNumberOfPayments,"",ROW()-ROW(PaymentSchedule[[#Headers],[PMT NO]])),"")</f>
        <v>313</v>
      </c>
      <c r="C324" s="20">
        <f>IF(PaymentSchedule[[#This Row],[PMT NO]]&lt;&gt;"",EOMONTH(LoanStartDate,ROW(PaymentSchedule[[#This Row],[PMT NO]])-ROW(PaymentSchedule[[#Headers],[PMT NO]])-2)+DAY(LoanStartDate),"")</f>
        <v>53144</v>
      </c>
      <c r="D324" s="19">
        <f>IF(PaymentSchedule[[#This Row],[PMT NO]]&lt;&gt;"",IF(ROW()-ROW(PaymentSchedule[[#Headers],[BEGINNING BALANCE]])=1,LoanAmount,INDEX(PaymentSchedule[ENDING BALANCE],ROW()-ROW(PaymentSchedule[[#Headers],[BEGINNING BALANCE]])-1)),"")</f>
        <v>1050973.3387495223</v>
      </c>
      <c r="E324" s="19">
        <f>IF(PaymentSchedule[[#This Row],[PMT NO]]&lt;&gt;"",ScheduledPayment,"")</f>
        <v>8050.5201209471252</v>
      </c>
      <c r="F32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24" s="19">
        <f>IF(PaymentSchedule[[#This Row],[PMT NO]]&lt;&gt;"",PaymentSchedule[[#This Row],[TOTAL PAYMENT]]-PaymentSchedule[[#This Row],[INTEREST]],"")</f>
        <v>4766.2284373548682</v>
      </c>
      <c r="I324" s="19">
        <f>IF(PaymentSchedule[[#This Row],[PMT NO]]&lt;&gt;"",PaymentSchedule[[#This Row],[BEGINNING BALANCE]]*(InterestRate/PaymentsPerYear),"")</f>
        <v>3284.291683592257</v>
      </c>
      <c r="J32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1046207.1103121674</v>
      </c>
      <c r="K324" s="19">
        <f>IF(PaymentSchedule[[#This Row],[PMT NO]]&lt;&gt;"",SUM(INDEX(PaymentSchedule[INTEREST],1,1):PaymentSchedule[[#This Row],[INTEREST]]),"")</f>
        <v>1566019.9081686169</v>
      </c>
    </row>
    <row r="325" spans="2:11" x14ac:dyDescent="0.3">
      <c r="B325" s="21">
        <f>IF(LoanIsGood,IF(ROW()-ROW(PaymentSchedule[[#Headers],[PMT NO]])&gt;ScheduledNumberOfPayments,"",ROW()-ROW(PaymentSchedule[[#Headers],[PMT NO]])),"")</f>
        <v>314</v>
      </c>
      <c r="C325" s="20">
        <f>IF(PaymentSchedule[[#This Row],[PMT NO]]&lt;&gt;"",EOMONTH(LoanStartDate,ROW(PaymentSchedule[[#This Row],[PMT NO]])-ROW(PaymentSchedule[[#Headers],[PMT NO]])-2)+DAY(LoanStartDate),"")</f>
        <v>53175</v>
      </c>
      <c r="D325" s="19">
        <f>IF(PaymentSchedule[[#This Row],[PMT NO]]&lt;&gt;"",IF(ROW()-ROW(PaymentSchedule[[#Headers],[BEGINNING BALANCE]])=1,LoanAmount,INDEX(PaymentSchedule[ENDING BALANCE],ROW()-ROW(PaymentSchedule[[#Headers],[BEGINNING BALANCE]])-1)),"")</f>
        <v>1046207.1103121674</v>
      </c>
      <c r="E325" s="19">
        <f>IF(PaymentSchedule[[#This Row],[PMT NO]]&lt;&gt;"",ScheduledPayment,"")</f>
        <v>8050.5201209471252</v>
      </c>
      <c r="F32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25" s="19">
        <f>IF(PaymentSchedule[[#This Row],[PMT NO]]&lt;&gt;"",PaymentSchedule[[#This Row],[TOTAL PAYMENT]]-PaymentSchedule[[#This Row],[INTEREST]],"")</f>
        <v>4781.1229012216027</v>
      </c>
      <c r="I325" s="19">
        <f>IF(PaymentSchedule[[#This Row],[PMT NO]]&lt;&gt;"",PaymentSchedule[[#This Row],[BEGINNING BALANCE]]*(InterestRate/PaymentsPerYear),"")</f>
        <v>3269.397219725523</v>
      </c>
      <c r="J32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1041425.9874109458</v>
      </c>
      <c r="K325" s="19">
        <f>IF(PaymentSchedule[[#This Row],[PMT NO]]&lt;&gt;"",SUM(INDEX(PaymentSchedule[INTEREST],1,1):PaymentSchedule[[#This Row],[INTEREST]]),"")</f>
        <v>1569289.3053883424</v>
      </c>
    </row>
    <row r="326" spans="2:11" x14ac:dyDescent="0.3">
      <c r="B326" s="21">
        <f>IF(LoanIsGood,IF(ROW()-ROW(PaymentSchedule[[#Headers],[PMT NO]])&gt;ScheduledNumberOfPayments,"",ROW()-ROW(PaymentSchedule[[#Headers],[PMT NO]])),"")</f>
        <v>315</v>
      </c>
      <c r="C326" s="20">
        <f>IF(PaymentSchedule[[#This Row],[PMT NO]]&lt;&gt;"",EOMONTH(LoanStartDate,ROW(PaymentSchedule[[#This Row],[PMT NO]])-ROW(PaymentSchedule[[#Headers],[PMT NO]])-2)+DAY(LoanStartDate),"")</f>
        <v>53206</v>
      </c>
      <c r="D326" s="19">
        <f>IF(PaymentSchedule[[#This Row],[PMT NO]]&lt;&gt;"",IF(ROW()-ROW(PaymentSchedule[[#Headers],[BEGINNING BALANCE]])=1,LoanAmount,INDEX(PaymentSchedule[ENDING BALANCE],ROW()-ROW(PaymentSchedule[[#Headers],[BEGINNING BALANCE]])-1)),"")</f>
        <v>1041425.9874109458</v>
      </c>
      <c r="E326" s="19">
        <f>IF(PaymentSchedule[[#This Row],[PMT NO]]&lt;&gt;"",ScheduledPayment,"")</f>
        <v>8050.5201209471252</v>
      </c>
      <c r="F32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26" s="19">
        <f>IF(PaymentSchedule[[#This Row],[PMT NO]]&lt;&gt;"",PaymentSchedule[[#This Row],[TOTAL PAYMENT]]-PaymentSchedule[[#This Row],[INTEREST]],"")</f>
        <v>4796.0639102879195</v>
      </c>
      <c r="I326" s="19">
        <f>IF(PaymentSchedule[[#This Row],[PMT NO]]&lt;&gt;"",PaymentSchedule[[#This Row],[BEGINNING BALANCE]]*(InterestRate/PaymentsPerYear),"")</f>
        <v>3254.4562106592052</v>
      </c>
      <c r="J32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1036629.9235006579</v>
      </c>
      <c r="K326" s="19">
        <f>IF(PaymentSchedule[[#This Row],[PMT NO]]&lt;&gt;"",SUM(INDEX(PaymentSchedule[INTEREST],1,1):PaymentSchedule[[#This Row],[INTEREST]]),"")</f>
        <v>1572543.7615990015</v>
      </c>
    </row>
    <row r="327" spans="2:11" x14ac:dyDescent="0.3">
      <c r="B327" s="21">
        <f>IF(LoanIsGood,IF(ROW()-ROW(PaymentSchedule[[#Headers],[PMT NO]])&gt;ScheduledNumberOfPayments,"",ROW()-ROW(PaymentSchedule[[#Headers],[PMT NO]])),"")</f>
        <v>316</v>
      </c>
      <c r="C327" s="20">
        <f>IF(PaymentSchedule[[#This Row],[PMT NO]]&lt;&gt;"",EOMONTH(LoanStartDate,ROW(PaymentSchedule[[#This Row],[PMT NO]])-ROW(PaymentSchedule[[#Headers],[PMT NO]])-2)+DAY(LoanStartDate),"")</f>
        <v>53236</v>
      </c>
      <c r="D327" s="19">
        <f>IF(PaymentSchedule[[#This Row],[PMT NO]]&lt;&gt;"",IF(ROW()-ROW(PaymentSchedule[[#Headers],[BEGINNING BALANCE]])=1,LoanAmount,INDEX(PaymentSchedule[ENDING BALANCE],ROW()-ROW(PaymentSchedule[[#Headers],[BEGINNING BALANCE]])-1)),"")</f>
        <v>1036629.9235006579</v>
      </c>
      <c r="E327" s="19">
        <f>IF(PaymentSchedule[[#This Row],[PMT NO]]&lt;&gt;"",ScheduledPayment,"")</f>
        <v>8050.5201209471252</v>
      </c>
      <c r="F32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27" s="19">
        <f>IF(PaymentSchedule[[#This Row],[PMT NO]]&lt;&gt;"",PaymentSchedule[[#This Row],[TOTAL PAYMENT]]-PaymentSchedule[[#This Row],[INTEREST]],"")</f>
        <v>4811.0516100075693</v>
      </c>
      <c r="I327" s="19">
        <f>IF(PaymentSchedule[[#This Row],[PMT NO]]&lt;&gt;"",PaymentSchedule[[#This Row],[BEGINNING BALANCE]]*(InterestRate/PaymentsPerYear),"")</f>
        <v>3239.4685109395555</v>
      </c>
      <c r="J32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1031818.8718906504</v>
      </c>
      <c r="K327" s="19">
        <f>IF(PaymentSchedule[[#This Row],[PMT NO]]&lt;&gt;"",SUM(INDEX(PaymentSchedule[INTEREST],1,1):PaymentSchedule[[#This Row],[INTEREST]]),"")</f>
        <v>1575783.230109941</v>
      </c>
    </row>
    <row r="328" spans="2:11" x14ac:dyDescent="0.3">
      <c r="B328" s="21">
        <f>IF(LoanIsGood,IF(ROW()-ROW(PaymentSchedule[[#Headers],[PMT NO]])&gt;ScheduledNumberOfPayments,"",ROW()-ROW(PaymentSchedule[[#Headers],[PMT NO]])),"")</f>
        <v>317</v>
      </c>
      <c r="C328" s="20">
        <f>IF(PaymentSchedule[[#This Row],[PMT NO]]&lt;&gt;"",EOMONTH(LoanStartDate,ROW(PaymentSchedule[[#This Row],[PMT NO]])-ROW(PaymentSchedule[[#Headers],[PMT NO]])-2)+DAY(LoanStartDate),"")</f>
        <v>53267</v>
      </c>
      <c r="D328" s="19">
        <f>IF(PaymentSchedule[[#This Row],[PMT NO]]&lt;&gt;"",IF(ROW()-ROW(PaymentSchedule[[#Headers],[BEGINNING BALANCE]])=1,LoanAmount,INDEX(PaymentSchedule[ENDING BALANCE],ROW()-ROW(PaymentSchedule[[#Headers],[BEGINNING BALANCE]])-1)),"")</f>
        <v>1031818.8718906504</v>
      </c>
      <c r="E328" s="19">
        <f>IF(PaymentSchedule[[#This Row],[PMT NO]]&lt;&gt;"",ScheduledPayment,"")</f>
        <v>8050.5201209471252</v>
      </c>
      <c r="F32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28" s="19">
        <f>IF(PaymentSchedule[[#This Row],[PMT NO]]&lt;&gt;"",PaymentSchedule[[#This Row],[TOTAL PAYMENT]]-PaymentSchedule[[#This Row],[INTEREST]],"")</f>
        <v>4826.0861462888424</v>
      </c>
      <c r="I328" s="19">
        <f>IF(PaymentSchedule[[#This Row],[PMT NO]]&lt;&gt;"",PaymentSchedule[[#This Row],[BEGINNING BALANCE]]*(InterestRate/PaymentsPerYear),"")</f>
        <v>3224.4339746582823</v>
      </c>
      <c r="J32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1026992.7857443616</v>
      </c>
      <c r="K328" s="19">
        <f>IF(PaymentSchedule[[#This Row],[PMT NO]]&lt;&gt;"",SUM(INDEX(PaymentSchedule[INTEREST],1,1):PaymentSchedule[[#This Row],[INTEREST]]),"")</f>
        <v>1579007.6640845994</v>
      </c>
    </row>
    <row r="329" spans="2:11" x14ac:dyDescent="0.3">
      <c r="B329" s="21">
        <f>IF(LoanIsGood,IF(ROW()-ROW(PaymentSchedule[[#Headers],[PMT NO]])&gt;ScheduledNumberOfPayments,"",ROW()-ROW(PaymentSchedule[[#Headers],[PMT NO]])),"")</f>
        <v>318</v>
      </c>
      <c r="C329" s="20">
        <f>IF(PaymentSchedule[[#This Row],[PMT NO]]&lt;&gt;"",EOMONTH(LoanStartDate,ROW(PaymentSchedule[[#This Row],[PMT NO]])-ROW(PaymentSchedule[[#Headers],[PMT NO]])-2)+DAY(LoanStartDate),"")</f>
        <v>53297</v>
      </c>
      <c r="D329" s="19">
        <f>IF(PaymentSchedule[[#This Row],[PMT NO]]&lt;&gt;"",IF(ROW()-ROW(PaymentSchedule[[#Headers],[BEGINNING BALANCE]])=1,LoanAmount,INDEX(PaymentSchedule[ENDING BALANCE],ROW()-ROW(PaymentSchedule[[#Headers],[BEGINNING BALANCE]])-1)),"")</f>
        <v>1026992.7857443616</v>
      </c>
      <c r="E329" s="19">
        <f>IF(PaymentSchedule[[#This Row],[PMT NO]]&lt;&gt;"",ScheduledPayment,"")</f>
        <v>8050.5201209471252</v>
      </c>
      <c r="F32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29" s="19">
        <f>IF(PaymentSchedule[[#This Row],[PMT NO]]&lt;&gt;"",PaymentSchedule[[#This Row],[TOTAL PAYMENT]]-PaymentSchedule[[#This Row],[INTEREST]],"")</f>
        <v>4841.1676654959956</v>
      </c>
      <c r="I329" s="19">
        <f>IF(PaymentSchedule[[#This Row],[PMT NO]]&lt;&gt;"",PaymentSchedule[[#This Row],[BEGINNING BALANCE]]*(InterestRate/PaymentsPerYear),"")</f>
        <v>3209.3524554511296</v>
      </c>
      <c r="J32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1022151.6180788656</v>
      </c>
      <c r="K329" s="19">
        <f>IF(PaymentSchedule[[#This Row],[PMT NO]]&lt;&gt;"",SUM(INDEX(PaymentSchedule[INTEREST],1,1):PaymentSchedule[[#This Row],[INTEREST]]),"")</f>
        <v>1582217.0165400505</v>
      </c>
    </row>
    <row r="330" spans="2:11" x14ac:dyDescent="0.3">
      <c r="B330" s="21">
        <f>IF(LoanIsGood,IF(ROW()-ROW(PaymentSchedule[[#Headers],[PMT NO]])&gt;ScheduledNumberOfPayments,"",ROW()-ROW(PaymentSchedule[[#Headers],[PMT NO]])),"")</f>
        <v>319</v>
      </c>
      <c r="C330" s="20">
        <f>IF(PaymentSchedule[[#This Row],[PMT NO]]&lt;&gt;"",EOMONTH(LoanStartDate,ROW(PaymentSchedule[[#This Row],[PMT NO]])-ROW(PaymentSchedule[[#Headers],[PMT NO]])-2)+DAY(LoanStartDate),"")</f>
        <v>53328</v>
      </c>
      <c r="D330" s="19">
        <f>IF(PaymentSchedule[[#This Row],[PMT NO]]&lt;&gt;"",IF(ROW()-ROW(PaymentSchedule[[#Headers],[BEGINNING BALANCE]])=1,LoanAmount,INDEX(PaymentSchedule[ENDING BALANCE],ROW()-ROW(PaymentSchedule[[#Headers],[BEGINNING BALANCE]])-1)),"")</f>
        <v>1022151.6180788656</v>
      </c>
      <c r="E330" s="19">
        <f>IF(PaymentSchedule[[#This Row],[PMT NO]]&lt;&gt;"",ScheduledPayment,"")</f>
        <v>8050.5201209471252</v>
      </c>
      <c r="F33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30" s="19">
        <f>IF(PaymentSchedule[[#This Row],[PMT NO]]&lt;&gt;"",PaymentSchedule[[#This Row],[TOTAL PAYMENT]]-PaymentSchedule[[#This Row],[INTEREST]],"")</f>
        <v>4856.2963144506703</v>
      </c>
      <c r="I330" s="19">
        <f>IF(PaymentSchedule[[#This Row],[PMT NO]]&lt;&gt;"",PaymentSchedule[[#This Row],[BEGINNING BALANCE]]*(InterestRate/PaymentsPerYear),"")</f>
        <v>3194.2238064964545</v>
      </c>
      <c r="J33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1017295.3217644149</v>
      </c>
      <c r="K330" s="19">
        <f>IF(PaymentSchedule[[#This Row],[PMT NO]]&lt;&gt;"",SUM(INDEX(PaymentSchedule[INTEREST],1,1):PaymentSchedule[[#This Row],[INTEREST]]),"")</f>
        <v>1585411.240346547</v>
      </c>
    </row>
    <row r="331" spans="2:11" x14ac:dyDescent="0.3">
      <c r="B331" s="21">
        <f>IF(LoanIsGood,IF(ROW()-ROW(PaymentSchedule[[#Headers],[PMT NO]])&gt;ScheduledNumberOfPayments,"",ROW()-ROW(PaymentSchedule[[#Headers],[PMT NO]])),"")</f>
        <v>320</v>
      </c>
      <c r="C331" s="20">
        <f>IF(PaymentSchedule[[#This Row],[PMT NO]]&lt;&gt;"",EOMONTH(LoanStartDate,ROW(PaymentSchedule[[#This Row],[PMT NO]])-ROW(PaymentSchedule[[#Headers],[PMT NO]])-2)+DAY(LoanStartDate),"")</f>
        <v>53359</v>
      </c>
      <c r="D331" s="19">
        <f>IF(PaymentSchedule[[#This Row],[PMT NO]]&lt;&gt;"",IF(ROW()-ROW(PaymentSchedule[[#Headers],[BEGINNING BALANCE]])=1,LoanAmount,INDEX(PaymentSchedule[ENDING BALANCE],ROW()-ROW(PaymentSchedule[[#Headers],[BEGINNING BALANCE]])-1)),"")</f>
        <v>1017295.3217644149</v>
      </c>
      <c r="E331" s="19">
        <f>IF(PaymentSchedule[[#This Row],[PMT NO]]&lt;&gt;"",ScheduledPayment,"")</f>
        <v>8050.5201209471252</v>
      </c>
      <c r="F33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31" s="19">
        <f>IF(PaymentSchedule[[#This Row],[PMT NO]]&lt;&gt;"",PaymentSchedule[[#This Row],[TOTAL PAYMENT]]-PaymentSchedule[[#This Row],[INTEREST]],"")</f>
        <v>4871.4722404333288</v>
      </c>
      <c r="I331" s="19">
        <f>IF(PaymentSchedule[[#This Row],[PMT NO]]&lt;&gt;"",PaymentSchedule[[#This Row],[BEGINNING BALANCE]]*(InterestRate/PaymentsPerYear),"")</f>
        <v>3179.0478805137964</v>
      </c>
      <c r="J33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1012423.8495239816</v>
      </c>
      <c r="K331" s="19">
        <f>IF(PaymentSchedule[[#This Row],[PMT NO]]&lt;&gt;"",SUM(INDEX(PaymentSchedule[INTEREST],1,1):PaymentSchedule[[#This Row],[INTEREST]]),"")</f>
        <v>1588590.2882270608</v>
      </c>
    </row>
    <row r="332" spans="2:11" x14ac:dyDescent="0.3">
      <c r="B332" s="21">
        <f>IF(LoanIsGood,IF(ROW()-ROW(PaymentSchedule[[#Headers],[PMT NO]])&gt;ScheduledNumberOfPayments,"",ROW()-ROW(PaymentSchedule[[#Headers],[PMT NO]])),"")</f>
        <v>321</v>
      </c>
      <c r="C332" s="20">
        <f>IF(PaymentSchedule[[#This Row],[PMT NO]]&lt;&gt;"",EOMONTH(LoanStartDate,ROW(PaymentSchedule[[#This Row],[PMT NO]])-ROW(PaymentSchedule[[#Headers],[PMT NO]])-2)+DAY(LoanStartDate),"")</f>
        <v>53387</v>
      </c>
      <c r="D332" s="19">
        <f>IF(PaymentSchedule[[#This Row],[PMT NO]]&lt;&gt;"",IF(ROW()-ROW(PaymentSchedule[[#Headers],[BEGINNING BALANCE]])=1,LoanAmount,INDEX(PaymentSchedule[ENDING BALANCE],ROW()-ROW(PaymentSchedule[[#Headers],[BEGINNING BALANCE]])-1)),"")</f>
        <v>1012423.8495239816</v>
      </c>
      <c r="E332" s="19">
        <f>IF(PaymentSchedule[[#This Row],[PMT NO]]&lt;&gt;"",ScheduledPayment,"")</f>
        <v>8050.5201209471252</v>
      </c>
      <c r="F33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32" s="19">
        <f>IF(PaymentSchedule[[#This Row],[PMT NO]]&lt;&gt;"",PaymentSchedule[[#This Row],[TOTAL PAYMENT]]-PaymentSchedule[[#This Row],[INTEREST]],"")</f>
        <v>4886.6955911846835</v>
      </c>
      <c r="I332" s="19">
        <f>IF(PaymentSchedule[[#This Row],[PMT NO]]&lt;&gt;"",PaymentSchedule[[#This Row],[BEGINNING BALANCE]]*(InterestRate/PaymentsPerYear),"")</f>
        <v>3163.8245297624421</v>
      </c>
      <c r="J33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1007537.1539327969</v>
      </c>
      <c r="K332" s="19">
        <f>IF(PaymentSchedule[[#This Row],[PMT NO]]&lt;&gt;"",SUM(INDEX(PaymentSchedule[INTEREST],1,1):PaymentSchedule[[#This Row],[INTEREST]]),"")</f>
        <v>1591754.1127568232</v>
      </c>
    </row>
    <row r="333" spans="2:11" x14ac:dyDescent="0.3">
      <c r="B333" s="21">
        <f>IF(LoanIsGood,IF(ROW()-ROW(PaymentSchedule[[#Headers],[PMT NO]])&gt;ScheduledNumberOfPayments,"",ROW()-ROW(PaymentSchedule[[#Headers],[PMT NO]])),"")</f>
        <v>322</v>
      </c>
      <c r="C333" s="20">
        <f>IF(PaymentSchedule[[#This Row],[PMT NO]]&lt;&gt;"",EOMONTH(LoanStartDate,ROW(PaymentSchedule[[#This Row],[PMT NO]])-ROW(PaymentSchedule[[#Headers],[PMT NO]])-2)+DAY(LoanStartDate),"")</f>
        <v>53418</v>
      </c>
      <c r="D333" s="19">
        <f>IF(PaymentSchedule[[#This Row],[PMT NO]]&lt;&gt;"",IF(ROW()-ROW(PaymentSchedule[[#Headers],[BEGINNING BALANCE]])=1,LoanAmount,INDEX(PaymentSchedule[ENDING BALANCE],ROW()-ROW(PaymentSchedule[[#Headers],[BEGINNING BALANCE]])-1)),"")</f>
        <v>1007537.1539327969</v>
      </c>
      <c r="E333" s="19">
        <f>IF(PaymentSchedule[[#This Row],[PMT NO]]&lt;&gt;"",ScheduledPayment,"")</f>
        <v>8050.5201209471252</v>
      </c>
      <c r="F33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33" s="19">
        <f>IF(PaymentSchedule[[#This Row],[PMT NO]]&lt;&gt;"",PaymentSchedule[[#This Row],[TOTAL PAYMENT]]-PaymentSchedule[[#This Row],[INTEREST]],"")</f>
        <v>4901.9665149071352</v>
      </c>
      <c r="I333" s="19">
        <f>IF(PaymentSchedule[[#This Row],[PMT NO]]&lt;&gt;"",PaymentSchedule[[#This Row],[BEGINNING BALANCE]]*(InterestRate/PaymentsPerYear),"")</f>
        <v>3148.55360603999</v>
      </c>
      <c r="J33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1002635.1874178898</v>
      </c>
      <c r="K333" s="19">
        <f>IF(PaymentSchedule[[#This Row],[PMT NO]]&lt;&gt;"",SUM(INDEX(PaymentSchedule[INTEREST],1,1):PaymentSchedule[[#This Row],[INTEREST]]),"")</f>
        <v>1594902.6663628633</v>
      </c>
    </row>
    <row r="334" spans="2:11" x14ac:dyDescent="0.3">
      <c r="B334" s="21">
        <f>IF(LoanIsGood,IF(ROW()-ROW(PaymentSchedule[[#Headers],[PMT NO]])&gt;ScheduledNumberOfPayments,"",ROW()-ROW(PaymentSchedule[[#Headers],[PMT NO]])),"")</f>
        <v>323</v>
      </c>
      <c r="C334" s="20">
        <f>IF(PaymentSchedule[[#This Row],[PMT NO]]&lt;&gt;"",EOMONTH(LoanStartDate,ROW(PaymentSchedule[[#This Row],[PMT NO]])-ROW(PaymentSchedule[[#Headers],[PMT NO]])-2)+DAY(LoanStartDate),"")</f>
        <v>53448</v>
      </c>
      <c r="D334" s="19">
        <f>IF(PaymentSchedule[[#This Row],[PMT NO]]&lt;&gt;"",IF(ROW()-ROW(PaymentSchedule[[#Headers],[BEGINNING BALANCE]])=1,LoanAmount,INDEX(PaymentSchedule[ENDING BALANCE],ROW()-ROW(PaymentSchedule[[#Headers],[BEGINNING BALANCE]])-1)),"")</f>
        <v>1002635.1874178898</v>
      </c>
      <c r="E334" s="19">
        <f>IF(PaymentSchedule[[#This Row],[PMT NO]]&lt;&gt;"",ScheduledPayment,"")</f>
        <v>8050.5201209471252</v>
      </c>
      <c r="F33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34" s="19">
        <f>IF(PaymentSchedule[[#This Row],[PMT NO]]&lt;&gt;"",PaymentSchedule[[#This Row],[TOTAL PAYMENT]]-PaymentSchedule[[#This Row],[INTEREST]],"")</f>
        <v>4917.2851602662195</v>
      </c>
      <c r="I334" s="19">
        <f>IF(PaymentSchedule[[#This Row],[PMT NO]]&lt;&gt;"",PaymentSchedule[[#This Row],[BEGINNING BALANCE]]*(InterestRate/PaymentsPerYear),"")</f>
        <v>3133.2349606809053</v>
      </c>
      <c r="J33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997717.90225762362</v>
      </c>
      <c r="K334" s="19">
        <f>IF(PaymentSchedule[[#This Row],[PMT NO]]&lt;&gt;"",SUM(INDEX(PaymentSchedule[INTEREST],1,1):PaymentSchedule[[#This Row],[INTEREST]]),"")</f>
        <v>1598035.9013235441</v>
      </c>
    </row>
    <row r="335" spans="2:11" x14ac:dyDescent="0.3">
      <c r="B335" s="21">
        <f>IF(LoanIsGood,IF(ROW()-ROW(PaymentSchedule[[#Headers],[PMT NO]])&gt;ScheduledNumberOfPayments,"",ROW()-ROW(PaymentSchedule[[#Headers],[PMT NO]])),"")</f>
        <v>324</v>
      </c>
      <c r="C335" s="20">
        <f>IF(PaymentSchedule[[#This Row],[PMT NO]]&lt;&gt;"",EOMONTH(LoanStartDate,ROW(PaymentSchedule[[#This Row],[PMT NO]])-ROW(PaymentSchedule[[#Headers],[PMT NO]])-2)+DAY(LoanStartDate),"")</f>
        <v>53479</v>
      </c>
      <c r="D335" s="19">
        <f>IF(PaymentSchedule[[#This Row],[PMT NO]]&lt;&gt;"",IF(ROW()-ROW(PaymentSchedule[[#Headers],[BEGINNING BALANCE]])=1,LoanAmount,INDEX(PaymentSchedule[ENDING BALANCE],ROW()-ROW(PaymentSchedule[[#Headers],[BEGINNING BALANCE]])-1)),"")</f>
        <v>997717.90225762362</v>
      </c>
      <c r="E335" s="19">
        <f>IF(PaymentSchedule[[#This Row],[PMT NO]]&lt;&gt;"",ScheduledPayment,"")</f>
        <v>8050.5201209471252</v>
      </c>
      <c r="F33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35" s="19">
        <f>IF(PaymentSchedule[[#This Row],[PMT NO]]&lt;&gt;"",PaymentSchedule[[#This Row],[TOTAL PAYMENT]]-PaymentSchedule[[#This Row],[INTEREST]],"")</f>
        <v>4932.6516763920517</v>
      </c>
      <c r="I335" s="19">
        <f>IF(PaymentSchedule[[#This Row],[PMT NO]]&lt;&gt;"",PaymentSchedule[[#This Row],[BEGINNING BALANCE]]*(InterestRate/PaymentsPerYear),"")</f>
        <v>3117.8684445550734</v>
      </c>
      <c r="J33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992785.25058123155</v>
      </c>
      <c r="K335" s="19">
        <f>IF(PaymentSchedule[[#This Row],[PMT NO]]&lt;&gt;"",SUM(INDEX(PaymentSchedule[INTEREST],1,1):PaymentSchedule[[#This Row],[INTEREST]]),"")</f>
        <v>1601153.7697680991</v>
      </c>
    </row>
    <row r="336" spans="2:11" x14ac:dyDescent="0.3">
      <c r="B336" s="21">
        <f>IF(LoanIsGood,IF(ROW()-ROW(PaymentSchedule[[#Headers],[PMT NO]])&gt;ScheduledNumberOfPayments,"",ROW()-ROW(PaymentSchedule[[#Headers],[PMT NO]])),"")</f>
        <v>325</v>
      </c>
      <c r="C336" s="20">
        <f>IF(PaymentSchedule[[#This Row],[PMT NO]]&lt;&gt;"",EOMONTH(LoanStartDate,ROW(PaymentSchedule[[#This Row],[PMT NO]])-ROW(PaymentSchedule[[#Headers],[PMT NO]])-2)+DAY(LoanStartDate),"")</f>
        <v>53509</v>
      </c>
      <c r="D336" s="19">
        <f>IF(PaymentSchedule[[#This Row],[PMT NO]]&lt;&gt;"",IF(ROW()-ROW(PaymentSchedule[[#Headers],[BEGINNING BALANCE]])=1,LoanAmount,INDEX(PaymentSchedule[ENDING BALANCE],ROW()-ROW(PaymentSchedule[[#Headers],[BEGINNING BALANCE]])-1)),"")</f>
        <v>992785.25058123155</v>
      </c>
      <c r="E336" s="19">
        <f>IF(PaymentSchedule[[#This Row],[PMT NO]]&lt;&gt;"",ScheduledPayment,"")</f>
        <v>8050.5201209471252</v>
      </c>
      <c r="F33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36" s="19">
        <f>IF(PaymentSchedule[[#This Row],[PMT NO]]&lt;&gt;"",PaymentSchedule[[#This Row],[TOTAL PAYMENT]]-PaymentSchedule[[#This Row],[INTEREST]],"")</f>
        <v>4948.0662128807762</v>
      </c>
      <c r="I336" s="19">
        <f>IF(PaymentSchedule[[#This Row],[PMT NO]]&lt;&gt;"",PaymentSchedule[[#This Row],[BEGINNING BALANCE]]*(InterestRate/PaymentsPerYear),"")</f>
        <v>3102.4539080663485</v>
      </c>
      <c r="J33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987837.18436835078</v>
      </c>
      <c r="K336" s="19">
        <f>IF(PaymentSchedule[[#This Row],[PMT NO]]&lt;&gt;"",SUM(INDEX(PaymentSchedule[INTEREST],1,1):PaymentSchedule[[#This Row],[INTEREST]]),"")</f>
        <v>1604256.2236761653</v>
      </c>
    </row>
    <row r="337" spans="2:11" x14ac:dyDescent="0.3">
      <c r="B337" s="21">
        <f>IF(LoanIsGood,IF(ROW()-ROW(PaymentSchedule[[#Headers],[PMT NO]])&gt;ScheduledNumberOfPayments,"",ROW()-ROW(PaymentSchedule[[#Headers],[PMT NO]])),"")</f>
        <v>326</v>
      </c>
      <c r="C337" s="20">
        <f>IF(PaymentSchedule[[#This Row],[PMT NO]]&lt;&gt;"",EOMONTH(LoanStartDate,ROW(PaymentSchedule[[#This Row],[PMT NO]])-ROW(PaymentSchedule[[#Headers],[PMT NO]])-2)+DAY(LoanStartDate),"")</f>
        <v>53540</v>
      </c>
      <c r="D337" s="19">
        <f>IF(PaymentSchedule[[#This Row],[PMT NO]]&lt;&gt;"",IF(ROW()-ROW(PaymentSchedule[[#Headers],[BEGINNING BALANCE]])=1,LoanAmount,INDEX(PaymentSchedule[ENDING BALANCE],ROW()-ROW(PaymentSchedule[[#Headers],[BEGINNING BALANCE]])-1)),"")</f>
        <v>987837.18436835078</v>
      </c>
      <c r="E337" s="19">
        <f>IF(PaymentSchedule[[#This Row],[PMT NO]]&lt;&gt;"",ScheduledPayment,"")</f>
        <v>8050.5201209471252</v>
      </c>
      <c r="F33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37" s="19">
        <f>IF(PaymentSchedule[[#This Row],[PMT NO]]&lt;&gt;"",PaymentSchedule[[#This Row],[TOTAL PAYMENT]]-PaymentSchedule[[#This Row],[INTEREST]],"")</f>
        <v>4963.5289197960292</v>
      </c>
      <c r="I337" s="19">
        <f>IF(PaymentSchedule[[#This Row],[PMT NO]]&lt;&gt;"",PaymentSchedule[[#This Row],[BEGINNING BALANCE]]*(InterestRate/PaymentsPerYear),"")</f>
        <v>3086.991201151096</v>
      </c>
      <c r="J33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982873.65544855478</v>
      </c>
      <c r="K337" s="19">
        <f>IF(PaymentSchedule[[#This Row],[PMT NO]]&lt;&gt;"",SUM(INDEX(PaymentSchedule[INTEREST],1,1):PaymentSchedule[[#This Row],[INTEREST]]),"")</f>
        <v>1607343.2148773165</v>
      </c>
    </row>
    <row r="338" spans="2:11" x14ac:dyDescent="0.3">
      <c r="B338" s="21">
        <f>IF(LoanIsGood,IF(ROW()-ROW(PaymentSchedule[[#Headers],[PMT NO]])&gt;ScheduledNumberOfPayments,"",ROW()-ROW(PaymentSchedule[[#Headers],[PMT NO]])),"")</f>
        <v>327</v>
      </c>
      <c r="C338" s="20">
        <f>IF(PaymentSchedule[[#This Row],[PMT NO]]&lt;&gt;"",EOMONTH(LoanStartDate,ROW(PaymentSchedule[[#This Row],[PMT NO]])-ROW(PaymentSchedule[[#Headers],[PMT NO]])-2)+DAY(LoanStartDate),"")</f>
        <v>53571</v>
      </c>
      <c r="D338" s="19">
        <f>IF(PaymentSchedule[[#This Row],[PMT NO]]&lt;&gt;"",IF(ROW()-ROW(PaymentSchedule[[#Headers],[BEGINNING BALANCE]])=1,LoanAmount,INDEX(PaymentSchedule[ENDING BALANCE],ROW()-ROW(PaymentSchedule[[#Headers],[BEGINNING BALANCE]])-1)),"")</f>
        <v>982873.65544855478</v>
      </c>
      <c r="E338" s="19">
        <f>IF(PaymentSchedule[[#This Row],[PMT NO]]&lt;&gt;"",ScheduledPayment,"")</f>
        <v>8050.5201209471252</v>
      </c>
      <c r="F33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38" s="19">
        <f>IF(PaymentSchedule[[#This Row],[PMT NO]]&lt;&gt;"",PaymentSchedule[[#This Row],[TOTAL PAYMENT]]-PaymentSchedule[[#This Row],[INTEREST]],"")</f>
        <v>4979.0399476703915</v>
      </c>
      <c r="I338" s="19">
        <f>IF(PaymentSchedule[[#This Row],[PMT NO]]&lt;&gt;"",PaymentSchedule[[#This Row],[BEGINNING BALANCE]]*(InterestRate/PaymentsPerYear),"")</f>
        <v>3071.4801732767332</v>
      </c>
      <c r="J33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977894.61550088436</v>
      </c>
      <c r="K338" s="19">
        <f>IF(PaymentSchedule[[#This Row],[PMT NO]]&lt;&gt;"",SUM(INDEX(PaymentSchedule[INTEREST],1,1):PaymentSchedule[[#This Row],[INTEREST]]),"")</f>
        <v>1610414.6950505932</v>
      </c>
    </row>
    <row r="339" spans="2:11" x14ac:dyDescent="0.3">
      <c r="B339" s="21">
        <f>IF(LoanIsGood,IF(ROW()-ROW(PaymentSchedule[[#Headers],[PMT NO]])&gt;ScheduledNumberOfPayments,"",ROW()-ROW(PaymentSchedule[[#Headers],[PMT NO]])),"")</f>
        <v>328</v>
      </c>
      <c r="C339" s="20">
        <f>IF(PaymentSchedule[[#This Row],[PMT NO]]&lt;&gt;"",EOMONTH(LoanStartDate,ROW(PaymentSchedule[[#This Row],[PMT NO]])-ROW(PaymentSchedule[[#Headers],[PMT NO]])-2)+DAY(LoanStartDate),"")</f>
        <v>53601</v>
      </c>
      <c r="D339" s="19">
        <f>IF(PaymentSchedule[[#This Row],[PMT NO]]&lt;&gt;"",IF(ROW()-ROW(PaymentSchedule[[#Headers],[BEGINNING BALANCE]])=1,LoanAmount,INDEX(PaymentSchedule[ENDING BALANCE],ROW()-ROW(PaymentSchedule[[#Headers],[BEGINNING BALANCE]])-1)),"")</f>
        <v>977894.61550088436</v>
      </c>
      <c r="E339" s="19">
        <f>IF(PaymentSchedule[[#This Row],[PMT NO]]&lt;&gt;"",ScheduledPayment,"")</f>
        <v>8050.5201209471252</v>
      </c>
      <c r="F33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39" s="19">
        <f>IF(PaymentSchedule[[#This Row],[PMT NO]]&lt;&gt;"",PaymentSchedule[[#This Row],[TOTAL PAYMENT]]-PaymentSchedule[[#This Row],[INTEREST]],"")</f>
        <v>4994.5994475068619</v>
      </c>
      <c r="I339" s="19">
        <f>IF(PaymentSchedule[[#This Row],[PMT NO]]&lt;&gt;"",PaymentSchedule[[#This Row],[BEGINNING BALANCE]]*(InterestRate/PaymentsPerYear),"")</f>
        <v>3055.9206734402633</v>
      </c>
      <c r="J33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972900.01605337753</v>
      </c>
      <c r="K339" s="19">
        <f>IF(PaymentSchedule[[#This Row],[PMT NO]]&lt;&gt;"",SUM(INDEX(PaymentSchedule[INTEREST],1,1):PaymentSchedule[[#This Row],[INTEREST]]),"")</f>
        <v>1613470.6157240334</v>
      </c>
    </row>
    <row r="340" spans="2:11" x14ac:dyDescent="0.3">
      <c r="B340" s="21">
        <f>IF(LoanIsGood,IF(ROW()-ROW(PaymentSchedule[[#Headers],[PMT NO]])&gt;ScheduledNumberOfPayments,"",ROW()-ROW(PaymentSchedule[[#Headers],[PMT NO]])),"")</f>
        <v>329</v>
      </c>
      <c r="C340" s="20">
        <f>IF(PaymentSchedule[[#This Row],[PMT NO]]&lt;&gt;"",EOMONTH(LoanStartDate,ROW(PaymentSchedule[[#This Row],[PMT NO]])-ROW(PaymentSchedule[[#Headers],[PMT NO]])-2)+DAY(LoanStartDate),"")</f>
        <v>53632</v>
      </c>
      <c r="D340" s="19">
        <f>IF(PaymentSchedule[[#This Row],[PMT NO]]&lt;&gt;"",IF(ROW()-ROW(PaymentSchedule[[#Headers],[BEGINNING BALANCE]])=1,LoanAmount,INDEX(PaymentSchedule[ENDING BALANCE],ROW()-ROW(PaymentSchedule[[#Headers],[BEGINNING BALANCE]])-1)),"")</f>
        <v>972900.01605337753</v>
      </c>
      <c r="E340" s="19">
        <f>IF(PaymentSchedule[[#This Row],[PMT NO]]&lt;&gt;"",ScheduledPayment,"")</f>
        <v>8050.5201209471252</v>
      </c>
      <c r="F34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40" s="19">
        <f>IF(PaymentSchedule[[#This Row],[PMT NO]]&lt;&gt;"",PaymentSchedule[[#This Row],[TOTAL PAYMENT]]-PaymentSchedule[[#This Row],[INTEREST]],"")</f>
        <v>5010.2075707803206</v>
      </c>
      <c r="I340" s="19">
        <f>IF(PaymentSchedule[[#This Row],[PMT NO]]&lt;&gt;"",PaymentSchedule[[#This Row],[BEGINNING BALANCE]]*(InterestRate/PaymentsPerYear),"")</f>
        <v>3040.3125501668046</v>
      </c>
      <c r="J34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967889.80848259723</v>
      </c>
      <c r="K340" s="19">
        <f>IF(PaymentSchedule[[#This Row],[PMT NO]]&lt;&gt;"",SUM(INDEX(PaymentSchedule[INTEREST],1,1):PaymentSchedule[[#This Row],[INTEREST]]),"")</f>
        <v>1616510.9282742003</v>
      </c>
    </row>
    <row r="341" spans="2:11" x14ac:dyDescent="0.3">
      <c r="B341" s="21">
        <f>IF(LoanIsGood,IF(ROW()-ROW(PaymentSchedule[[#Headers],[PMT NO]])&gt;ScheduledNumberOfPayments,"",ROW()-ROW(PaymentSchedule[[#Headers],[PMT NO]])),"")</f>
        <v>330</v>
      </c>
      <c r="C341" s="20">
        <f>IF(PaymentSchedule[[#This Row],[PMT NO]]&lt;&gt;"",EOMONTH(LoanStartDate,ROW(PaymentSchedule[[#This Row],[PMT NO]])-ROW(PaymentSchedule[[#Headers],[PMT NO]])-2)+DAY(LoanStartDate),"")</f>
        <v>53662</v>
      </c>
      <c r="D341" s="19">
        <f>IF(PaymentSchedule[[#This Row],[PMT NO]]&lt;&gt;"",IF(ROW()-ROW(PaymentSchedule[[#Headers],[BEGINNING BALANCE]])=1,LoanAmount,INDEX(PaymentSchedule[ENDING BALANCE],ROW()-ROW(PaymentSchedule[[#Headers],[BEGINNING BALANCE]])-1)),"")</f>
        <v>967889.80848259723</v>
      </c>
      <c r="E341" s="19">
        <f>IF(PaymentSchedule[[#This Row],[PMT NO]]&lt;&gt;"",ScheduledPayment,"")</f>
        <v>8050.5201209471252</v>
      </c>
      <c r="F34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41" s="19">
        <f>IF(PaymentSchedule[[#This Row],[PMT NO]]&lt;&gt;"",PaymentSchedule[[#This Row],[TOTAL PAYMENT]]-PaymentSchedule[[#This Row],[INTEREST]],"")</f>
        <v>5025.8644694390096</v>
      </c>
      <c r="I341" s="19">
        <f>IF(PaymentSchedule[[#This Row],[PMT NO]]&lt;&gt;"",PaymentSchedule[[#This Row],[BEGINNING BALANCE]]*(InterestRate/PaymentsPerYear),"")</f>
        <v>3024.6556515081161</v>
      </c>
      <c r="J34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962863.94401315821</v>
      </c>
      <c r="K341" s="19">
        <f>IF(PaymentSchedule[[#This Row],[PMT NO]]&lt;&gt;"",SUM(INDEX(PaymentSchedule[INTEREST],1,1):PaymentSchedule[[#This Row],[INTEREST]]),"")</f>
        <v>1619535.5839257084</v>
      </c>
    </row>
    <row r="342" spans="2:11" x14ac:dyDescent="0.3">
      <c r="B342" s="21">
        <f>IF(LoanIsGood,IF(ROW()-ROW(PaymentSchedule[[#Headers],[PMT NO]])&gt;ScheduledNumberOfPayments,"",ROW()-ROW(PaymentSchedule[[#Headers],[PMT NO]])),"")</f>
        <v>331</v>
      </c>
      <c r="C342" s="20">
        <f>IF(PaymentSchedule[[#This Row],[PMT NO]]&lt;&gt;"",EOMONTH(LoanStartDate,ROW(PaymentSchedule[[#This Row],[PMT NO]])-ROW(PaymentSchedule[[#Headers],[PMT NO]])-2)+DAY(LoanStartDate),"")</f>
        <v>53693</v>
      </c>
      <c r="D342" s="19">
        <f>IF(PaymentSchedule[[#This Row],[PMT NO]]&lt;&gt;"",IF(ROW()-ROW(PaymentSchedule[[#Headers],[BEGINNING BALANCE]])=1,LoanAmount,INDEX(PaymentSchedule[ENDING BALANCE],ROW()-ROW(PaymentSchedule[[#Headers],[BEGINNING BALANCE]])-1)),"")</f>
        <v>962863.94401315821</v>
      </c>
      <c r="E342" s="19">
        <f>IF(PaymentSchedule[[#This Row],[PMT NO]]&lt;&gt;"",ScheduledPayment,"")</f>
        <v>8050.5201209471252</v>
      </c>
      <c r="F34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42" s="19">
        <f>IF(PaymentSchedule[[#This Row],[PMT NO]]&lt;&gt;"",PaymentSchedule[[#This Row],[TOTAL PAYMENT]]-PaymentSchedule[[#This Row],[INTEREST]],"")</f>
        <v>5041.5702959060054</v>
      </c>
      <c r="I342" s="19">
        <f>IF(PaymentSchedule[[#This Row],[PMT NO]]&lt;&gt;"",PaymentSchedule[[#This Row],[BEGINNING BALANCE]]*(InterestRate/PaymentsPerYear),"")</f>
        <v>3008.9498250411193</v>
      </c>
      <c r="J34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957822.37371725217</v>
      </c>
      <c r="K342" s="19">
        <f>IF(PaymentSchedule[[#This Row],[PMT NO]]&lt;&gt;"",SUM(INDEX(PaymentSchedule[INTEREST],1,1):PaymentSchedule[[#This Row],[INTEREST]]),"")</f>
        <v>1622544.5337507497</v>
      </c>
    </row>
    <row r="343" spans="2:11" x14ac:dyDescent="0.3">
      <c r="B343" s="21">
        <f>IF(LoanIsGood,IF(ROW()-ROW(PaymentSchedule[[#Headers],[PMT NO]])&gt;ScheduledNumberOfPayments,"",ROW()-ROW(PaymentSchedule[[#Headers],[PMT NO]])),"")</f>
        <v>332</v>
      </c>
      <c r="C343" s="20">
        <f>IF(PaymentSchedule[[#This Row],[PMT NO]]&lt;&gt;"",EOMONTH(LoanStartDate,ROW(PaymentSchedule[[#This Row],[PMT NO]])-ROW(PaymentSchedule[[#Headers],[PMT NO]])-2)+DAY(LoanStartDate),"")</f>
        <v>53724</v>
      </c>
      <c r="D343" s="19">
        <f>IF(PaymentSchedule[[#This Row],[PMT NO]]&lt;&gt;"",IF(ROW()-ROW(PaymentSchedule[[#Headers],[BEGINNING BALANCE]])=1,LoanAmount,INDEX(PaymentSchedule[ENDING BALANCE],ROW()-ROW(PaymentSchedule[[#Headers],[BEGINNING BALANCE]])-1)),"")</f>
        <v>957822.37371725217</v>
      </c>
      <c r="E343" s="19">
        <f>IF(PaymentSchedule[[#This Row],[PMT NO]]&lt;&gt;"",ScheduledPayment,"")</f>
        <v>8050.5201209471252</v>
      </c>
      <c r="F34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43" s="19">
        <f>IF(PaymentSchedule[[#This Row],[PMT NO]]&lt;&gt;"",PaymentSchedule[[#This Row],[TOTAL PAYMENT]]-PaymentSchedule[[#This Row],[INTEREST]],"")</f>
        <v>5057.3252030807125</v>
      </c>
      <c r="I343" s="19">
        <f>IF(PaymentSchedule[[#This Row],[PMT NO]]&lt;&gt;"",PaymentSchedule[[#This Row],[BEGINNING BALANCE]]*(InterestRate/PaymentsPerYear),"")</f>
        <v>2993.1949178664127</v>
      </c>
      <c r="J34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952765.0485141715</v>
      </c>
      <c r="K343" s="19">
        <f>IF(PaymentSchedule[[#This Row],[PMT NO]]&lt;&gt;"",SUM(INDEX(PaymentSchedule[INTEREST],1,1):PaymentSchedule[[#This Row],[INTEREST]]),"")</f>
        <v>1625537.7286686162</v>
      </c>
    </row>
    <row r="344" spans="2:11" x14ac:dyDescent="0.3">
      <c r="B344" s="21">
        <f>IF(LoanIsGood,IF(ROW()-ROW(PaymentSchedule[[#Headers],[PMT NO]])&gt;ScheduledNumberOfPayments,"",ROW()-ROW(PaymentSchedule[[#Headers],[PMT NO]])),"")</f>
        <v>333</v>
      </c>
      <c r="C344" s="20">
        <f>IF(PaymentSchedule[[#This Row],[PMT NO]]&lt;&gt;"",EOMONTH(LoanStartDate,ROW(PaymentSchedule[[#This Row],[PMT NO]])-ROW(PaymentSchedule[[#Headers],[PMT NO]])-2)+DAY(LoanStartDate),"")</f>
        <v>53752</v>
      </c>
      <c r="D344" s="19">
        <f>IF(PaymentSchedule[[#This Row],[PMT NO]]&lt;&gt;"",IF(ROW()-ROW(PaymentSchedule[[#Headers],[BEGINNING BALANCE]])=1,LoanAmount,INDEX(PaymentSchedule[ENDING BALANCE],ROW()-ROW(PaymentSchedule[[#Headers],[BEGINNING BALANCE]])-1)),"")</f>
        <v>952765.0485141715</v>
      </c>
      <c r="E344" s="19">
        <f>IF(PaymentSchedule[[#This Row],[PMT NO]]&lt;&gt;"",ScheduledPayment,"")</f>
        <v>8050.5201209471252</v>
      </c>
      <c r="F34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44" s="19">
        <f>IF(PaymentSchedule[[#This Row],[PMT NO]]&lt;&gt;"",PaymentSchedule[[#This Row],[TOTAL PAYMENT]]-PaymentSchedule[[#This Row],[INTEREST]],"")</f>
        <v>5073.1293443403392</v>
      </c>
      <c r="I344" s="19">
        <f>IF(PaymentSchedule[[#This Row],[PMT NO]]&lt;&gt;"",PaymentSchedule[[#This Row],[BEGINNING BALANCE]]*(InterestRate/PaymentsPerYear),"")</f>
        <v>2977.3907766067855</v>
      </c>
      <c r="J34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947691.91916983121</v>
      </c>
      <c r="K344" s="19">
        <f>IF(PaymentSchedule[[#This Row],[PMT NO]]&lt;&gt;"",SUM(INDEX(PaymentSchedule[INTEREST],1,1):PaymentSchedule[[#This Row],[INTEREST]]),"")</f>
        <v>1628515.1194452229</v>
      </c>
    </row>
    <row r="345" spans="2:11" x14ac:dyDescent="0.3">
      <c r="B345" s="21">
        <f>IF(LoanIsGood,IF(ROW()-ROW(PaymentSchedule[[#Headers],[PMT NO]])&gt;ScheduledNumberOfPayments,"",ROW()-ROW(PaymentSchedule[[#Headers],[PMT NO]])),"")</f>
        <v>334</v>
      </c>
      <c r="C345" s="20">
        <f>IF(PaymentSchedule[[#This Row],[PMT NO]]&lt;&gt;"",EOMONTH(LoanStartDate,ROW(PaymentSchedule[[#This Row],[PMT NO]])-ROW(PaymentSchedule[[#Headers],[PMT NO]])-2)+DAY(LoanStartDate),"")</f>
        <v>53783</v>
      </c>
      <c r="D345" s="19">
        <f>IF(PaymentSchedule[[#This Row],[PMT NO]]&lt;&gt;"",IF(ROW()-ROW(PaymentSchedule[[#Headers],[BEGINNING BALANCE]])=1,LoanAmount,INDEX(PaymentSchedule[ENDING BALANCE],ROW()-ROW(PaymentSchedule[[#Headers],[BEGINNING BALANCE]])-1)),"")</f>
        <v>947691.91916983121</v>
      </c>
      <c r="E345" s="19">
        <f>IF(PaymentSchedule[[#This Row],[PMT NO]]&lt;&gt;"",ScheduledPayment,"")</f>
        <v>8050.5201209471252</v>
      </c>
      <c r="F34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45" s="19">
        <f>IF(PaymentSchedule[[#This Row],[PMT NO]]&lt;&gt;"",PaymentSchedule[[#This Row],[TOTAL PAYMENT]]-PaymentSchedule[[#This Row],[INTEREST]],"")</f>
        <v>5088.982873541403</v>
      </c>
      <c r="I345" s="19">
        <f>IF(PaymentSchedule[[#This Row],[PMT NO]]&lt;&gt;"",PaymentSchedule[[#This Row],[BEGINNING BALANCE]]*(InterestRate/PaymentsPerYear),"")</f>
        <v>2961.5372474057222</v>
      </c>
      <c r="J34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942602.93629628979</v>
      </c>
      <c r="K345" s="19">
        <f>IF(PaymentSchedule[[#This Row],[PMT NO]]&lt;&gt;"",SUM(INDEX(PaymentSchedule[INTEREST],1,1):PaymentSchedule[[#This Row],[INTEREST]]),"")</f>
        <v>1631476.6566926285</v>
      </c>
    </row>
    <row r="346" spans="2:11" x14ac:dyDescent="0.3">
      <c r="B346" s="21">
        <f>IF(LoanIsGood,IF(ROW()-ROW(PaymentSchedule[[#Headers],[PMT NO]])&gt;ScheduledNumberOfPayments,"",ROW()-ROW(PaymentSchedule[[#Headers],[PMT NO]])),"")</f>
        <v>335</v>
      </c>
      <c r="C346" s="20">
        <f>IF(PaymentSchedule[[#This Row],[PMT NO]]&lt;&gt;"",EOMONTH(LoanStartDate,ROW(PaymentSchedule[[#This Row],[PMT NO]])-ROW(PaymentSchedule[[#Headers],[PMT NO]])-2)+DAY(LoanStartDate),"")</f>
        <v>53813</v>
      </c>
      <c r="D346" s="19">
        <f>IF(PaymentSchedule[[#This Row],[PMT NO]]&lt;&gt;"",IF(ROW()-ROW(PaymentSchedule[[#Headers],[BEGINNING BALANCE]])=1,LoanAmount,INDEX(PaymentSchedule[ENDING BALANCE],ROW()-ROW(PaymentSchedule[[#Headers],[BEGINNING BALANCE]])-1)),"")</f>
        <v>942602.93629628979</v>
      </c>
      <c r="E346" s="19">
        <f>IF(PaymentSchedule[[#This Row],[PMT NO]]&lt;&gt;"",ScheduledPayment,"")</f>
        <v>8050.5201209471252</v>
      </c>
      <c r="F34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46" s="19">
        <f>IF(PaymentSchedule[[#This Row],[PMT NO]]&lt;&gt;"",PaymentSchedule[[#This Row],[TOTAL PAYMENT]]-PaymentSchedule[[#This Row],[INTEREST]],"")</f>
        <v>5104.8859450212203</v>
      </c>
      <c r="I346" s="19">
        <f>IF(PaymentSchedule[[#This Row],[PMT NO]]&lt;&gt;"",PaymentSchedule[[#This Row],[BEGINNING BALANCE]]*(InterestRate/PaymentsPerYear),"")</f>
        <v>2945.6341759259053</v>
      </c>
      <c r="J34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937498.05035126861</v>
      </c>
      <c r="K346" s="19">
        <f>IF(PaymentSchedule[[#This Row],[PMT NO]]&lt;&gt;"",SUM(INDEX(PaymentSchedule[INTEREST],1,1):PaymentSchedule[[#This Row],[INTEREST]]),"")</f>
        <v>1634422.2908685545</v>
      </c>
    </row>
    <row r="347" spans="2:11" x14ac:dyDescent="0.3">
      <c r="B347" s="21">
        <f>IF(LoanIsGood,IF(ROW()-ROW(PaymentSchedule[[#Headers],[PMT NO]])&gt;ScheduledNumberOfPayments,"",ROW()-ROW(PaymentSchedule[[#Headers],[PMT NO]])),"")</f>
        <v>336</v>
      </c>
      <c r="C347" s="20">
        <f>IF(PaymentSchedule[[#This Row],[PMT NO]]&lt;&gt;"",EOMONTH(LoanStartDate,ROW(PaymentSchedule[[#This Row],[PMT NO]])-ROW(PaymentSchedule[[#Headers],[PMT NO]])-2)+DAY(LoanStartDate),"")</f>
        <v>53844</v>
      </c>
      <c r="D347" s="19">
        <f>IF(PaymentSchedule[[#This Row],[PMT NO]]&lt;&gt;"",IF(ROW()-ROW(PaymentSchedule[[#Headers],[BEGINNING BALANCE]])=1,LoanAmount,INDEX(PaymentSchedule[ENDING BALANCE],ROW()-ROW(PaymentSchedule[[#Headers],[BEGINNING BALANCE]])-1)),"")</f>
        <v>937498.05035126861</v>
      </c>
      <c r="E347" s="19">
        <f>IF(PaymentSchedule[[#This Row],[PMT NO]]&lt;&gt;"",ScheduledPayment,"")</f>
        <v>8050.5201209471252</v>
      </c>
      <c r="F34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47" s="19">
        <f>IF(PaymentSchedule[[#This Row],[PMT NO]]&lt;&gt;"",PaymentSchedule[[#This Row],[TOTAL PAYMENT]]-PaymentSchedule[[#This Row],[INTEREST]],"")</f>
        <v>5120.8387135994108</v>
      </c>
      <c r="I347" s="19">
        <f>IF(PaymentSchedule[[#This Row],[PMT NO]]&lt;&gt;"",PaymentSchedule[[#This Row],[BEGINNING BALANCE]]*(InterestRate/PaymentsPerYear),"")</f>
        <v>2929.681407347714</v>
      </c>
      <c r="J34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932377.21163766924</v>
      </c>
      <c r="K347" s="19">
        <f>IF(PaymentSchedule[[#This Row],[PMT NO]]&lt;&gt;"",SUM(INDEX(PaymentSchedule[INTEREST],1,1):PaymentSchedule[[#This Row],[INTEREST]]),"")</f>
        <v>1637351.9722759023</v>
      </c>
    </row>
    <row r="348" spans="2:11" x14ac:dyDescent="0.3">
      <c r="B348" s="21">
        <f>IF(LoanIsGood,IF(ROW()-ROW(PaymentSchedule[[#Headers],[PMT NO]])&gt;ScheduledNumberOfPayments,"",ROW()-ROW(PaymentSchedule[[#Headers],[PMT NO]])),"")</f>
        <v>337</v>
      </c>
      <c r="C348" s="20">
        <f>IF(PaymentSchedule[[#This Row],[PMT NO]]&lt;&gt;"",EOMONTH(LoanStartDate,ROW(PaymentSchedule[[#This Row],[PMT NO]])-ROW(PaymentSchedule[[#Headers],[PMT NO]])-2)+DAY(LoanStartDate),"")</f>
        <v>53874</v>
      </c>
      <c r="D348" s="19">
        <f>IF(PaymentSchedule[[#This Row],[PMT NO]]&lt;&gt;"",IF(ROW()-ROW(PaymentSchedule[[#Headers],[BEGINNING BALANCE]])=1,LoanAmount,INDEX(PaymentSchedule[ENDING BALANCE],ROW()-ROW(PaymentSchedule[[#Headers],[BEGINNING BALANCE]])-1)),"")</f>
        <v>932377.21163766924</v>
      </c>
      <c r="E348" s="19">
        <f>IF(PaymentSchedule[[#This Row],[PMT NO]]&lt;&gt;"",ScheduledPayment,"")</f>
        <v>8050.5201209471252</v>
      </c>
      <c r="F34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48" s="19">
        <f>IF(PaymentSchedule[[#This Row],[PMT NO]]&lt;&gt;"",PaymentSchedule[[#This Row],[TOTAL PAYMENT]]-PaymentSchedule[[#This Row],[INTEREST]],"")</f>
        <v>5136.8413345794088</v>
      </c>
      <c r="I348" s="19">
        <f>IF(PaymentSchedule[[#This Row],[PMT NO]]&lt;&gt;"",PaymentSchedule[[#This Row],[BEGINNING BALANCE]]*(InterestRate/PaymentsPerYear),"")</f>
        <v>2913.6787863677159</v>
      </c>
      <c r="J34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927240.37030308985</v>
      </c>
      <c r="K348" s="19">
        <f>IF(PaymentSchedule[[#This Row],[PMT NO]]&lt;&gt;"",SUM(INDEX(PaymentSchedule[INTEREST],1,1):PaymentSchedule[[#This Row],[INTEREST]]),"")</f>
        <v>1640265.6510622699</v>
      </c>
    </row>
    <row r="349" spans="2:11" x14ac:dyDescent="0.3">
      <c r="B349" s="21">
        <f>IF(LoanIsGood,IF(ROW()-ROW(PaymentSchedule[[#Headers],[PMT NO]])&gt;ScheduledNumberOfPayments,"",ROW()-ROW(PaymentSchedule[[#Headers],[PMT NO]])),"")</f>
        <v>338</v>
      </c>
      <c r="C349" s="20">
        <f>IF(PaymentSchedule[[#This Row],[PMT NO]]&lt;&gt;"",EOMONTH(LoanStartDate,ROW(PaymentSchedule[[#This Row],[PMT NO]])-ROW(PaymentSchedule[[#Headers],[PMT NO]])-2)+DAY(LoanStartDate),"")</f>
        <v>53905</v>
      </c>
      <c r="D349" s="19">
        <f>IF(PaymentSchedule[[#This Row],[PMT NO]]&lt;&gt;"",IF(ROW()-ROW(PaymentSchedule[[#Headers],[BEGINNING BALANCE]])=1,LoanAmount,INDEX(PaymentSchedule[ENDING BALANCE],ROW()-ROW(PaymentSchedule[[#Headers],[BEGINNING BALANCE]])-1)),"")</f>
        <v>927240.37030308985</v>
      </c>
      <c r="E349" s="19">
        <f>IF(PaymentSchedule[[#This Row],[PMT NO]]&lt;&gt;"",ScheduledPayment,"")</f>
        <v>8050.5201209471252</v>
      </c>
      <c r="F34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49" s="19">
        <f>IF(PaymentSchedule[[#This Row],[PMT NO]]&lt;&gt;"",PaymentSchedule[[#This Row],[TOTAL PAYMENT]]-PaymentSchedule[[#This Row],[INTEREST]],"")</f>
        <v>5152.8939637499698</v>
      </c>
      <c r="I349" s="19">
        <f>IF(PaymentSchedule[[#This Row],[PMT NO]]&lt;&gt;"",PaymentSchedule[[#This Row],[BEGINNING BALANCE]]*(InterestRate/PaymentsPerYear),"")</f>
        <v>2897.6261571971554</v>
      </c>
      <c r="J34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922087.47633933986</v>
      </c>
      <c r="K349" s="19">
        <f>IF(PaymentSchedule[[#This Row],[PMT NO]]&lt;&gt;"",SUM(INDEX(PaymentSchedule[INTEREST],1,1):PaymentSchedule[[#This Row],[INTEREST]]),"")</f>
        <v>1643163.2772194671</v>
      </c>
    </row>
    <row r="350" spans="2:11" x14ac:dyDescent="0.3">
      <c r="B350" s="21">
        <f>IF(LoanIsGood,IF(ROW()-ROW(PaymentSchedule[[#Headers],[PMT NO]])&gt;ScheduledNumberOfPayments,"",ROW()-ROW(PaymentSchedule[[#Headers],[PMT NO]])),"")</f>
        <v>339</v>
      </c>
      <c r="C350" s="20">
        <f>IF(PaymentSchedule[[#This Row],[PMT NO]]&lt;&gt;"",EOMONTH(LoanStartDate,ROW(PaymentSchedule[[#This Row],[PMT NO]])-ROW(PaymentSchedule[[#Headers],[PMT NO]])-2)+DAY(LoanStartDate),"")</f>
        <v>53936</v>
      </c>
      <c r="D350" s="19">
        <f>IF(PaymentSchedule[[#This Row],[PMT NO]]&lt;&gt;"",IF(ROW()-ROW(PaymentSchedule[[#Headers],[BEGINNING BALANCE]])=1,LoanAmount,INDEX(PaymentSchedule[ENDING BALANCE],ROW()-ROW(PaymentSchedule[[#Headers],[BEGINNING BALANCE]])-1)),"")</f>
        <v>922087.47633933986</v>
      </c>
      <c r="E350" s="19">
        <f>IF(PaymentSchedule[[#This Row],[PMT NO]]&lt;&gt;"",ScheduledPayment,"")</f>
        <v>8050.5201209471252</v>
      </c>
      <c r="F35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50" s="19">
        <f>IF(PaymentSchedule[[#This Row],[PMT NO]]&lt;&gt;"",PaymentSchedule[[#This Row],[TOTAL PAYMENT]]-PaymentSchedule[[#This Row],[INTEREST]],"")</f>
        <v>5168.9967573866888</v>
      </c>
      <c r="I350" s="19">
        <f>IF(PaymentSchedule[[#This Row],[PMT NO]]&lt;&gt;"",PaymentSchedule[[#This Row],[BEGINNING BALANCE]]*(InterestRate/PaymentsPerYear),"")</f>
        <v>2881.5233635604368</v>
      </c>
      <c r="J35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916918.47958195314</v>
      </c>
      <c r="K350" s="19">
        <f>IF(PaymentSchedule[[#This Row],[PMT NO]]&lt;&gt;"",SUM(INDEX(PaymentSchedule[INTEREST],1,1):PaymentSchedule[[#This Row],[INTEREST]]),"")</f>
        <v>1646044.8005830275</v>
      </c>
    </row>
    <row r="351" spans="2:11" x14ac:dyDescent="0.3">
      <c r="B351" s="21">
        <f>IF(LoanIsGood,IF(ROW()-ROW(PaymentSchedule[[#Headers],[PMT NO]])&gt;ScheduledNumberOfPayments,"",ROW()-ROW(PaymentSchedule[[#Headers],[PMT NO]])),"")</f>
        <v>340</v>
      </c>
      <c r="C351" s="20">
        <f>IF(PaymentSchedule[[#This Row],[PMT NO]]&lt;&gt;"",EOMONTH(LoanStartDate,ROW(PaymentSchedule[[#This Row],[PMT NO]])-ROW(PaymentSchedule[[#Headers],[PMT NO]])-2)+DAY(LoanStartDate),"")</f>
        <v>53966</v>
      </c>
      <c r="D351" s="19">
        <f>IF(PaymentSchedule[[#This Row],[PMT NO]]&lt;&gt;"",IF(ROW()-ROW(PaymentSchedule[[#Headers],[BEGINNING BALANCE]])=1,LoanAmount,INDEX(PaymentSchedule[ENDING BALANCE],ROW()-ROW(PaymentSchedule[[#Headers],[BEGINNING BALANCE]])-1)),"")</f>
        <v>916918.47958195314</v>
      </c>
      <c r="E351" s="19">
        <f>IF(PaymentSchedule[[#This Row],[PMT NO]]&lt;&gt;"",ScheduledPayment,"")</f>
        <v>8050.5201209471252</v>
      </c>
      <c r="F35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51" s="19">
        <f>IF(PaymentSchedule[[#This Row],[PMT NO]]&lt;&gt;"",PaymentSchedule[[#This Row],[TOTAL PAYMENT]]-PaymentSchedule[[#This Row],[INTEREST]],"")</f>
        <v>5185.1498722535216</v>
      </c>
      <c r="I351" s="19">
        <f>IF(PaymentSchedule[[#This Row],[PMT NO]]&lt;&gt;"",PaymentSchedule[[#This Row],[BEGINNING BALANCE]]*(InterestRate/PaymentsPerYear),"")</f>
        <v>2865.3702486936031</v>
      </c>
      <c r="J35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911733.32970969961</v>
      </c>
      <c r="K351" s="19">
        <f>IF(PaymentSchedule[[#This Row],[PMT NO]]&lt;&gt;"",SUM(INDEX(PaymentSchedule[INTEREST],1,1):PaymentSchedule[[#This Row],[INTEREST]]),"")</f>
        <v>1648910.170831721</v>
      </c>
    </row>
    <row r="352" spans="2:11" x14ac:dyDescent="0.3">
      <c r="B352" s="21">
        <f>IF(LoanIsGood,IF(ROW()-ROW(PaymentSchedule[[#Headers],[PMT NO]])&gt;ScheduledNumberOfPayments,"",ROW()-ROW(PaymentSchedule[[#Headers],[PMT NO]])),"")</f>
        <v>341</v>
      </c>
      <c r="C352" s="20">
        <f>IF(PaymentSchedule[[#This Row],[PMT NO]]&lt;&gt;"",EOMONTH(LoanStartDate,ROW(PaymentSchedule[[#This Row],[PMT NO]])-ROW(PaymentSchedule[[#Headers],[PMT NO]])-2)+DAY(LoanStartDate),"")</f>
        <v>53997</v>
      </c>
      <c r="D352" s="19">
        <f>IF(PaymentSchedule[[#This Row],[PMT NO]]&lt;&gt;"",IF(ROW()-ROW(PaymentSchedule[[#Headers],[BEGINNING BALANCE]])=1,LoanAmount,INDEX(PaymentSchedule[ENDING BALANCE],ROW()-ROW(PaymentSchedule[[#Headers],[BEGINNING BALANCE]])-1)),"")</f>
        <v>911733.32970969961</v>
      </c>
      <c r="E352" s="19">
        <f>IF(PaymentSchedule[[#This Row],[PMT NO]]&lt;&gt;"",ScheduledPayment,"")</f>
        <v>8050.5201209471252</v>
      </c>
      <c r="F35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52" s="19">
        <f>IF(PaymentSchedule[[#This Row],[PMT NO]]&lt;&gt;"",PaymentSchedule[[#This Row],[TOTAL PAYMENT]]-PaymentSchedule[[#This Row],[INTEREST]],"")</f>
        <v>5201.3534656043139</v>
      </c>
      <c r="I352" s="19">
        <f>IF(PaymentSchedule[[#This Row],[PMT NO]]&lt;&gt;"",PaymentSchedule[[#This Row],[BEGINNING BALANCE]]*(InterestRate/PaymentsPerYear),"")</f>
        <v>2849.1666553428108</v>
      </c>
      <c r="J35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906531.97624409525</v>
      </c>
      <c r="K352" s="19">
        <f>IF(PaymentSchedule[[#This Row],[PMT NO]]&lt;&gt;"",SUM(INDEX(PaymentSchedule[INTEREST],1,1):PaymentSchedule[[#This Row],[INTEREST]]),"")</f>
        <v>1651759.3374870638</v>
      </c>
    </row>
    <row r="353" spans="2:11" x14ac:dyDescent="0.3">
      <c r="B353" s="21">
        <f>IF(LoanIsGood,IF(ROW()-ROW(PaymentSchedule[[#Headers],[PMT NO]])&gt;ScheduledNumberOfPayments,"",ROW()-ROW(PaymentSchedule[[#Headers],[PMT NO]])),"")</f>
        <v>342</v>
      </c>
      <c r="C353" s="20">
        <f>IF(PaymentSchedule[[#This Row],[PMT NO]]&lt;&gt;"",EOMONTH(LoanStartDate,ROW(PaymentSchedule[[#This Row],[PMT NO]])-ROW(PaymentSchedule[[#Headers],[PMT NO]])-2)+DAY(LoanStartDate),"")</f>
        <v>54027</v>
      </c>
      <c r="D353" s="19">
        <f>IF(PaymentSchedule[[#This Row],[PMT NO]]&lt;&gt;"",IF(ROW()-ROW(PaymentSchedule[[#Headers],[BEGINNING BALANCE]])=1,LoanAmount,INDEX(PaymentSchedule[ENDING BALANCE],ROW()-ROW(PaymentSchedule[[#Headers],[BEGINNING BALANCE]])-1)),"")</f>
        <v>906531.97624409525</v>
      </c>
      <c r="E353" s="19">
        <f>IF(PaymentSchedule[[#This Row],[PMT NO]]&lt;&gt;"",ScheduledPayment,"")</f>
        <v>8050.5201209471252</v>
      </c>
      <c r="F35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53" s="19">
        <f>IF(PaymentSchedule[[#This Row],[PMT NO]]&lt;&gt;"",PaymentSchedule[[#This Row],[TOTAL PAYMENT]]-PaymentSchedule[[#This Row],[INTEREST]],"")</f>
        <v>5217.6076951843279</v>
      </c>
      <c r="I353" s="19">
        <f>IF(PaymentSchedule[[#This Row],[PMT NO]]&lt;&gt;"",PaymentSchedule[[#This Row],[BEGINNING BALANCE]]*(InterestRate/PaymentsPerYear),"")</f>
        <v>2832.9124257627973</v>
      </c>
      <c r="J35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901314.36854891095</v>
      </c>
      <c r="K353" s="19">
        <f>IF(PaymentSchedule[[#This Row],[PMT NO]]&lt;&gt;"",SUM(INDEX(PaymentSchedule[INTEREST],1,1):PaymentSchedule[[#This Row],[INTEREST]]),"")</f>
        <v>1654592.2499128266</v>
      </c>
    </row>
    <row r="354" spans="2:11" x14ac:dyDescent="0.3">
      <c r="B354" s="21">
        <f>IF(LoanIsGood,IF(ROW()-ROW(PaymentSchedule[[#Headers],[PMT NO]])&gt;ScheduledNumberOfPayments,"",ROW()-ROW(PaymentSchedule[[#Headers],[PMT NO]])),"")</f>
        <v>343</v>
      </c>
      <c r="C354" s="20">
        <f>IF(PaymentSchedule[[#This Row],[PMT NO]]&lt;&gt;"",EOMONTH(LoanStartDate,ROW(PaymentSchedule[[#This Row],[PMT NO]])-ROW(PaymentSchedule[[#Headers],[PMT NO]])-2)+DAY(LoanStartDate),"")</f>
        <v>54058</v>
      </c>
      <c r="D354" s="19">
        <f>IF(PaymentSchedule[[#This Row],[PMT NO]]&lt;&gt;"",IF(ROW()-ROW(PaymentSchedule[[#Headers],[BEGINNING BALANCE]])=1,LoanAmount,INDEX(PaymentSchedule[ENDING BALANCE],ROW()-ROW(PaymentSchedule[[#Headers],[BEGINNING BALANCE]])-1)),"")</f>
        <v>901314.36854891095</v>
      </c>
      <c r="E354" s="19">
        <f>IF(PaymentSchedule[[#This Row],[PMT NO]]&lt;&gt;"",ScheduledPayment,"")</f>
        <v>8050.5201209471252</v>
      </c>
      <c r="F35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54" s="19">
        <f>IF(PaymentSchedule[[#This Row],[PMT NO]]&lt;&gt;"",PaymentSchedule[[#This Row],[TOTAL PAYMENT]]-PaymentSchedule[[#This Row],[INTEREST]],"")</f>
        <v>5233.9127192317792</v>
      </c>
      <c r="I354" s="19">
        <f>IF(PaymentSchedule[[#This Row],[PMT NO]]&lt;&gt;"",PaymentSchedule[[#This Row],[BEGINNING BALANCE]]*(InterestRate/PaymentsPerYear),"")</f>
        <v>2816.6074017153464</v>
      </c>
      <c r="J35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896080.45582967915</v>
      </c>
      <c r="K354" s="19">
        <f>IF(PaymentSchedule[[#This Row],[PMT NO]]&lt;&gt;"",SUM(INDEX(PaymentSchedule[INTEREST],1,1):PaymentSchedule[[#This Row],[INTEREST]]),"")</f>
        <v>1657408.8573145419</v>
      </c>
    </row>
    <row r="355" spans="2:11" x14ac:dyDescent="0.3">
      <c r="B355" s="21">
        <f>IF(LoanIsGood,IF(ROW()-ROW(PaymentSchedule[[#Headers],[PMT NO]])&gt;ScheduledNumberOfPayments,"",ROW()-ROW(PaymentSchedule[[#Headers],[PMT NO]])),"")</f>
        <v>344</v>
      </c>
      <c r="C355" s="20">
        <f>IF(PaymentSchedule[[#This Row],[PMT NO]]&lt;&gt;"",EOMONTH(LoanStartDate,ROW(PaymentSchedule[[#This Row],[PMT NO]])-ROW(PaymentSchedule[[#Headers],[PMT NO]])-2)+DAY(LoanStartDate),"")</f>
        <v>54089</v>
      </c>
      <c r="D355" s="19">
        <f>IF(PaymentSchedule[[#This Row],[PMT NO]]&lt;&gt;"",IF(ROW()-ROW(PaymentSchedule[[#Headers],[BEGINNING BALANCE]])=1,LoanAmount,INDEX(PaymentSchedule[ENDING BALANCE],ROW()-ROW(PaymentSchedule[[#Headers],[BEGINNING BALANCE]])-1)),"")</f>
        <v>896080.45582967915</v>
      </c>
      <c r="E355" s="19">
        <f>IF(PaymentSchedule[[#This Row],[PMT NO]]&lt;&gt;"",ScheduledPayment,"")</f>
        <v>8050.5201209471252</v>
      </c>
      <c r="F35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55" s="19">
        <f>IF(PaymentSchedule[[#This Row],[PMT NO]]&lt;&gt;"",PaymentSchedule[[#This Row],[TOTAL PAYMENT]]-PaymentSchedule[[#This Row],[INTEREST]],"")</f>
        <v>5250.2686964793775</v>
      </c>
      <c r="I355" s="19">
        <f>IF(PaymentSchedule[[#This Row],[PMT NO]]&lt;&gt;"",PaymentSchedule[[#This Row],[BEGINNING BALANCE]]*(InterestRate/PaymentsPerYear),"")</f>
        <v>2800.2514244677473</v>
      </c>
      <c r="J35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890830.18713319977</v>
      </c>
      <c r="K355" s="19">
        <f>IF(PaymentSchedule[[#This Row],[PMT NO]]&lt;&gt;"",SUM(INDEX(PaymentSchedule[INTEREST],1,1):PaymentSchedule[[#This Row],[INTEREST]]),"")</f>
        <v>1660209.1087390096</v>
      </c>
    </row>
    <row r="356" spans="2:11" x14ac:dyDescent="0.3">
      <c r="B356" s="21">
        <f>IF(LoanIsGood,IF(ROW()-ROW(PaymentSchedule[[#Headers],[PMT NO]])&gt;ScheduledNumberOfPayments,"",ROW()-ROW(PaymentSchedule[[#Headers],[PMT NO]])),"")</f>
        <v>345</v>
      </c>
      <c r="C356" s="20">
        <f>IF(PaymentSchedule[[#This Row],[PMT NO]]&lt;&gt;"",EOMONTH(LoanStartDate,ROW(PaymentSchedule[[#This Row],[PMT NO]])-ROW(PaymentSchedule[[#Headers],[PMT NO]])-2)+DAY(LoanStartDate),"")</f>
        <v>54118</v>
      </c>
      <c r="D356" s="19">
        <f>IF(PaymentSchedule[[#This Row],[PMT NO]]&lt;&gt;"",IF(ROW()-ROW(PaymentSchedule[[#Headers],[BEGINNING BALANCE]])=1,LoanAmount,INDEX(PaymentSchedule[ENDING BALANCE],ROW()-ROW(PaymentSchedule[[#Headers],[BEGINNING BALANCE]])-1)),"")</f>
        <v>890830.18713319977</v>
      </c>
      <c r="E356" s="19">
        <f>IF(PaymentSchedule[[#This Row],[PMT NO]]&lt;&gt;"",ScheduledPayment,"")</f>
        <v>8050.5201209471252</v>
      </c>
      <c r="F35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56" s="19">
        <f>IF(PaymentSchedule[[#This Row],[PMT NO]]&lt;&gt;"",PaymentSchedule[[#This Row],[TOTAL PAYMENT]]-PaymentSchedule[[#This Row],[INTEREST]],"")</f>
        <v>5266.6757861558763</v>
      </c>
      <c r="I356" s="19">
        <f>IF(PaymentSchedule[[#This Row],[PMT NO]]&lt;&gt;"",PaymentSchedule[[#This Row],[BEGINNING BALANCE]]*(InterestRate/PaymentsPerYear),"")</f>
        <v>2783.8443347912489</v>
      </c>
      <c r="J35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885563.51134704391</v>
      </c>
      <c r="K356" s="19">
        <f>IF(PaymentSchedule[[#This Row],[PMT NO]]&lt;&gt;"",SUM(INDEX(PaymentSchedule[INTEREST],1,1):PaymentSchedule[[#This Row],[INTEREST]]),"")</f>
        <v>1662992.9530738008</v>
      </c>
    </row>
    <row r="357" spans="2:11" x14ac:dyDescent="0.3">
      <c r="B357" s="21">
        <f>IF(LoanIsGood,IF(ROW()-ROW(PaymentSchedule[[#Headers],[PMT NO]])&gt;ScheduledNumberOfPayments,"",ROW()-ROW(PaymentSchedule[[#Headers],[PMT NO]])),"")</f>
        <v>346</v>
      </c>
      <c r="C357" s="20">
        <f>IF(PaymentSchedule[[#This Row],[PMT NO]]&lt;&gt;"",EOMONTH(LoanStartDate,ROW(PaymentSchedule[[#This Row],[PMT NO]])-ROW(PaymentSchedule[[#Headers],[PMT NO]])-2)+DAY(LoanStartDate),"")</f>
        <v>54149</v>
      </c>
      <c r="D357" s="19">
        <f>IF(PaymentSchedule[[#This Row],[PMT NO]]&lt;&gt;"",IF(ROW()-ROW(PaymentSchedule[[#Headers],[BEGINNING BALANCE]])=1,LoanAmount,INDEX(PaymentSchedule[ENDING BALANCE],ROW()-ROW(PaymentSchedule[[#Headers],[BEGINNING BALANCE]])-1)),"")</f>
        <v>885563.51134704391</v>
      </c>
      <c r="E357" s="19">
        <f>IF(PaymentSchedule[[#This Row],[PMT NO]]&lt;&gt;"",ScheduledPayment,"")</f>
        <v>8050.5201209471252</v>
      </c>
      <c r="F35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57" s="19">
        <f>IF(PaymentSchedule[[#This Row],[PMT NO]]&lt;&gt;"",PaymentSchedule[[#This Row],[TOTAL PAYMENT]]-PaymentSchedule[[#This Row],[INTEREST]],"")</f>
        <v>5283.1341479876137</v>
      </c>
      <c r="I357" s="19">
        <f>IF(PaymentSchedule[[#This Row],[PMT NO]]&lt;&gt;"",PaymentSchedule[[#This Row],[BEGINNING BALANCE]]*(InterestRate/PaymentsPerYear),"")</f>
        <v>2767.3859729595119</v>
      </c>
      <c r="J35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880280.37719905633</v>
      </c>
      <c r="K357" s="19">
        <f>IF(PaymentSchedule[[#This Row],[PMT NO]]&lt;&gt;"",SUM(INDEX(PaymentSchedule[INTEREST],1,1):PaymentSchedule[[#This Row],[INTEREST]]),"")</f>
        <v>1665760.3390467602</v>
      </c>
    </row>
    <row r="358" spans="2:11" x14ac:dyDescent="0.3">
      <c r="B358" s="21">
        <f>IF(LoanIsGood,IF(ROW()-ROW(PaymentSchedule[[#Headers],[PMT NO]])&gt;ScheduledNumberOfPayments,"",ROW()-ROW(PaymentSchedule[[#Headers],[PMT NO]])),"")</f>
        <v>347</v>
      </c>
      <c r="C358" s="20">
        <f>IF(PaymentSchedule[[#This Row],[PMT NO]]&lt;&gt;"",EOMONTH(LoanStartDate,ROW(PaymentSchedule[[#This Row],[PMT NO]])-ROW(PaymentSchedule[[#Headers],[PMT NO]])-2)+DAY(LoanStartDate),"")</f>
        <v>54179</v>
      </c>
      <c r="D358" s="19">
        <f>IF(PaymentSchedule[[#This Row],[PMT NO]]&lt;&gt;"",IF(ROW()-ROW(PaymentSchedule[[#Headers],[BEGINNING BALANCE]])=1,LoanAmount,INDEX(PaymentSchedule[ENDING BALANCE],ROW()-ROW(PaymentSchedule[[#Headers],[BEGINNING BALANCE]])-1)),"")</f>
        <v>880280.37719905633</v>
      </c>
      <c r="E358" s="19">
        <f>IF(PaymentSchedule[[#This Row],[PMT NO]]&lt;&gt;"",ScheduledPayment,"")</f>
        <v>8050.5201209471252</v>
      </c>
      <c r="F35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58" s="19">
        <f>IF(PaymentSchedule[[#This Row],[PMT NO]]&lt;&gt;"",PaymentSchedule[[#This Row],[TOTAL PAYMENT]]-PaymentSchedule[[#This Row],[INTEREST]],"")</f>
        <v>5299.6439422000749</v>
      </c>
      <c r="I358" s="19">
        <f>IF(PaymentSchedule[[#This Row],[PMT NO]]&lt;&gt;"",PaymentSchedule[[#This Row],[BEGINNING BALANCE]]*(InterestRate/PaymentsPerYear),"")</f>
        <v>2750.8761787470507</v>
      </c>
      <c r="J35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874980.73325685621</v>
      </c>
      <c r="K358" s="19">
        <f>IF(PaymentSchedule[[#This Row],[PMT NO]]&lt;&gt;"",SUM(INDEX(PaymentSchedule[INTEREST],1,1):PaymentSchedule[[#This Row],[INTEREST]]),"")</f>
        <v>1668511.2152255073</v>
      </c>
    </row>
    <row r="359" spans="2:11" x14ac:dyDescent="0.3">
      <c r="B359" s="21">
        <f>IF(LoanIsGood,IF(ROW()-ROW(PaymentSchedule[[#Headers],[PMT NO]])&gt;ScheduledNumberOfPayments,"",ROW()-ROW(PaymentSchedule[[#Headers],[PMT NO]])),"")</f>
        <v>348</v>
      </c>
      <c r="C359" s="20">
        <f>IF(PaymentSchedule[[#This Row],[PMT NO]]&lt;&gt;"",EOMONTH(LoanStartDate,ROW(PaymentSchedule[[#This Row],[PMT NO]])-ROW(PaymentSchedule[[#Headers],[PMT NO]])-2)+DAY(LoanStartDate),"")</f>
        <v>54210</v>
      </c>
      <c r="D359" s="19">
        <f>IF(PaymentSchedule[[#This Row],[PMT NO]]&lt;&gt;"",IF(ROW()-ROW(PaymentSchedule[[#Headers],[BEGINNING BALANCE]])=1,LoanAmount,INDEX(PaymentSchedule[ENDING BALANCE],ROW()-ROW(PaymentSchedule[[#Headers],[BEGINNING BALANCE]])-1)),"")</f>
        <v>874980.73325685621</v>
      </c>
      <c r="E359" s="19">
        <f>IF(PaymentSchedule[[#This Row],[PMT NO]]&lt;&gt;"",ScheduledPayment,"")</f>
        <v>8050.5201209471252</v>
      </c>
      <c r="F35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59" s="19">
        <f>IF(PaymentSchedule[[#This Row],[PMT NO]]&lt;&gt;"",PaymentSchedule[[#This Row],[TOTAL PAYMENT]]-PaymentSchedule[[#This Row],[INTEREST]],"")</f>
        <v>5316.2053295194492</v>
      </c>
      <c r="I359" s="19">
        <f>IF(PaymentSchedule[[#This Row],[PMT NO]]&lt;&gt;"",PaymentSchedule[[#This Row],[BEGINNING BALANCE]]*(InterestRate/PaymentsPerYear),"")</f>
        <v>2734.3147914276756</v>
      </c>
      <c r="J35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869664.52792733675</v>
      </c>
      <c r="K359" s="19">
        <f>IF(PaymentSchedule[[#This Row],[PMT NO]]&lt;&gt;"",SUM(INDEX(PaymentSchedule[INTEREST],1,1):PaymentSchedule[[#This Row],[INTEREST]]),"")</f>
        <v>1671245.530016935</v>
      </c>
    </row>
    <row r="360" spans="2:11" x14ac:dyDescent="0.3">
      <c r="B360" s="21">
        <f>IF(LoanIsGood,IF(ROW()-ROW(PaymentSchedule[[#Headers],[PMT NO]])&gt;ScheduledNumberOfPayments,"",ROW()-ROW(PaymentSchedule[[#Headers],[PMT NO]])),"")</f>
        <v>349</v>
      </c>
      <c r="C360" s="20">
        <f>IF(PaymentSchedule[[#This Row],[PMT NO]]&lt;&gt;"",EOMONTH(LoanStartDate,ROW(PaymentSchedule[[#This Row],[PMT NO]])-ROW(PaymentSchedule[[#Headers],[PMT NO]])-2)+DAY(LoanStartDate),"")</f>
        <v>54240</v>
      </c>
      <c r="D360" s="19">
        <f>IF(PaymentSchedule[[#This Row],[PMT NO]]&lt;&gt;"",IF(ROW()-ROW(PaymentSchedule[[#Headers],[BEGINNING BALANCE]])=1,LoanAmount,INDEX(PaymentSchedule[ENDING BALANCE],ROW()-ROW(PaymentSchedule[[#Headers],[BEGINNING BALANCE]])-1)),"")</f>
        <v>869664.52792733675</v>
      </c>
      <c r="E360" s="19">
        <f>IF(PaymentSchedule[[#This Row],[PMT NO]]&lt;&gt;"",ScheduledPayment,"")</f>
        <v>8050.5201209471252</v>
      </c>
      <c r="F36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60" s="19">
        <f>IF(PaymentSchedule[[#This Row],[PMT NO]]&lt;&gt;"",PaymentSchedule[[#This Row],[TOTAL PAYMENT]]-PaymentSchedule[[#This Row],[INTEREST]],"")</f>
        <v>5332.8184711741978</v>
      </c>
      <c r="I360" s="19">
        <f>IF(PaymentSchedule[[#This Row],[PMT NO]]&lt;&gt;"",PaymentSchedule[[#This Row],[BEGINNING BALANCE]]*(InterestRate/PaymentsPerYear),"")</f>
        <v>2717.7016497729273</v>
      </c>
      <c r="J36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864331.70945616253</v>
      </c>
      <c r="K360" s="19">
        <f>IF(PaymentSchedule[[#This Row],[PMT NO]]&lt;&gt;"",SUM(INDEX(PaymentSchedule[INTEREST],1,1):PaymentSchedule[[#This Row],[INTEREST]]),"")</f>
        <v>1673963.2316667079</v>
      </c>
    </row>
    <row r="361" spans="2:11" x14ac:dyDescent="0.3">
      <c r="B361" s="21">
        <f>IF(LoanIsGood,IF(ROW()-ROW(PaymentSchedule[[#Headers],[PMT NO]])&gt;ScheduledNumberOfPayments,"",ROW()-ROW(PaymentSchedule[[#Headers],[PMT NO]])),"")</f>
        <v>350</v>
      </c>
      <c r="C361" s="20">
        <f>IF(PaymentSchedule[[#This Row],[PMT NO]]&lt;&gt;"",EOMONTH(LoanStartDate,ROW(PaymentSchedule[[#This Row],[PMT NO]])-ROW(PaymentSchedule[[#Headers],[PMT NO]])-2)+DAY(LoanStartDate),"")</f>
        <v>54271</v>
      </c>
      <c r="D361" s="19">
        <f>IF(PaymentSchedule[[#This Row],[PMT NO]]&lt;&gt;"",IF(ROW()-ROW(PaymentSchedule[[#Headers],[BEGINNING BALANCE]])=1,LoanAmount,INDEX(PaymentSchedule[ENDING BALANCE],ROW()-ROW(PaymentSchedule[[#Headers],[BEGINNING BALANCE]])-1)),"")</f>
        <v>864331.70945616253</v>
      </c>
      <c r="E361" s="19">
        <f>IF(PaymentSchedule[[#This Row],[PMT NO]]&lt;&gt;"",ScheduledPayment,"")</f>
        <v>8050.5201209471252</v>
      </c>
      <c r="F36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61" s="19">
        <f>IF(PaymentSchedule[[#This Row],[PMT NO]]&lt;&gt;"",PaymentSchedule[[#This Row],[TOTAL PAYMENT]]-PaymentSchedule[[#This Row],[INTEREST]],"")</f>
        <v>5349.4835288966169</v>
      </c>
      <c r="I361" s="19">
        <f>IF(PaymentSchedule[[#This Row],[PMT NO]]&lt;&gt;"",PaymentSchedule[[#This Row],[BEGINNING BALANCE]]*(InterestRate/PaymentsPerYear),"")</f>
        <v>2701.0365920505078</v>
      </c>
      <c r="J36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858982.22592726594</v>
      </c>
      <c r="K361" s="19">
        <f>IF(PaymentSchedule[[#This Row],[PMT NO]]&lt;&gt;"",SUM(INDEX(PaymentSchedule[INTEREST],1,1):PaymentSchedule[[#This Row],[INTEREST]]),"")</f>
        <v>1676664.2682587584</v>
      </c>
    </row>
    <row r="362" spans="2:11" x14ac:dyDescent="0.3">
      <c r="B362" s="21">
        <f>IF(LoanIsGood,IF(ROW()-ROW(PaymentSchedule[[#Headers],[PMT NO]])&gt;ScheduledNumberOfPayments,"",ROW()-ROW(PaymentSchedule[[#Headers],[PMT NO]])),"")</f>
        <v>351</v>
      </c>
      <c r="C362" s="20">
        <f>IF(PaymentSchedule[[#This Row],[PMT NO]]&lt;&gt;"",EOMONTH(LoanStartDate,ROW(PaymentSchedule[[#This Row],[PMT NO]])-ROW(PaymentSchedule[[#Headers],[PMT NO]])-2)+DAY(LoanStartDate),"")</f>
        <v>54302</v>
      </c>
      <c r="D362" s="19">
        <f>IF(PaymentSchedule[[#This Row],[PMT NO]]&lt;&gt;"",IF(ROW()-ROW(PaymentSchedule[[#Headers],[BEGINNING BALANCE]])=1,LoanAmount,INDEX(PaymentSchedule[ENDING BALANCE],ROW()-ROW(PaymentSchedule[[#Headers],[BEGINNING BALANCE]])-1)),"")</f>
        <v>858982.22592726594</v>
      </c>
      <c r="E362" s="19">
        <f>IF(PaymentSchedule[[#This Row],[PMT NO]]&lt;&gt;"",ScheduledPayment,"")</f>
        <v>8050.5201209471252</v>
      </c>
      <c r="F36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62" s="19">
        <f>IF(PaymentSchedule[[#This Row],[PMT NO]]&lt;&gt;"",PaymentSchedule[[#This Row],[TOTAL PAYMENT]]-PaymentSchedule[[#This Row],[INTEREST]],"")</f>
        <v>5366.2006649244195</v>
      </c>
      <c r="I362" s="19">
        <f>IF(PaymentSchedule[[#This Row],[PMT NO]]&lt;&gt;"",PaymentSchedule[[#This Row],[BEGINNING BALANCE]]*(InterestRate/PaymentsPerYear),"")</f>
        <v>2684.3194560227057</v>
      </c>
      <c r="J36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853616.02526234149</v>
      </c>
      <c r="K362" s="19">
        <f>IF(PaymentSchedule[[#This Row],[PMT NO]]&lt;&gt;"",SUM(INDEX(PaymentSchedule[INTEREST],1,1):PaymentSchedule[[#This Row],[INTEREST]]),"")</f>
        <v>1679348.5877147811</v>
      </c>
    </row>
    <row r="363" spans="2:11" x14ac:dyDescent="0.3">
      <c r="B363" s="21">
        <f>IF(LoanIsGood,IF(ROW()-ROW(PaymentSchedule[[#Headers],[PMT NO]])&gt;ScheduledNumberOfPayments,"",ROW()-ROW(PaymentSchedule[[#Headers],[PMT NO]])),"")</f>
        <v>352</v>
      </c>
      <c r="C363" s="20">
        <f>IF(PaymentSchedule[[#This Row],[PMT NO]]&lt;&gt;"",EOMONTH(LoanStartDate,ROW(PaymentSchedule[[#This Row],[PMT NO]])-ROW(PaymentSchedule[[#Headers],[PMT NO]])-2)+DAY(LoanStartDate),"")</f>
        <v>54332</v>
      </c>
      <c r="D363" s="19">
        <f>IF(PaymentSchedule[[#This Row],[PMT NO]]&lt;&gt;"",IF(ROW()-ROW(PaymentSchedule[[#Headers],[BEGINNING BALANCE]])=1,LoanAmount,INDEX(PaymentSchedule[ENDING BALANCE],ROW()-ROW(PaymentSchedule[[#Headers],[BEGINNING BALANCE]])-1)),"")</f>
        <v>853616.02526234149</v>
      </c>
      <c r="E363" s="19">
        <f>IF(PaymentSchedule[[#This Row],[PMT NO]]&lt;&gt;"",ScheduledPayment,"")</f>
        <v>8050.5201209471252</v>
      </c>
      <c r="F363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3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63" s="19">
        <f>IF(PaymentSchedule[[#This Row],[PMT NO]]&lt;&gt;"",PaymentSchedule[[#This Row],[TOTAL PAYMENT]]-PaymentSchedule[[#This Row],[INTEREST]],"")</f>
        <v>5382.9700420023082</v>
      </c>
      <c r="I363" s="19">
        <f>IF(PaymentSchedule[[#This Row],[PMT NO]]&lt;&gt;"",PaymentSchedule[[#This Row],[BEGINNING BALANCE]]*(InterestRate/PaymentsPerYear),"")</f>
        <v>2667.550078944817</v>
      </c>
      <c r="J363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848233.05522033921</v>
      </c>
      <c r="K363" s="19">
        <f>IF(PaymentSchedule[[#This Row],[PMT NO]]&lt;&gt;"",SUM(INDEX(PaymentSchedule[INTEREST],1,1):PaymentSchedule[[#This Row],[INTEREST]]),"")</f>
        <v>1682016.1377937258</v>
      </c>
    </row>
    <row r="364" spans="2:11" x14ac:dyDescent="0.3">
      <c r="B364" s="21">
        <f>IF(LoanIsGood,IF(ROW()-ROW(PaymentSchedule[[#Headers],[PMT NO]])&gt;ScheduledNumberOfPayments,"",ROW()-ROW(PaymentSchedule[[#Headers],[PMT NO]])),"")</f>
        <v>353</v>
      </c>
      <c r="C364" s="20">
        <f>IF(PaymentSchedule[[#This Row],[PMT NO]]&lt;&gt;"",EOMONTH(LoanStartDate,ROW(PaymentSchedule[[#This Row],[PMT NO]])-ROW(PaymentSchedule[[#Headers],[PMT NO]])-2)+DAY(LoanStartDate),"")</f>
        <v>54363</v>
      </c>
      <c r="D364" s="19">
        <f>IF(PaymentSchedule[[#This Row],[PMT NO]]&lt;&gt;"",IF(ROW()-ROW(PaymentSchedule[[#Headers],[BEGINNING BALANCE]])=1,LoanAmount,INDEX(PaymentSchedule[ENDING BALANCE],ROW()-ROW(PaymentSchedule[[#Headers],[BEGINNING BALANCE]])-1)),"")</f>
        <v>848233.05522033921</v>
      </c>
      <c r="E364" s="19">
        <f>IF(PaymentSchedule[[#This Row],[PMT NO]]&lt;&gt;"",ScheduledPayment,"")</f>
        <v>8050.5201209471252</v>
      </c>
      <c r="F36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64" s="19">
        <f>IF(PaymentSchedule[[#This Row],[PMT NO]]&lt;&gt;"",PaymentSchedule[[#This Row],[TOTAL PAYMENT]]-PaymentSchedule[[#This Row],[INTEREST]],"")</f>
        <v>5399.7918233835653</v>
      </c>
      <c r="I364" s="19">
        <f>IF(PaymentSchedule[[#This Row],[PMT NO]]&lt;&gt;"",PaymentSchedule[[#This Row],[BEGINNING BALANCE]]*(InterestRate/PaymentsPerYear),"")</f>
        <v>2650.7282975635599</v>
      </c>
      <c r="J36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842833.26339695568</v>
      </c>
      <c r="K364" s="19">
        <f>IF(PaymentSchedule[[#This Row],[PMT NO]]&lt;&gt;"",SUM(INDEX(PaymentSchedule[INTEREST],1,1):PaymentSchedule[[#This Row],[INTEREST]]),"")</f>
        <v>1684666.8660912893</v>
      </c>
    </row>
    <row r="365" spans="2:11" x14ac:dyDescent="0.3">
      <c r="B365" s="21">
        <f>IF(LoanIsGood,IF(ROW()-ROW(PaymentSchedule[[#Headers],[PMT NO]])&gt;ScheduledNumberOfPayments,"",ROW()-ROW(PaymentSchedule[[#Headers],[PMT NO]])),"")</f>
        <v>354</v>
      </c>
      <c r="C365" s="20">
        <f>IF(PaymentSchedule[[#This Row],[PMT NO]]&lt;&gt;"",EOMONTH(LoanStartDate,ROW(PaymentSchedule[[#This Row],[PMT NO]])-ROW(PaymentSchedule[[#Headers],[PMT NO]])-2)+DAY(LoanStartDate),"")</f>
        <v>54393</v>
      </c>
      <c r="D365" s="19">
        <f>IF(PaymentSchedule[[#This Row],[PMT NO]]&lt;&gt;"",IF(ROW()-ROW(PaymentSchedule[[#Headers],[BEGINNING BALANCE]])=1,LoanAmount,INDEX(PaymentSchedule[ENDING BALANCE],ROW()-ROW(PaymentSchedule[[#Headers],[BEGINNING BALANCE]])-1)),"")</f>
        <v>842833.26339695568</v>
      </c>
      <c r="E365" s="19">
        <f>IF(PaymentSchedule[[#This Row],[PMT NO]]&lt;&gt;"",ScheduledPayment,"")</f>
        <v>8050.5201209471252</v>
      </c>
      <c r="F365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5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65" s="19">
        <f>IF(PaymentSchedule[[#This Row],[PMT NO]]&lt;&gt;"",PaymentSchedule[[#This Row],[TOTAL PAYMENT]]-PaymentSchedule[[#This Row],[INTEREST]],"")</f>
        <v>5416.6661728316394</v>
      </c>
      <c r="I365" s="19">
        <f>IF(PaymentSchedule[[#This Row],[PMT NO]]&lt;&gt;"",PaymentSchedule[[#This Row],[BEGINNING BALANCE]]*(InterestRate/PaymentsPerYear),"")</f>
        <v>2633.8539481154862</v>
      </c>
      <c r="J365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837416.59722412401</v>
      </c>
      <c r="K365" s="19">
        <f>IF(PaymentSchedule[[#This Row],[PMT NO]]&lt;&gt;"",SUM(INDEX(PaymentSchedule[INTEREST],1,1):PaymentSchedule[[#This Row],[INTEREST]]),"")</f>
        <v>1687300.7200394047</v>
      </c>
    </row>
    <row r="366" spans="2:11" x14ac:dyDescent="0.3">
      <c r="B366" s="21">
        <f>IF(LoanIsGood,IF(ROW()-ROW(PaymentSchedule[[#Headers],[PMT NO]])&gt;ScheduledNumberOfPayments,"",ROW()-ROW(PaymentSchedule[[#Headers],[PMT NO]])),"")</f>
        <v>355</v>
      </c>
      <c r="C366" s="20">
        <f>IF(PaymentSchedule[[#This Row],[PMT NO]]&lt;&gt;"",EOMONTH(LoanStartDate,ROW(PaymentSchedule[[#This Row],[PMT NO]])-ROW(PaymentSchedule[[#Headers],[PMT NO]])-2)+DAY(LoanStartDate),"")</f>
        <v>54424</v>
      </c>
      <c r="D366" s="19">
        <f>IF(PaymentSchedule[[#This Row],[PMT NO]]&lt;&gt;"",IF(ROW()-ROW(PaymentSchedule[[#Headers],[BEGINNING BALANCE]])=1,LoanAmount,INDEX(PaymentSchedule[ENDING BALANCE],ROW()-ROW(PaymentSchedule[[#Headers],[BEGINNING BALANCE]])-1)),"")</f>
        <v>837416.59722412401</v>
      </c>
      <c r="E366" s="19">
        <f>IF(PaymentSchedule[[#This Row],[PMT NO]]&lt;&gt;"",ScheduledPayment,"")</f>
        <v>8050.5201209471252</v>
      </c>
      <c r="F36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66" s="19">
        <f>IF(PaymentSchedule[[#This Row],[PMT NO]]&lt;&gt;"",PaymentSchedule[[#This Row],[TOTAL PAYMENT]]-PaymentSchedule[[#This Row],[INTEREST]],"")</f>
        <v>5433.5932546217373</v>
      </c>
      <c r="I366" s="19">
        <f>IF(PaymentSchedule[[#This Row],[PMT NO]]&lt;&gt;"",PaymentSchedule[[#This Row],[BEGINNING BALANCE]]*(InterestRate/PaymentsPerYear),"")</f>
        <v>2616.9268663253874</v>
      </c>
      <c r="J36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831983.00396950229</v>
      </c>
      <c r="K366" s="19">
        <f>IF(PaymentSchedule[[#This Row],[PMT NO]]&lt;&gt;"",SUM(INDEX(PaymentSchedule[INTEREST],1,1):PaymentSchedule[[#This Row],[INTEREST]]),"")</f>
        <v>1689917.64690573</v>
      </c>
    </row>
    <row r="367" spans="2:11" x14ac:dyDescent="0.3">
      <c r="B367" s="21">
        <f>IF(LoanIsGood,IF(ROW()-ROW(PaymentSchedule[[#Headers],[PMT NO]])&gt;ScheduledNumberOfPayments,"",ROW()-ROW(PaymentSchedule[[#Headers],[PMT NO]])),"")</f>
        <v>356</v>
      </c>
      <c r="C367" s="20">
        <f>IF(PaymentSchedule[[#This Row],[PMT NO]]&lt;&gt;"",EOMONTH(LoanStartDate,ROW(PaymentSchedule[[#This Row],[PMT NO]])-ROW(PaymentSchedule[[#Headers],[PMT NO]])-2)+DAY(LoanStartDate),"")</f>
        <v>54455</v>
      </c>
      <c r="D367" s="19">
        <f>IF(PaymentSchedule[[#This Row],[PMT NO]]&lt;&gt;"",IF(ROW()-ROW(PaymentSchedule[[#Headers],[BEGINNING BALANCE]])=1,LoanAmount,INDEX(PaymentSchedule[ENDING BALANCE],ROW()-ROW(PaymentSchedule[[#Headers],[BEGINNING BALANCE]])-1)),"")</f>
        <v>831983.00396950229</v>
      </c>
      <c r="E367" s="19">
        <f>IF(PaymentSchedule[[#This Row],[PMT NO]]&lt;&gt;"",ScheduledPayment,"")</f>
        <v>8050.5201209471252</v>
      </c>
      <c r="F367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7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67" s="19">
        <f>IF(PaymentSchedule[[#This Row],[PMT NO]]&lt;&gt;"",PaymentSchedule[[#This Row],[TOTAL PAYMENT]]-PaymentSchedule[[#This Row],[INTEREST]],"")</f>
        <v>5450.5732335424309</v>
      </c>
      <c r="I367" s="19">
        <f>IF(PaymentSchedule[[#This Row],[PMT NO]]&lt;&gt;"",PaymentSchedule[[#This Row],[BEGINNING BALANCE]]*(InterestRate/PaymentsPerYear),"")</f>
        <v>2599.9468874046943</v>
      </c>
      <c r="J367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826532.4307359599</v>
      </c>
      <c r="K367" s="19">
        <f>IF(PaymentSchedule[[#This Row],[PMT NO]]&lt;&gt;"",SUM(INDEX(PaymentSchedule[INTEREST],1,1):PaymentSchedule[[#This Row],[INTEREST]]),"")</f>
        <v>1692517.5937931347</v>
      </c>
    </row>
    <row r="368" spans="2:11" x14ac:dyDescent="0.3">
      <c r="B368" s="21">
        <f>IF(LoanIsGood,IF(ROW()-ROW(PaymentSchedule[[#Headers],[PMT NO]])&gt;ScheduledNumberOfPayments,"",ROW()-ROW(PaymentSchedule[[#Headers],[PMT NO]])),"")</f>
        <v>357</v>
      </c>
      <c r="C368" s="20">
        <f>IF(PaymentSchedule[[#This Row],[PMT NO]]&lt;&gt;"",EOMONTH(LoanStartDate,ROW(PaymentSchedule[[#This Row],[PMT NO]])-ROW(PaymentSchedule[[#Headers],[PMT NO]])-2)+DAY(LoanStartDate),"")</f>
        <v>54483</v>
      </c>
      <c r="D368" s="19">
        <f>IF(PaymentSchedule[[#This Row],[PMT NO]]&lt;&gt;"",IF(ROW()-ROW(PaymentSchedule[[#Headers],[BEGINNING BALANCE]])=1,LoanAmount,INDEX(PaymentSchedule[ENDING BALANCE],ROW()-ROW(PaymentSchedule[[#Headers],[BEGINNING BALANCE]])-1)),"")</f>
        <v>826532.4307359599</v>
      </c>
      <c r="E368" s="19">
        <f>IF(PaymentSchedule[[#This Row],[PMT NO]]&lt;&gt;"",ScheduledPayment,"")</f>
        <v>8050.5201209471252</v>
      </c>
      <c r="F36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68" s="19">
        <f>IF(PaymentSchedule[[#This Row],[PMT NO]]&lt;&gt;"",PaymentSchedule[[#This Row],[TOTAL PAYMENT]]-PaymentSchedule[[#This Row],[INTEREST]],"")</f>
        <v>5467.6062748972508</v>
      </c>
      <c r="I368" s="19">
        <f>IF(PaymentSchedule[[#This Row],[PMT NO]]&lt;&gt;"",PaymentSchedule[[#This Row],[BEGINNING BALANCE]]*(InterestRate/PaymentsPerYear),"")</f>
        <v>2582.9138460498743</v>
      </c>
      <c r="J36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821064.82446106267</v>
      </c>
      <c r="K368" s="19">
        <f>IF(PaymentSchedule[[#This Row],[PMT NO]]&lt;&gt;"",SUM(INDEX(PaymentSchedule[INTEREST],1,1):PaymentSchedule[[#This Row],[INTEREST]]),"")</f>
        <v>1695100.5076391846</v>
      </c>
    </row>
    <row r="369" spans="2:11" x14ac:dyDescent="0.3">
      <c r="B369" s="21">
        <f>IF(LoanIsGood,IF(ROW()-ROW(PaymentSchedule[[#Headers],[PMT NO]])&gt;ScheduledNumberOfPayments,"",ROW()-ROW(PaymentSchedule[[#Headers],[PMT NO]])),"")</f>
        <v>358</v>
      </c>
      <c r="C369" s="20">
        <f>IF(PaymentSchedule[[#This Row],[PMT NO]]&lt;&gt;"",EOMONTH(LoanStartDate,ROW(PaymentSchedule[[#This Row],[PMT NO]])-ROW(PaymentSchedule[[#Headers],[PMT NO]])-2)+DAY(LoanStartDate),"")</f>
        <v>54514</v>
      </c>
      <c r="D369" s="19">
        <f>IF(PaymentSchedule[[#This Row],[PMT NO]]&lt;&gt;"",IF(ROW()-ROW(PaymentSchedule[[#Headers],[BEGINNING BALANCE]])=1,LoanAmount,INDEX(PaymentSchedule[ENDING BALANCE],ROW()-ROW(PaymentSchedule[[#Headers],[BEGINNING BALANCE]])-1)),"")</f>
        <v>821064.82446106267</v>
      </c>
      <c r="E369" s="19">
        <f>IF(PaymentSchedule[[#This Row],[PMT NO]]&lt;&gt;"",ScheduledPayment,"")</f>
        <v>8050.5201209471252</v>
      </c>
      <c r="F369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9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69" s="19">
        <f>IF(PaymentSchedule[[#This Row],[PMT NO]]&lt;&gt;"",PaymentSchedule[[#This Row],[TOTAL PAYMENT]]-PaymentSchedule[[#This Row],[INTEREST]],"")</f>
        <v>5484.6925445063043</v>
      </c>
      <c r="I369" s="19">
        <f>IF(PaymentSchedule[[#This Row],[PMT NO]]&lt;&gt;"",PaymentSchedule[[#This Row],[BEGINNING BALANCE]]*(InterestRate/PaymentsPerYear),"")</f>
        <v>2565.8275764408208</v>
      </c>
      <c r="J369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815580.13191655639</v>
      </c>
      <c r="K369" s="19">
        <f>IF(PaymentSchedule[[#This Row],[PMT NO]]&lt;&gt;"",SUM(INDEX(PaymentSchedule[INTEREST],1,1):PaymentSchedule[[#This Row],[INTEREST]]),"")</f>
        <v>1697666.3352156254</v>
      </c>
    </row>
    <row r="370" spans="2:11" x14ac:dyDescent="0.3">
      <c r="B370" s="21">
        <f>IF(LoanIsGood,IF(ROW()-ROW(PaymentSchedule[[#Headers],[PMT NO]])&gt;ScheduledNumberOfPayments,"",ROW()-ROW(PaymentSchedule[[#Headers],[PMT NO]])),"")</f>
        <v>359</v>
      </c>
      <c r="C370" s="20">
        <f>IF(PaymentSchedule[[#This Row],[PMT NO]]&lt;&gt;"",EOMONTH(LoanStartDate,ROW(PaymentSchedule[[#This Row],[PMT NO]])-ROW(PaymentSchedule[[#Headers],[PMT NO]])-2)+DAY(LoanStartDate),"")</f>
        <v>54544</v>
      </c>
      <c r="D370" s="19">
        <f>IF(PaymentSchedule[[#This Row],[PMT NO]]&lt;&gt;"",IF(ROW()-ROW(PaymentSchedule[[#Headers],[BEGINNING BALANCE]])=1,LoanAmount,INDEX(PaymentSchedule[ENDING BALANCE],ROW()-ROW(PaymentSchedule[[#Headers],[BEGINNING BALANCE]])-1)),"")</f>
        <v>815580.13191655639</v>
      </c>
      <c r="E370" s="19">
        <f>IF(PaymentSchedule[[#This Row],[PMT NO]]&lt;&gt;"",ScheduledPayment,"")</f>
        <v>8050.5201209471252</v>
      </c>
      <c r="F37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70" s="19">
        <f>IF(PaymentSchedule[[#This Row],[PMT NO]]&lt;&gt;"",PaymentSchedule[[#This Row],[TOTAL PAYMENT]]-PaymentSchedule[[#This Row],[INTEREST]],"")</f>
        <v>5501.8322087078868</v>
      </c>
      <c r="I370" s="19">
        <f>IF(PaymentSchedule[[#This Row],[PMT NO]]&lt;&gt;"",PaymentSchedule[[#This Row],[BEGINNING BALANCE]]*(InterestRate/PaymentsPerYear),"")</f>
        <v>2548.6879122392384</v>
      </c>
      <c r="J37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810078.29970784846</v>
      </c>
      <c r="K370" s="19">
        <f>IF(PaymentSchedule[[#This Row],[PMT NO]]&lt;&gt;"",SUM(INDEX(PaymentSchedule[INTEREST],1,1):PaymentSchedule[[#This Row],[INTEREST]]),"")</f>
        <v>1700215.0231278646</v>
      </c>
    </row>
    <row r="371" spans="2:11" x14ac:dyDescent="0.3">
      <c r="B371" s="21">
        <f>IF(LoanIsGood,IF(ROW()-ROW(PaymentSchedule[[#Headers],[PMT NO]])&gt;ScheduledNumberOfPayments,"",ROW()-ROW(PaymentSchedule[[#Headers],[PMT NO]])),"")</f>
        <v>360</v>
      </c>
      <c r="C371" s="20">
        <f>IF(PaymentSchedule[[#This Row],[PMT NO]]&lt;&gt;"",EOMONTH(LoanStartDate,ROW(PaymentSchedule[[#This Row],[PMT NO]])-ROW(PaymentSchedule[[#Headers],[PMT NO]])-2)+DAY(LoanStartDate),"")</f>
        <v>54575</v>
      </c>
      <c r="D371" s="19">
        <f>IF(PaymentSchedule[[#This Row],[PMT NO]]&lt;&gt;"",IF(ROW()-ROW(PaymentSchedule[[#Headers],[BEGINNING BALANCE]])=1,LoanAmount,INDEX(PaymentSchedule[ENDING BALANCE],ROW()-ROW(PaymentSchedule[[#Headers],[BEGINNING BALANCE]])-1)),"")</f>
        <v>810078.29970784846</v>
      </c>
      <c r="E371" s="19">
        <f>IF(PaymentSchedule[[#This Row],[PMT NO]]&lt;&gt;"",ScheduledPayment,"")</f>
        <v>8050.5201209471252</v>
      </c>
      <c r="F371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1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8050.5201209471252</v>
      </c>
      <c r="H371" s="19">
        <f>IF(PaymentSchedule[[#This Row],[PMT NO]]&lt;&gt;"",PaymentSchedule[[#This Row],[TOTAL PAYMENT]]-PaymentSchedule[[#This Row],[INTEREST]],"")</f>
        <v>5519.0254343600991</v>
      </c>
      <c r="I371" s="19">
        <f>IF(PaymentSchedule[[#This Row],[PMT NO]]&lt;&gt;"",PaymentSchedule[[#This Row],[BEGINNING BALANCE]]*(InterestRate/PaymentsPerYear),"")</f>
        <v>2531.4946865870261</v>
      </c>
      <c r="J371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804559.27427348832</v>
      </c>
      <c r="K371" s="19">
        <f>IF(PaymentSchedule[[#This Row],[PMT NO]]&lt;&gt;"",SUM(INDEX(PaymentSchedule[INTEREST],1,1):PaymentSchedule[[#This Row],[INTEREST]]),"")</f>
        <v>1702746.5178144516</v>
      </c>
    </row>
  </sheetData>
  <mergeCells count="12">
    <mergeCell ref="C6:D6"/>
    <mergeCell ref="C7:D7"/>
    <mergeCell ref="C9:D9"/>
    <mergeCell ref="G3:H3"/>
    <mergeCell ref="G4:H4"/>
    <mergeCell ref="G5:H5"/>
    <mergeCell ref="G6:H6"/>
    <mergeCell ref="G7:H7"/>
    <mergeCell ref="H9:I9"/>
    <mergeCell ref="C3:D3"/>
    <mergeCell ref="C4:D4"/>
    <mergeCell ref="C5:D5"/>
  </mergeCells>
  <conditionalFormatting sqref="B12:K371">
    <cfRule type="expression" dxfId="3" priority="1">
      <formula>($B12="")+(($D12=0)*($F12=0))</formula>
    </cfRule>
  </conditionalFormatting>
  <dataValidations count="26">
    <dataValidation allowBlank="1" showInputMessage="1" showErrorMessage="1" prompt="Enter the name of the lender in this cell" sqref="H9:I9" xr:uid="{00000000-0002-0000-0000-000019000000}"/>
    <dataValidation allowBlank="1" showInputMessage="1" showErrorMessage="1" prompt="Cumulative interest is automatically updated in this column" sqref="K11" xr:uid="{00000000-0002-0000-0000-000018000000}"/>
    <dataValidation allowBlank="1" showInputMessage="1" showErrorMessage="1" prompt="Ending balance is automatically updated in this column" sqref="J11" xr:uid="{00000000-0002-0000-0000-000017000000}"/>
    <dataValidation allowBlank="1" showInputMessage="1" showErrorMessage="1" prompt="Interest is automatically updated in this column" sqref="I11" xr:uid="{00000000-0002-0000-0000-000016000000}"/>
    <dataValidation allowBlank="1" showInputMessage="1" showErrorMessage="1" prompt="Principal is automatically updated in this column" sqref="H11" xr:uid="{00000000-0002-0000-0000-000015000000}"/>
    <dataValidation allowBlank="1" showInputMessage="1" showErrorMessage="1" prompt="Total payment is automatically updated in this column" sqref="G11" xr:uid="{00000000-0002-0000-0000-000014000000}"/>
    <dataValidation allowBlank="1" showInputMessage="1" showErrorMessage="1" prompt="Extra payment is automatically updated in this column" sqref="F11" xr:uid="{00000000-0002-0000-0000-000013000000}"/>
    <dataValidation allowBlank="1" showInputMessage="1" showErrorMessage="1" prompt="Scheduled payment is automatically updated in this column" sqref="E11" xr:uid="{00000000-0002-0000-0000-000012000000}"/>
    <dataValidation allowBlank="1" showInputMessage="1" showErrorMessage="1" prompt="Beginning balance is automatically updated in this column" sqref="D11" xr:uid="{00000000-0002-0000-0000-000011000000}"/>
    <dataValidation allowBlank="1" showInputMessage="1" showErrorMessage="1" prompt="Payment date is automatically updated in this column" sqref="C11" xr:uid="{00000000-0002-0000-0000-000010000000}"/>
    <dataValidation allowBlank="1" showInputMessage="1" showErrorMessage="1" prompt="Payment number is automatically updated in this column" sqref="B11" xr:uid="{00000000-0002-0000-0000-00000F000000}"/>
    <dataValidation allowBlank="1" showInputMessage="1" showErrorMessage="1" prompt="Automatically updated total early payments" sqref="I6" xr:uid="{00000000-0002-0000-0000-00000E000000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1" xr:uid="{00000000-0002-0000-0000-00000D000000}"/>
    <dataValidation allowBlank="1" showInputMessage="1" showErrorMessage="1" prompt="Loan Summary fields from I3 to I7 are automatically adjusted based on the values entered. Enter the Lender's name in I9" sqref="G2" xr:uid="{00000000-0002-0000-0000-00000C000000}"/>
    <dataValidation allowBlank="1" showInputMessage="1" showErrorMessage="1" prompt="Enter loan values in cells E3 to E7 and E9. Description of each loan value is in column C. Payment Schedule table starting in cell B11 will automatically update" sqref="C2" xr:uid="{00000000-0002-0000-0000-00000B000000}"/>
    <dataValidation allowBlank="1" showInputMessage="1" showErrorMessage="1" prompt="This workbook produces a loan amortization schedule that calculates total interest and total payments &amp; includes the option for extra payments" sqref="A1" xr:uid="{00000000-0002-0000-0000-00000A000000}"/>
    <dataValidation allowBlank="1" showInputMessage="1" showErrorMessage="1" prompt="Automatically updated actual number of payments" sqref="I5" xr:uid="{00000000-0002-0000-0000-000009000000}"/>
    <dataValidation allowBlank="1" showInputMessage="1" showErrorMessage="1" prompt="Automatically updated scheduled number of payments" sqref="I4" xr:uid="{00000000-0002-0000-0000-000008000000}"/>
    <dataValidation allowBlank="1" showInputMessage="1" showErrorMessage="1" prompt="Automatically updated scheduled payment amount" sqref="I3" xr:uid="{00000000-0002-0000-0000-000007000000}"/>
    <dataValidation allowBlank="1" showInputMessage="1" showErrorMessage="1" prompt="Automatically calculated total interest" sqref="I7" xr:uid="{00000000-0002-0000-0000-000006000000}"/>
    <dataValidation allowBlank="1" showInputMessage="1" showErrorMessage="1" prompt="Enter the amount of extra payment in this cell" sqref="E9" xr:uid="{00000000-0002-0000-0000-000005000000}"/>
    <dataValidation allowBlank="1" showInputMessage="1" showErrorMessage="1" prompt="Enter the start date of loan in this cell" sqref="E7" xr:uid="{00000000-0002-0000-0000-000004000000}"/>
    <dataValidation allowBlank="1" showInputMessage="1" showErrorMessage="1" prompt="Enter the number of payments to be made in a year in this cell" sqref="E6" xr:uid="{00000000-0002-0000-0000-000003000000}"/>
    <dataValidation allowBlank="1" showInputMessage="1" showErrorMessage="1" prompt="Enter loan period in years in this cell" sqref="E5" xr:uid="{00000000-0002-0000-0000-000002000000}"/>
    <dataValidation allowBlank="1" showInputMessage="1" showErrorMessage="1" prompt="Enter interest rate to be paid annually in this cell" sqref="E4" xr:uid="{00000000-0002-0000-0000-000001000000}"/>
    <dataValidation allowBlank="1" showInputMessage="1" showErrorMessage="1" prompt="Enter Loan Amount in this cell" sqref="E3" xr:uid="{00000000-0002-0000-0000-000000000000}"/>
  </dataValidations>
  <printOptions horizontalCentered="1"/>
  <pageMargins left="0.4" right="0.4" top="0.4" bottom="0.5" header="0.3" footer="0.3"/>
  <pageSetup scale="7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10A7-07B9-43C6-9583-F92E336B9DCB}">
  <sheetPr>
    <tabColor theme="4"/>
    <pageSetUpPr autoPageBreaks="0" fitToPage="1"/>
  </sheetPr>
  <dimension ref="B1:K371"/>
  <sheetViews>
    <sheetView showGridLines="0" zoomScaleNormal="100" workbookViewId="0">
      <pane ySplit="11" topLeftCell="A12" activePane="bottomLeft" state="frozen"/>
      <selection pane="bottomLeft" activeCell="C12" sqref="C12:C23"/>
    </sheetView>
  </sheetViews>
  <sheetFormatPr defaultColWidth="8.88671875" defaultRowHeight="14.4" x14ac:dyDescent="0.3"/>
  <cols>
    <col min="1" max="1" width="2.88671875" style="18" customWidth="1"/>
    <col min="2" max="2" width="7.6640625" style="18" customWidth="1"/>
    <col min="3" max="3" width="16.6640625" style="18" customWidth="1"/>
    <col min="4" max="4" width="18.5546875" style="18" customWidth="1"/>
    <col min="5" max="10" width="17.33203125" style="18" customWidth="1"/>
    <col min="11" max="11" width="19.5546875" style="18" customWidth="1"/>
    <col min="12" max="16384" width="8.88671875" style="18"/>
  </cols>
  <sheetData>
    <row r="1" spans="2:11" ht="30" customHeight="1" thickBot="1" x14ac:dyDescent="0.35">
      <c r="B1" s="35" t="s">
        <v>85</v>
      </c>
      <c r="C1" s="35"/>
      <c r="D1" s="35"/>
      <c r="E1" s="35"/>
      <c r="F1" s="35"/>
      <c r="G1" s="35"/>
      <c r="H1" s="35"/>
      <c r="I1" s="35"/>
      <c r="J1" s="35"/>
      <c r="K1" s="35"/>
    </row>
    <row r="2" spans="2:11" ht="20.100000000000001" customHeight="1" thickTop="1" thickBot="1" x14ac:dyDescent="0.35">
      <c r="C2" s="34" t="s">
        <v>84</v>
      </c>
      <c r="D2" s="34"/>
      <c r="E2" s="34"/>
      <c r="G2" s="34" t="s">
        <v>83</v>
      </c>
      <c r="H2" s="34"/>
      <c r="I2" s="34"/>
    </row>
    <row r="3" spans="2:11" ht="14.25" customHeight="1" x14ac:dyDescent="0.3">
      <c r="C3" s="71" t="s">
        <v>82</v>
      </c>
      <c r="D3" s="71"/>
      <c r="E3" s="33">
        <v>2000000</v>
      </c>
      <c r="G3" s="71" t="s">
        <v>81</v>
      </c>
      <c r="H3" s="71"/>
      <c r="I3" s="32">
        <f>IF(LoanIsGood,-PMT(InterestRate/PaymentsPerYear,ScheduledNumberOfPayments,LoanAmount),"")</f>
        <v>8358.7693880762818</v>
      </c>
    </row>
    <row r="4" spans="2:11" x14ac:dyDescent="0.3">
      <c r="C4" s="70" t="s">
        <v>80</v>
      </c>
      <c r="D4" s="70"/>
      <c r="E4" s="31">
        <v>0.04</v>
      </c>
      <c r="G4" s="70" t="s">
        <v>79</v>
      </c>
      <c r="H4" s="70"/>
      <c r="I4" s="29">
        <f>IF(LoanIsGood,LoanPeriod*PaymentsPerYear,"")</f>
        <v>480</v>
      </c>
    </row>
    <row r="5" spans="2:11" x14ac:dyDescent="0.3">
      <c r="C5" s="70" t="s">
        <v>78</v>
      </c>
      <c r="D5" s="70"/>
      <c r="E5" s="30">
        <v>40</v>
      </c>
      <c r="G5" s="70" t="s">
        <v>77</v>
      </c>
      <c r="H5" s="70"/>
      <c r="I5" s="29">
        <f>ActualNumberOfPayments</f>
        <v>361</v>
      </c>
    </row>
    <row r="6" spans="2:11" x14ac:dyDescent="0.3">
      <c r="C6" s="70" t="s">
        <v>76</v>
      </c>
      <c r="D6" s="70"/>
      <c r="E6" s="28">
        <v>12</v>
      </c>
      <c r="G6" s="70" t="s">
        <v>75</v>
      </c>
      <c r="H6" s="70"/>
      <c r="I6" s="26">
        <f>TotalEarlyPayments</f>
        <v>0</v>
      </c>
    </row>
    <row r="7" spans="2:11" x14ac:dyDescent="0.3">
      <c r="C7" s="70" t="s">
        <v>74</v>
      </c>
      <c r="D7" s="70"/>
      <c r="E7" s="27">
        <v>43647</v>
      </c>
      <c r="G7" s="70" t="s">
        <v>73</v>
      </c>
      <c r="H7" s="70"/>
      <c r="I7" s="26">
        <f>TotalInterest</f>
        <v>1834754.0937598646</v>
      </c>
    </row>
    <row r="9" spans="2:11" x14ac:dyDescent="0.3">
      <c r="C9" s="70" t="s">
        <v>72</v>
      </c>
      <c r="D9" s="70"/>
      <c r="E9" s="25"/>
      <c r="G9" s="24" t="s">
        <v>71</v>
      </c>
      <c r="H9" s="72" t="s">
        <v>86</v>
      </c>
      <c r="I9" s="72"/>
    </row>
    <row r="11" spans="2:11" ht="35.1" customHeight="1" x14ac:dyDescent="0.3">
      <c r="B11" s="23" t="s">
        <v>70</v>
      </c>
      <c r="C11" s="23" t="s">
        <v>69</v>
      </c>
      <c r="D11" s="22" t="s">
        <v>68</v>
      </c>
      <c r="E11" s="22" t="s">
        <v>67</v>
      </c>
      <c r="F11" s="22" t="s">
        <v>66</v>
      </c>
      <c r="G11" s="22" t="s">
        <v>65</v>
      </c>
      <c r="H11" s="22" t="s">
        <v>64</v>
      </c>
      <c r="I11" s="22" t="s">
        <v>63</v>
      </c>
      <c r="J11" s="22" t="s">
        <v>62</v>
      </c>
      <c r="K11" s="22" t="s">
        <v>61</v>
      </c>
    </row>
    <row r="12" spans="2:11" x14ac:dyDescent="0.3">
      <c r="B12" s="21">
        <f>IF(LoanIsGood,IF(ROW()-ROW(PaymentSchedule3[[#Headers],[PMT NO]])&gt;ScheduledNumberOfPayments,"",ROW()-ROW(PaymentSchedule3[[#Headers],[PMT NO]])),"")</f>
        <v>1</v>
      </c>
      <c r="C12" s="20">
        <f>IF(PaymentSchedule3[[#This Row],[PMT NO]]&lt;&gt;"",EOMONTH(LoanStartDate,ROW(PaymentSchedule3[[#This Row],[PMT NO]])-ROW(PaymentSchedule3[[#Headers],[PMT NO]])-2)+DAY(LoanStartDate),"")</f>
        <v>43647</v>
      </c>
      <c r="D12" s="19">
        <f>IF(PaymentSchedule3[[#This Row],[PMT NO]]&lt;&gt;"",IF(ROW()-ROW(PaymentSchedule3[[#Headers],[BEGINNING BALANCE]])=1,LoanAmount,INDEX(PaymentSchedule3[ENDING BALANCE],ROW()-ROW(PaymentSchedule3[[#Headers],[BEGINNING BALANCE]])-1)),"")</f>
        <v>2000000</v>
      </c>
      <c r="E12" s="19">
        <f>IF(PaymentSchedule3[[#This Row],[PMT NO]]&lt;&gt;"",ScheduledPayment,"")</f>
        <v>8358.7693880762818</v>
      </c>
      <c r="F1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2" s="19">
        <f>IF(PaymentSchedule3[[#This Row],[PMT NO]]&lt;&gt;"",PaymentSchedule3[[#This Row],[TOTAL PAYMENT]]-PaymentSchedule3[[#This Row],[INTEREST]],"")</f>
        <v>1692.1027214096148</v>
      </c>
      <c r="I12" s="19">
        <f>IF(PaymentSchedule3[[#This Row],[PMT NO]]&lt;&gt;"",PaymentSchedule3[[#This Row],[BEGINNING BALANCE]]*(InterestRate/PaymentsPerYear),"")</f>
        <v>6666.666666666667</v>
      </c>
      <c r="J1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1998307.8972785904</v>
      </c>
      <c r="K12" s="19">
        <f>IF(PaymentSchedule3[[#This Row],[PMT NO]]&lt;&gt;"",SUM(INDEX(PaymentSchedule3[INTEREST],1,1):PaymentSchedule3[[#This Row],[INTEREST]]),"")</f>
        <v>6666.666666666667</v>
      </c>
    </row>
    <row r="13" spans="2:11" x14ac:dyDescent="0.3">
      <c r="B13" s="21">
        <f>IF(LoanIsGood,IF(ROW()-ROW(PaymentSchedule3[[#Headers],[PMT NO]])&gt;ScheduledNumberOfPayments,"",ROW()-ROW(PaymentSchedule3[[#Headers],[PMT NO]])),"")</f>
        <v>2</v>
      </c>
      <c r="C13" s="20">
        <f>IF(PaymentSchedule3[[#This Row],[PMT NO]]&lt;&gt;"",EOMONTH(LoanStartDate,ROW(PaymentSchedule3[[#This Row],[PMT NO]])-ROW(PaymentSchedule3[[#Headers],[PMT NO]])-2)+DAY(LoanStartDate),"")</f>
        <v>43678</v>
      </c>
      <c r="D13" s="19">
        <f>IF(PaymentSchedule3[[#This Row],[PMT NO]]&lt;&gt;"",IF(ROW()-ROW(PaymentSchedule3[[#Headers],[BEGINNING BALANCE]])=1,LoanAmount,INDEX(PaymentSchedule3[ENDING BALANCE],ROW()-ROW(PaymentSchedule3[[#Headers],[BEGINNING BALANCE]])-1)),"")</f>
        <v>1998307.8972785904</v>
      </c>
      <c r="E13" s="19">
        <f>IF(PaymentSchedule3[[#This Row],[PMT NO]]&lt;&gt;"",ScheduledPayment,"")</f>
        <v>8358.7693880762818</v>
      </c>
      <c r="F1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3" s="19">
        <f>IF(PaymentSchedule3[[#This Row],[PMT NO]]&lt;&gt;"",PaymentSchedule3[[#This Row],[TOTAL PAYMENT]]-PaymentSchedule3[[#This Row],[INTEREST]],"")</f>
        <v>1697.7430638143132</v>
      </c>
      <c r="I13" s="19">
        <f>IF(PaymentSchedule3[[#This Row],[PMT NO]]&lt;&gt;"",PaymentSchedule3[[#This Row],[BEGINNING BALANCE]]*(InterestRate/PaymentsPerYear),"")</f>
        <v>6661.0263242619685</v>
      </c>
      <c r="J1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1996610.1542147761</v>
      </c>
      <c r="K13" s="19">
        <f>IF(PaymentSchedule3[[#This Row],[PMT NO]]&lt;&gt;"",SUM(INDEX(PaymentSchedule3[INTEREST],1,1):PaymentSchedule3[[#This Row],[INTEREST]]),"")</f>
        <v>13327.692990928635</v>
      </c>
    </row>
    <row r="14" spans="2:11" x14ac:dyDescent="0.3">
      <c r="B14" s="21">
        <f>IF(LoanIsGood,IF(ROW()-ROW(PaymentSchedule3[[#Headers],[PMT NO]])&gt;ScheduledNumberOfPayments,"",ROW()-ROW(PaymentSchedule3[[#Headers],[PMT NO]])),"")</f>
        <v>3</v>
      </c>
      <c r="C14" s="20">
        <f>IF(PaymentSchedule3[[#This Row],[PMT NO]]&lt;&gt;"",EOMONTH(LoanStartDate,ROW(PaymentSchedule3[[#This Row],[PMT NO]])-ROW(PaymentSchedule3[[#Headers],[PMT NO]])-2)+DAY(LoanStartDate),"")</f>
        <v>43709</v>
      </c>
      <c r="D14" s="19">
        <f>IF(PaymentSchedule3[[#This Row],[PMT NO]]&lt;&gt;"",IF(ROW()-ROW(PaymentSchedule3[[#Headers],[BEGINNING BALANCE]])=1,LoanAmount,INDEX(PaymentSchedule3[ENDING BALANCE],ROW()-ROW(PaymentSchedule3[[#Headers],[BEGINNING BALANCE]])-1)),"")</f>
        <v>1996610.1542147761</v>
      </c>
      <c r="E14" s="19">
        <f>IF(PaymentSchedule3[[#This Row],[PMT NO]]&lt;&gt;"",ScheduledPayment,"")</f>
        <v>8358.7693880762818</v>
      </c>
      <c r="F1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4" s="19">
        <f>IF(PaymentSchedule3[[#This Row],[PMT NO]]&lt;&gt;"",PaymentSchedule3[[#This Row],[TOTAL PAYMENT]]-PaymentSchedule3[[#This Row],[INTEREST]],"")</f>
        <v>1703.402207360361</v>
      </c>
      <c r="I14" s="19">
        <f>IF(PaymentSchedule3[[#This Row],[PMT NO]]&lt;&gt;"",PaymentSchedule3[[#This Row],[BEGINNING BALANCE]]*(InterestRate/PaymentsPerYear),"")</f>
        <v>6655.3671807159208</v>
      </c>
      <c r="J1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1994906.7520074158</v>
      </c>
      <c r="K14" s="19">
        <f>IF(PaymentSchedule3[[#This Row],[PMT NO]]&lt;&gt;"",SUM(INDEX(PaymentSchedule3[INTEREST],1,1):PaymentSchedule3[[#This Row],[INTEREST]]),"")</f>
        <v>19983.060171644556</v>
      </c>
    </row>
    <row r="15" spans="2:11" x14ac:dyDescent="0.3">
      <c r="B15" s="21">
        <f>IF(LoanIsGood,IF(ROW()-ROW(PaymentSchedule3[[#Headers],[PMT NO]])&gt;ScheduledNumberOfPayments,"",ROW()-ROW(PaymentSchedule3[[#Headers],[PMT NO]])),"")</f>
        <v>4</v>
      </c>
      <c r="C15" s="20">
        <f>IF(PaymentSchedule3[[#This Row],[PMT NO]]&lt;&gt;"",EOMONTH(LoanStartDate,ROW(PaymentSchedule3[[#This Row],[PMT NO]])-ROW(PaymentSchedule3[[#Headers],[PMT NO]])-2)+DAY(LoanStartDate),"")</f>
        <v>43739</v>
      </c>
      <c r="D15" s="19">
        <f>IF(PaymentSchedule3[[#This Row],[PMT NO]]&lt;&gt;"",IF(ROW()-ROW(PaymentSchedule3[[#Headers],[BEGINNING BALANCE]])=1,LoanAmount,INDEX(PaymentSchedule3[ENDING BALANCE],ROW()-ROW(PaymentSchedule3[[#Headers],[BEGINNING BALANCE]])-1)),"")</f>
        <v>1994906.7520074158</v>
      </c>
      <c r="E15" s="19">
        <f>IF(PaymentSchedule3[[#This Row],[PMT NO]]&lt;&gt;"",ScheduledPayment,"")</f>
        <v>8358.7693880762818</v>
      </c>
      <c r="F1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5" s="19">
        <f>IF(PaymentSchedule3[[#This Row],[PMT NO]]&lt;&gt;"",PaymentSchedule3[[#This Row],[TOTAL PAYMENT]]-PaymentSchedule3[[#This Row],[INTEREST]],"")</f>
        <v>1709.0802147182285</v>
      </c>
      <c r="I15" s="19">
        <f>IF(PaymentSchedule3[[#This Row],[PMT NO]]&lt;&gt;"",PaymentSchedule3[[#This Row],[BEGINNING BALANCE]]*(InterestRate/PaymentsPerYear),"")</f>
        <v>6649.6891733580533</v>
      </c>
      <c r="J1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1993197.6717926976</v>
      </c>
      <c r="K15" s="19">
        <f>IF(PaymentSchedule3[[#This Row],[PMT NO]]&lt;&gt;"",SUM(INDEX(PaymentSchedule3[INTEREST],1,1):PaymentSchedule3[[#This Row],[INTEREST]]),"")</f>
        <v>26632.749345002609</v>
      </c>
    </row>
    <row r="16" spans="2:11" x14ac:dyDescent="0.3">
      <c r="B16" s="21">
        <f>IF(LoanIsGood,IF(ROW()-ROW(PaymentSchedule3[[#Headers],[PMT NO]])&gt;ScheduledNumberOfPayments,"",ROW()-ROW(PaymentSchedule3[[#Headers],[PMT NO]])),"")</f>
        <v>5</v>
      </c>
      <c r="C16" s="20">
        <f>IF(PaymentSchedule3[[#This Row],[PMT NO]]&lt;&gt;"",EOMONTH(LoanStartDate,ROW(PaymentSchedule3[[#This Row],[PMT NO]])-ROW(PaymentSchedule3[[#Headers],[PMT NO]])-2)+DAY(LoanStartDate),"")</f>
        <v>43770</v>
      </c>
      <c r="D16" s="19">
        <f>IF(PaymentSchedule3[[#This Row],[PMT NO]]&lt;&gt;"",IF(ROW()-ROW(PaymentSchedule3[[#Headers],[BEGINNING BALANCE]])=1,LoanAmount,INDEX(PaymentSchedule3[ENDING BALANCE],ROW()-ROW(PaymentSchedule3[[#Headers],[BEGINNING BALANCE]])-1)),"")</f>
        <v>1993197.6717926976</v>
      </c>
      <c r="E16" s="19">
        <f>IF(PaymentSchedule3[[#This Row],[PMT NO]]&lt;&gt;"",ScheduledPayment,"")</f>
        <v>8358.7693880762818</v>
      </c>
      <c r="F1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6" s="19">
        <f>IF(PaymentSchedule3[[#This Row],[PMT NO]]&lt;&gt;"",PaymentSchedule3[[#This Row],[TOTAL PAYMENT]]-PaymentSchedule3[[#This Row],[INTEREST]],"")</f>
        <v>1714.777148767289</v>
      </c>
      <c r="I16" s="19">
        <f>IF(PaymentSchedule3[[#This Row],[PMT NO]]&lt;&gt;"",PaymentSchedule3[[#This Row],[BEGINNING BALANCE]]*(InterestRate/PaymentsPerYear),"")</f>
        <v>6643.9922393089928</v>
      </c>
      <c r="J1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1991482.8946439303</v>
      </c>
      <c r="K16" s="19">
        <f>IF(PaymentSchedule3[[#This Row],[PMT NO]]&lt;&gt;"",SUM(INDEX(PaymentSchedule3[INTEREST],1,1):PaymentSchedule3[[#This Row],[INTEREST]]),"")</f>
        <v>33276.741584311603</v>
      </c>
    </row>
    <row r="17" spans="2:11" x14ac:dyDescent="0.3">
      <c r="B17" s="21">
        <f>IF(LoanIsGood,IF(ROW()-ROW(PaymentSchedule3[[#Headers],[PMT NO]])&gt;ScheduledNumberOfPayments,"",ROW()-ROW(PaymentSchedule3[[#Headers],[PMT NO]])),"")</f>
        <v>6</v>
      </c>
      <c r="C17" s="20">
        <f>IF(PaymentSchedule3[[#This Row],[PMT NO]]&lt;&gt;"",EOMONTH(LoanStartDate,ROW(PaymentSchedule3[[#This Row],[PMT NO]])-ROW(PaymentSchedule3[[#Headers],[PMT NO]])-2)+DAY(LoanStartDate),"")</f>
        <v>43800</v>
      </c>
      <c r="D17" s="19">
        <f>IF(PaymentSchedule3[[#This Row],[PMT NO]]&lt;&gt;"",IF(ROW()-ROW(PaymentSchedule3[[#Headers],[BEGINNING BALANCE]])=1,LoanAmount,INDEX(PaymentSchedule3[ENDING BALANCE],ROW()-ROW(PaymentSchedule3[[#Headers],[BEGINNING BALANCE]])-1)),"")</f>
        <v>1991482.8946439303</v>
      </c>
      <c r="E17" s="19">
        <f>IF(PaymentSchedule3[[#This Row],[PMT NO]]&lt;&gt;"",ScheduledPayment,"")</f>
        <v>8358.7693880762818</v>
      </c>
      <c r="F1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7" s="19">
        <f>IF(PaymentSchedule3[[#This Row],[PMT NO]]&lt;&gt;"",PaymentSchedule3[[#This Row],[TOTAL PAYMENT]]-PaymentSchedule3[[#This Row],[INTEREST]],"")</f>
        <v>1720.4930725965141</v>
      </c>
      <c r="I17" s="19">
        <f>IF(PaymentSchedule3[[#This Row],[PMT NO]]&lt;&gt;"",PaymentSchedule3[[#This Row],[BEGINNING BALANCE]]*(InterestRate/PaymentsPerYear),"")</f>
        <v>6638.2763154797676</v>
      </c>
      <c r="J1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1989762.4015713336</v>
      </c>
      <c r="K17" s="19">
        <f>IF(PaymentSchedule3[[#This Row],[PMT NO]]&lt;&gt;"",SUM(INDEX(PaymentSchedule3[INTEREST],1,1):PaymentSchedule3[[#This Row],[INTEREST]]),"")</f>
        <v>39915.017899791368</v>
      </c>
    </row>
    <row r="18" spans="2:11" x14ac:dyDescent="0.3">
      <c r="B18" s="21">
        <f>IF(LoanIsGood,IF(ROW()-ROW(PaymentSchedule3[[#Headers],[PMT NO]])&gt;ScheduledNumberOfPayments,"",ROW()-ROW(PaymentSchedule3[[#Headers],[PMT NO]])),"")</f>
        <v>7</v>
      </c>
      <c r="C18" s="20">
        <f>IF(PaymentSchedule3[[#This Row],[PMT NO]]&lt;&gt;"",EOMONTH(LoanStartDate,ROW(PaymentSchedule3[[#This Row],[PMT NO]])-ROW(PaymentSchedule3[[#Headers],[PMT NO]])-2)+DAY(LoanStartDate),"")</f>
        <v>43831</v>
      </c>
      <c r="D18" s="19">
        <f>IF(PaymentSchedule3[[#This Row],[PMT NO]]&lt;&gt;"",IF(ROW()-ROW(PaymentSchedule3[[#Headers],[BEGINNING BALANCE]])=1,LoanAmount,INDEX(PaymentSchedule3[ENDING BALANCE],ROW()-ROW(PaymentSchedule3[[#Headers],[BEGINNING BALANCE]])-1)),"")</f>
        <v>1989762.4015713336</v>
      </c>
      <c r="E18" s="19">
        <f>IF(PaymentSchedule3[[#This Row],[PMT NO]]&lt;&gt;"",ScheduledPayment,"")</f>
        <v>8358.7693880762818</v>
      </c>
      <c r="F1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8" s="19">
        <f>IF(PaymentSchedule3[[#This Row],[PMT NO]]&lt;&gt;"",PaymentSchedule3[[#This Row],[TOTAL PAYMENT]]-PaymentSchedule3[[#This Row],[INTEREST]],"")</f>
        <v>1726.2280495051691</v>
      </c>
      <c r="I18" s="19">
        <f>IF(PaymentSchedule3[[#This Row],[PMT NO]]&lt;&gt;"",PaymentSchedule3[[#This Row],[BEGINNING BALANCE]]*(InterestRate/PaymentsPerYear),"")</f>
        <v>6632.5413385711126</v>
      </c>
      <c r="J1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1988036.1735218284</v>
      </c>
      <c r="K18" s="19">
        <f>IF(PaymentSchedule3[[#This Row],[PMT NO]]&lt;&gt;"",SUM(INDEX(PaymentSchedule3[INTEREST],1,1):PaymentSchedule3[[#This Row],[INTEREST]]),"")</f>
        <v>46547.559238362483</v>
      </c>
    </row>
    <row r="19" spans="2:11" x14ac:dyDescent="0.3">
      <c r="B19" s="21">
        <f>IF(LoanIsGood,IF(ROW()-ROW(PaymentSchedule3[[#Headers],[PMT NO]])&gt;ScheduledNumberOfPayments,"",ROW()-ROW(PaymentSchedule3[[#Headers],[PMT NO]])),"")</f>
        <v>8</v>
      </c>
      <c r="C19" s="20">
        <f>IF(PaymentSchedule3[[#This Row],[PMT NO]]&lt;&gt;"",EOMONTH(LoanStartDate,ROW(PaymentSchedule3[[#This Row],[PMT NO]])-ROW(PaymentSchedule3[[#Headers],[PMT NO]])-2)+DAY(LoanStartDate),"")</f>
        <v>43862</v>
      </c>
      <c r="D19" s="19">
        <f>IF(PaymentSchedule3[[#This Row],[PMT NO]]&lt;&gt;"",IF(ROW()-ROW(PaymentSchedule3[[#Headers],[BEGINNING BALANCE]])=1,LoanAmount,INDEX(PaymentSchedule3[ENDING BALANCE],ROW()-ROW(PaymentSchedule3[[#Headers],[BEGINNING BALANCE]])-1)),"")</f>
        <v>1988036.1735218284</v>
      </c>
      <c r="E19" s="19">
        <f>IF(PaymentSchedule3[[#This Row],[PMT NO]]&lt;&gt;"",ScheduledPayment,"")</f>
        <v>8358.7693880762818</v>
      </c>
      <c r="F1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9" s="19">
        <f>IF(PaymentSchedule3[[#This Row],[PMT NO]]&lt;&gt;"",PaymentSchedule3[[#This Row],[TOTAL PAYMENT]]-PaymentSchedule3[[#This Row],[INTEREST]],"")</f>
        <v>1731.9821430035199</v>
      </c>
      <c r="I19" s="19">
        <f>IF(PaymentSchedule3[[#This Row],[PMT NO]]&lt;&gt;"",PaymentSchedule3[[#This Row],[BEGINNING BALANCE]]*(InterestRate/PaymentsPerYear),"")</f>
        <v>6626.7872450727618</v>
      </c>
      <c r="J1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1986304.1913788249</v>
      </c>
      <c r="K19" s="19">
        <f>IF(PaymentSchedule3[[#This Row],[PMT NO]]&lt;&gt;"",SUM(INDEX(PaymentSchedule3[INTEREST],1,1):PaymentSchedule3[[#This Row],[INTEREST]]),"")</f>
        <v>53174.346483435242</v>
      </c>
    </row>
    <row r="20" spans="2:11" x14ac:dyDescent="0.3">
      <c r="B20" s="21">
        <f>IF(LoanIsGood,IF(ROW()-ROW(PaymentSchedule3[[#Headers],[PMT NO]])&gt;ScheduledNumberOfPayments,"",ROW()-ROW(PaymentSchedule3[[#Headers],[PMT NO]])),"")</f>
        <v>9</v>
      </c>
      <c r="C20" s="20">
        <f>IF(PaymentSchedule3[[#This Row],[PMT NO]]&lt;&gt;"",EOMONTH(LoanStartDate,ROW(PaymentSchedule3[[#This Row],[PMT NO]])-ROW(PaymentSchedule3[[#Headers],[PMT NO]])-2)+DAY(LoanStartDate),"")</f>
        <v>43891</v>
      </c>
      <c r="D20" s="19">
        <f>IF(PaymentSchedule3[[#This Row],[PMT NO]]&lt;&gt;"",IF(ROW()-ROW(PaymentSchedule3[[#Headers],[BEGINNING BALANCE]])=1,LoanAmount,INDEX(PaymentSchedule3[ENDING BALANCE],ROW()-ROW(PaymentSchedule3[[#Headers],[BEGINNING BALANCE]])-1)),"")</f>
        <v>1986304.1913788249</v>
      </c>
      <c r="E20" s="19">
        <f>IF(PaymentSchedule3[[#This Row],[PMT NO]]&lt;&gt;"",ScheduledPayment,"")</f>
        <v>8358.7693880762818</v>
      </c>
      <c r="F2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0" s="19">
        <f>IF(PaymentSchedule3[[#This Row],[PMT NO]]&lt;&gt;"",PaymentSchedule3[[#This Row],[TOTAL PAYMENT]]-PaymentSchedule3[[#This Row],[INTEREST]],"")</f>
        <v>1737.7554168135321</v>
      </c>
      <c r="I20" s="19">
        <f>IF(PaymentSchedule3[[#This Row],[PMT NO]]&lt;&gt;"",PaymentSchedule3[[#This Row],[BEGINNING BALANCE]]*(InterestRate/PaymentsPerYear),"")</f>
        <v>6621.0139712627497</v>
      </c>
      <c r="J2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1984566.4359620113</v>
      </c>
      <c r="K20" s="19">
        <f>IF(PaymentSchedule3[[#This Row],[PMT NO]]&lt;&gt;"",SUM(INDEX(PaymentSchedule3[INTEREST],1,1):PaymentSchedule3[[#This Row],[INTEREST]]),"")</f>
        <v>59795.360454697991</v>
      </c>
    </row>
    <row r="21" spans="2:11" x14ac:dyDescent="0.3">
      <c r="B21" s="21">
        <f>IF(LoanIsGood,IF(ROW()-ROW(PaymentSchedule3[[#Headers],[PMT NO]])&gt;ScheduledNumberOfPayments,"",ROW()-ROW(PaymentSchedule3[[#Headers],[PMT NO]])),"")</f>
        <v>10</v>
      </c>
      <c r="C21" s="20">
        <f>IF(PaymentSchedule3[[#This Row],[PMT NO]]&lt;&gt;"",EOMONTH(LoanStartDate,ROW(PaymentSchedule3[[#This Row],[PMT NO]])-ROW(PaymentSchedule3[[#Headers],[PMT NO]])-2)+DAY(LoanStartDate),"")</f>
        <v>43922</v>
      </c>
      <c r="D21" s="19">
        <f>IF(PaymentSchedule3[[#This Row],[PMT NO]]&lt;&gt;"",IF(ROW()-ROW(PaymentSchedule3[[#Headers],[BEGINNING BALANCE]])=1,LoanAmount,INDEX(PaymentSchedule3[ENDING BALANCE],ROW()-ROW(PaymentSchedule3[[#Headers],[BEGINNING BALANCE]])-1)),"")</f>
        <v>1984566.4359620113</v>
      </c>
      <c r="E21" s="19">
        <f>IF(PaymentSchedule3[[#This Row],[PMT NO]]&lt;&gt;"",ScheduledPayment,"")</f>
        <v>8358.7693880762818</v>
      </c>
      <c r="F2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1" s="19">
        <f>IF(PaymentSchedule3[[#This Row],[PMT NO]]&lt;&gt;"",PaymentSchedule3[[#This Row],[TOTAL PAYMENT]]-PaymentSchedule3[[#This Row],[INTEREST]],"")</f>
        <v>1743.5479348695771</v>
      </c>
      <c r="I21" s="19">
        <f>IF(PaymentSchedule3[[#This Row],[PMT NO]]&lt;&gt;"",PaymentSchedule3[[#This Row],[BEGINNING BALANCE]]*(InterestRate/PaymentsPerYear),"")</f>
        <v>6615.2214532067046</v>
      </c>
      <c r="J2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1982822.8880271418</v>
      </c>
      <c r="K21" s="19">
        <f>IF(PaymentSchedule3[[#This Row],[PMT NO]]&lt;&gt;"",SUM(INDEX(PaymentSchedule3[INTEREST],1,1):PaymentSchedule3[[#This Row],[INTEREST]]),"")</f>
        <v>66410.581907904692</v>
      </c>
    </row>
    <row r="22" spans="2:11" x14ac:dyDescent="0.3">
      <c r="B22" s="21">
        <f>IF(LoanIsGood,IF(ROW()-ROW(PaymentSchedule3[[#Headers],[PMT NO]])&gt;ScheduledNumberOfPayments,"",ROW()-ROW(PaymentSchedule3[[#Headers],[PMT NO]])),"")</f>
        <v>11</v>
      </c>
      <c r="C22" s="20">
        <f>IF(PaymentSchedule3[[#This Row],[PMT NO]]&lt;&gt;"",EOMONTH(LoanStartDate,ROW(PaymentSchedule3[[#This Row],[PMT NO]])-ROW(PaymentSchedule3[[#Headers],[PMT NO]])-2)+DAY(LoanStartDate),"")</f>
        <v>43952</v>
      </c>
      <c r="D22" s="19">
        <f>IF(PaymentSchedule3[[#This Row],[PMT NO]]&lt;&gt;"",IF(ROW()-ROW(PaymentSchedule3[[#Headers],[BEGINNING BALANCE]])=1,LoanAmount,INDEX(PaymentSchedule3[ENDING BALANCE],ROW()-ROW(PaymentSchedule3[[#Headers],[BEGINNING BALANCE]])-1)),"")</f>
        <v>1982822.8880271418</v>
      </c>
      <c r="E22" s="19">
        <f>IF(PaymentSchedule3[[#This Row],[PMT NO]]&lt;&gt;"",ScheduledPayment,"")</f>
        <v>8358.7693880762818</v>
      </c>
      <c r="F2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2" s="19">
        <f>IF(PaymentSchedule3[[#This Row],[PMT NO]]&lt;&gt;"",PaymentSchedule3[[#This Row],[TOTAL PAYMENT]]-PaymentSchedule3[[#This Row],[INTEREST]],"")</f>
        <v>1749.3597613191423</v>
      </c>
      <c r="I22" s="19">
        <f>IF(PaymentSchedule3[[#This Row],[PMT NO]]&lt;&gt;"",PaymentSchedule3[[#This Row],[BEGINNING BALANCE]]*(InterestRate/PaymentsPerYear),"")</f>
        <v>6609.4096267571394</v>
      </c>
      <c r="J2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1981073.5282658227</v>
      </c>
      <c r="K22" s="19">
        <f>IF(PaymentSchedule3[[#This Row],[PMT NO]]&lt;&gt;"",SUM(INDEX(PaymentSchedule3[INTEREST],1,1):PaymentSchedule3[[#This Row],[INTEREST]]),"")</f>
        <v>73019.991534661836</v>
      </c>
    </row>
    <row r="23" spans="2:11" x14ac:dyDescent="0.3">
      <c r="B23" s="21">
        <f>IF(LoanIsGood,IF(ROW()-ROW(PaymentSchedule3[[#Headers],[PMT NO]])&gt;ScheduledNumberOfPayments,"",ROW()-ROW(PaymentSchedule3[[#Headers],[PMT NO]])),"")</f>
        <v>12</v>
      </c>
      <c r="C23" s="20">
        <f>IF(PaymentSchedule3[[#This Row],[PMT NO]]&lt;&gt;"",EOMONTH(LoanStartDate,ROW(PaymentSchedule3[[#This Row],[PMT NO]])-ROW(PaymentSchedule3[[#Headers],[PMT NO]])-2)+DAY(LoanStartDate),"")</f>
        <v>43983</v>
      </c>
      <c r="D23" s="19">
        <f>IF(PaymentSchedule3[[#This Row],[PMT NO]]&lt;&gt;"",IF(ROW()-ROW(PaymentSchedule3[[#Headers],[BEGINNING BALANCE]])=1,LoanAmount,INDEX(PaymentSchedule3[ENDING BALANCE],ROW()-ROW(PaymentSchedule3[[#Headers],[BEGINNING BALANCE]])-1)),"")</f>
        <v>1981073.5282658227</v>
      </c>
      <c r="E23" s="19">
        <f>IF(PaymentSchedule3[[#This Row],[PMT NO]]&lt;&gt;"",ScheduledPayment,"")</f>
        <v>8358.7693880762818</v>
      </c>
      <c r="F2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3" s="19">
        <f>IF(PaymentSchedule3[[#This Row],[PMT NO]]&lt;&gt;"",PaymentSchedule3[[#This Row],[TOTAL PAYMENT]]-PaymentSchedule3[[#This Row],[INTEREST]],"")</f>
        <v>1755.1909605235387</v>
      </c>
      <c r="I23" s="19">
        <f>IF(PaymentSchedule3[[#This Row],[PMT NO]]&lt;&gt;"",PaymentSchedule3[[#This Row],[BEGINNING BALANCE]]*(InterestRate/PaymentsPerYear),"")</f>
        <v>6603.5784275527431</v>
      </c>
      <c r="J2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1979318.3373052992</v>
      </c>
      <c r="K23" s="19">
        <f>IF(PaymentSchedule3[[#This Row],[PMT NO]]&lt;&gt;"",SUM(INDEX(PaymentSchedule3[INTEREST],1,1):PaymentSchedule3[[#This Row],[INTEREST]]),"")</f>
        <v>79623.569962214577</v>
      </c>
    </row>
    <row r="24" spans="2:11" x14ac:dyDescent="0.3">
      <c r="B24" s="21">
        <f>IF(LoanIsGood,IF(ROW()-ROW(PaymentSchedule3[[#Headers],[PMT NO]])&gt;ScheduledNumberOfPayments,"",ROW()-ROW(PaymentSchedule3[[#Headers],[PMT NO]])),"")</f>
        <v>13</v>
      </c>
      <c r="C24" s="20">
        <f>IF(PaymentSchedule3[[#This Row],[PMT NO]]&lt;&gt;"",EOMONTH(LoanStartDate,ROW(PaymentSchedule3[[#This Row],[PMT NO]])-ROW(PaymentSchedule3[[#Headers],[PMT NO]])-2)+DAY(LoanStartDate),"")</f>
        <v>44013</v>
      </c>
      <c r="D24" s="19">
        <f>IF(PaymentSchedule3[[#This Row],[PMT NO]]&lt;&gt;"",IF(ROW()-ROW(PaymentSchedule3[[#Headers],[BEGINNING BALANCE]])=1,LoanAmount,INDEX(PaymentSchedule3[ENDING BALANCE],ROW()-ROW(PaymentSchedule3[[#Headers],[BEGINNING BALANCE]])-1)),"")</f>
        <v>1979318.3373052992</v>
      </c>
      <c r="E24" s="19">
        <f>IF(PaymentSchedule3[[#This Row],[PMT NO]]&lt;&gt;"",ScheduledPayment,"")</f>
        <v>8358.7693880762818</v>
      </c>
      <c r="F2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4" s="19">
        <f>IF(PaymentSchedule3[[#This Row],[PMT NO]]&lt;&gt;"",PaymentSchedule3[[#This Row],[TOTAL PAYMENT]]-PaymentSchedule3[[#This Row],[INTEREST]],"")</f>
        <v>1761.0415970586173</v>
      </c>
      <c r="I24" s="19">
        <f>IF(PaymentSchedule3[[#This Row],[PMT NO]]&lt;&gt;"",PaymentSchedule3[[#This Row],[BEGINNING BALANCE]]*(InterestRate/PaymentsPerYear),"")</f>
        <v>6597.7277910176645</v>
      </c>
      <c r="J2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1977557.2957082407</v>
      </c>
      <c r="K24" s="19">
        <f>IF(PaymentSchedule3[[#This Row],[PMT NO]]&lt;&gt;"",SUM(INDEX(PaymentSchedule3[INTEREST],1,1):PaymentSchedule3[[#This Row],[INTEREST]]),"")</f>
        <v>86221.29775323224</v>
      </c>
    </row>
    <row r="25" spans="2:11" x14ac:dyDescent="0.3">
      <c r="B25" s="21">
        <f>IF(LoanIsGood,IF(ROW()-ROW(PaymentSchedule3[[#Headers],[PMT NO]])&gt;ScheduledNumberOfPayments,"",ROW()-ROW(PaymentSchedule3[[#Headers],[PMT NO]])),"")</f>
        <v>14</v>
      </c>
      <c r="C25" s="20">
        <f>IF(PaymentSchedule3[[#This Row],[PMT NO]]&lt;&gt;"",EOMONTH(LoanStartDate,ROW(PaymentSchedule3[[#This Row],[PMT NO]])-ROW(PaymentSchedule3[[#Headers],[PMT NO]])-2)+DAY(LoanStartDate),"")</f>
        <v>44044</v>
      </c>
      <c r="D25" s="19">
        <f>IF(PaymentSchedule3[[#This Row],[PMT NO]]&lt;&gt;"",IF(ROW()-ROW(PaymentSchedule3[[#Headers],[BEGINNING BALANCE]])=1,LoanAmount,INDEX(PaymentSchedule3[ENDING BALANCE],ROW()-ROW(PaymentSchedule3[[#Headers],[BEGINNING BALANCE]])-1)),"")</f>
        <v>1977557.2957082407</v>
      </c>
      <c r="E25" s="19">
        <f>IF(PaymentSchedule3[[#This Row],[PMT NO]]&lt;&gt;"",ScheduledPayment,"")</f>
        <v>8358.7693880762818</v>
      </c>
      <c r="F2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5" s="19">
        <f>IF(PaymentSchedule3[[#This Row],[PMT NO]]&lt;&gt;"",PaymentSchedule3[[#This Row],[TOTAL PAYMENT]]-PaymentSchedule3[[#This Row],[INTEREST]],"")</f>
        <v>1766.9117357154792</v>
      </c>
      <c r="I25" s="19">
        <f>IF(PaymentSchedule3[[#This Row],[PMT NO]]&lt;&gt;"",PaymentSchedule3[[#This Row],[BEGINNING BALANCE]]*(InterestRate/PaymentsPerYear),"")</f>
        <v>6591.8576523608026</v>
      </c>
      <c r="J2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1975790.3839725251</v>
      </c>
      <c r="K25" s="19">
        <f>IF(PaymentSchedule3[[#This Row],[PMT NO]]&lt;&gt;"",SUM(INDEX(PaymentSchedule3[INTEREST],1,1):PaymentSchedule3[[#This Row],[INTEREST]]),"")</f>
        <v>92813.155405593046</v>
      </c>
    </row>
    <row r="26" spans="2:11" x14ac:dyDescent="0.3">
      <c r="B26" s="21">
        <f>IF(LoanIsGood,IF(ROW()-ROW(PaymentSchedule3[[#Headers],[PMT NO]])&gt;ScheduledNumberOfPayments,"",ROW()-ROW(PaymentSchedule3[[#Headers],[PMT NO]])),"")</f>
        <v>15</v>
      </c>
      <c r="C26" s="20">
        <f>IF(PaymentSchedule3[[#This Row],[PMT NO]]&lt;&gt;"",EOMONTH(LoanStartDate,ROW(PaymentSchedule3[[#This Row],[PMT NO]])-ROW(PaymentSchedule3[[#Headers],[PMT NO]])-2)+DAY(LoanStartDate),"")</f>
        <v>44075</v>
      </c>
      <c r="D26" s="19">
        <f>IF(PaymentSchedule3[[#This Row],[PMT NO]]&lt;&gt;"",IF(ROW()-ROW(PaymentSchedule3[[#Headers],[BEGINNING BALANCE]])=1,LoanAmount,INDEX(PaymentSchedule3[ENDING BALANCE],ROW()-ROW(PaymentSchedule3[[#Headers],[BEGINNING BALANCE]])-1)),"")</f>
        <v>1975790.3839725251</v>
      </c>
      <c r="E26" s="19">
        <f>IF(PaymentSchedule3[[#This Row],[PMT NO]]&lt;&gt;"",ScheduledPayment,"")</f>
        <v>8358.7693880762818</v>
      </c>
      <c r="F2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6" s="19">
        <f>IF(PaymentSchedule3[[#This Row],[PMT NO]]&lt;&gt;"",PaymentSchedule3[[#This Row],[TOTAL PAYMENT]]-PaymentSchedule3[[#This Row],[INTEREST]],"")</f>
        <v>1772.8014415011976</v>
      </c>
      <c r="I26" s="19">
        <f>IF(PaymentSchedule3[[#This Row],[PMT NO]]&lt;&gt;"",PaymentSchedule3[[#This Row],[BEGINNING BALANCE]]*(InterestRate/PaymentsPerYear),"")</f>
        <v>6585.9679465750842</v>
      </c>
      <c r="J2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1974017.582531024</v>
      </c>
      <c r="K26" s="19">
        <f>IF(PaymentSchedule3[[#This Row],[PMT NO]]&lt;&gt;"",SUM(INDEX(PaymentSchedule3[INTEREST],1,1):PaymentSchedule3[[#This Row],[INTEREST]]),"")</f>
        <v>99399.123352168128</v>
      </c>
    </row>
    <row r="27" spans="2:11" x14ac:dyDescent="0.3">
      <c r="B27" s="21">
        <f>IF(LoanIsGood,IF(ROW()-ROW(PaymentSchedule3[[#Headers],[PMT NO]])&gt;ScheduledNumberOfPayments,"",ROW()-ROW(PaymentSchedule3[[#Headers],[PMT NO]])),"")</f>
        <v>16</v>
      </c>
      <c r="C27" s="20">
        <f>IF(PaymentSchedule3[[#This Row],[PMT NO]]&lt;&gt;"",EOMONTH(LoanStartDate,ROW(PaymentSchedule3[[#This Row],[PMT NO]])-ROW(PaymentSchedule3[[#Headers],[PMT NO]])-2)+DAY(LoanStartDate),"")</f>
        <v>44105</v>
      </c>
      <c r="D27" s="19">
        <f>IF(PaymentSchedule3[[#This Row],[PMT NO]]&lt;&gt;"",IF(ROW()-ROW(PaymentSchedule3[[#Headers],[BEGINNING BALANCE]])=1,LoanAmount,INDEX(PaymentSchedule3[ENDING BALANCE],ROW()-ROW(PaymentSchedule3[[#Headers],[BEGINNING BALANCE]])-1)),"")</f>
        <v>1974017.582531024</v>
      </c>
      <c r="E27" s="19">
        <f>IF(PaymentSchedule3[[#This Row],[PMT NO]]&lt;&gt;"",ScheduledPayment,"")</f>
        <v>8358.7693880762818</v>
      </c>
      <c r="F2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7" s="19">
        <f>IF(PaymentSchedule3[[#This Row],[PMT NO]]&lt;&gt;"",PaymentSchedule3[[#This Row],[TOTAL PAYMENT]]-PaymentSchedule3[[#This Row],[INTEREST]],"")</f>
        <v>1778.7107796395348</v>
      </c>
      <c r="I27" s="19">
        <f>IF(PaymentSchedule3[[#This Row],[PMT NO]]&lt;&gt;"",PaymentSchedule3[[#This Row],[BEGINNING BALANCE]]*(InterestRate/PaymentsPerYear),"")</f>
        <v>6580.0586084367469</v>
      </c>
      <c r="J2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1972238.8717513846</v>
      </c>
      <c r="K27" s="19">
        <f>IF(PaymentSchedule3[[#This Row],[PMT NO]]&lt;&gt;"",SUM(INDEX(PaymentSchedule3[INTEREST],1,1):PaymentSchedule3[[#This Row],[INTEREST]]),"")</f>
        <v>105979.18196060488</v>
      </c>
    </row>
    <row r="28" spans="2:11" x14ac:dyDescent="0.3">
      <c r="B28" s="21">
        <f>IF(LoanIsGood,IF(ROW()-ROW(PaymentSchedule3[[#Headers],[PMT NO]])&gt;ScheduledNumberOfPayments,"",ROW()-ROW(PaymentSchedule3[[#Headers],[PMT NO]])),"")</f>
        <v>17</v>
      </c>
      <c r="C28" s="20">
        <f>IF(PaymentSchedule3[[#This Row],[PMT NO]]&lt;&gt;"",EOMONTH(LoanStartDate,ROW(PaymentSchedule3[[#This Row],[PMT NO]])-ROW(PaymentSchedule3[[#Headers],[PMT NO]])-2)+DAY(LoanStartDate),"")</f>
        <v>44136</v>
      </c>
      <c r="D28" s="19">
        <f>IF(PaymentSchedule3[[#This Row],[PMT NO]]&lt;&gt;"",IF(ROW()-ROW(PaymentSchedule3[[#Headers],[BEGINNING BALANCE]])=1,LoanAmount,INDEX(PaymentSchedule3[ENDING BALANCE],ROW()-ROW(PaymentSchedule3[[#Headers],[BEGINNING BALANCE]])-1)),"")</f>
        <v>1972238.8717513846</v>
      </c>
      <c r="E28" s="19">
        <f>IF(PaymentSchedule3[[#This Row],[PMT NO]]&lt;&gt;"",ScheduledPayment,"")</f>
        <v>8358.7693880762818</v>
      </c>
      <c r="F2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8" s="19">
        <f>IF(PaymentSchedule3[[#This Row],[PMT NO]]&lt;&gt;"",PaymentSchedule3[[#This Row],[TOTAL PAYMENT]]-PaymentSchedule3[[#This Row],[INTEREST]],"")</f>
        <v>1784.6398155716661</v>
      </c>
      <c r="I28" s="19">
        <f>IF(PaymentSchedule3[[#This Row],[PMT NO]]&lt;&gt;"",PaymentSchedule3[[#This Row],[BEGINNING BALANCE]]*(InterestRate/PaymentsPerYear),"")</f>
        <v>6574.1295725046157</v>
      </c>
      <c r="J2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1970454.2319358129</v>
      </c>
      <c r="K28" s="19">
        <f>IF(PaymentSchedule3[[#This Row],[PMT NO]]&lt;&gt;"",SUM(INDEX(PaymentSchedule3[INTEREST],1,1):PaymentSchedule3[[#This Row],[INTEREST]]),"")</f>
        <v>112553.3115331095</v>
      </c>
    </row>
    <row r="29" spans="2:11" x14ac:dyDescent="0.3">
      <c r="B29" s="21">
        <f>IF(LoanIsGood,IF(ROW()-ROW(PaymentSchedule3[[#Headers],[PMT NO]])&gt;ScheduledNumberOfPayments,"",ROW()-ROW(PaymentSchedule3[[#Headers],[PMT NO]])),"")</f>
        <v>18</v>
      </c>
      <c r="C29" s="20">
        <f>IF(PaymentSchedule3[[#This Row],[PMT NO]]&lt;&gt;"",EOMONTH(LoanStartDate,ROW(PaymentSchedule3[[#This Row],[PMT NO]])-ROW(PaymentSchedule3[[#Headers],[PMT NO]])-2)+DAY(LoanStartDate),"")</f>
        <v>44166</v>
      </c>
      <c r="D29" s="19">
        <f>IF(PaymentSchedule3[[#This Row],[PMT NO]]&lt;&gt;"",IF(ROW()-ROW(PaymentSchedule3[[#Headers],[BEGINNING BALANCE]])=1,LoanAmount,INDEX(PaymentSchedule3[ENDING BALANCE],ROW()-ROW(PaymentSchedule3[[#Headers],[BEGINNING BALANCE]])-1)),"")</f>
        <v>1970454.2319358129</v>
      </c>
      <c r="E29" s="19">
        <f>IF(PaymentSchedule3[[#This Row],[PMT NO]]&lt;&gt;"",ScheduledPayment,"")</f>
        <v>8358.7693880762818</v>
      </c>
      <c r="F2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9" s="19">
        <f>IF(PaymentSchedule3[[#This Row],[PMT NO]]&lt;&gt;"",PaymentSchedule3[[#This Row],[TOTAL PAYMENT]]-PaymentSchedule3[[#This Row],[INTEREST]],"")</f>
        <v>1790.5886149569051</v>
      </c>
      <c r="I29" s="19">
        <f>IF(PaymentSchedule3[[#This Row],[PMT NO]]&lt;&gt;"",PaymentSchedule3[[#This Row],[BEGINNING BALANCE]]*(InterestRate/PaymentsPerYear),"")</f>
        <v>6568.1807731193767</v>
      </c>
      <c r="J2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1968663.6433208559</v>
      </c>
      <c r="K29" s="19">
        <f>IF(PaymentSchedule3[[#This Row],[PMT NO]]&lt;&gt;"",SUM(INDEX(PaymentSchedule3[INTEREST],1,1):PaymentSchedule3[[#This Row],[INTEREST]]),"")</f>
        <v>119121.49230622887</v>
      </c>
    </row>
    <row r="30" spans="2:11" x14ac:dyDescent="0.3">
      <c r="B30" s="21">
        <f>IF(LoanIsGood,IF(ROW()-ROW(PaymentSchedule3[[#Headers],[PMT NO]])&gt;ScheduledNumberOfPayments,"",ROW()-ROW(PaymentSchedule3[[#Headers],[PMT NO]])),"")</f>
        <v>19</v>
      </c>
      <c r="C30" s="20">
        <f>IF(PaymentSchedule3[[#This Row],[PMT NO]]&lt;&gt;"",EOMONTH(LoanStartDate,ROW(PaymentSchedule3[[#This Row],[PMT NO]])-ROW(PaymentSchedule3[[#Headers],[PMT NO]])-2)+DAY(LoanStartDate),"")</f>
        <v>44197</v>
      </c>
      <c r="D30" s="19">
        <f>IF(PaymentSchedule3[[#This Row],[PMT NO]]&lt;&gt;"",IF(ROW()-ROW(PaymentSchedule3[[#Headers],[BEGINNING BALANCE]])=1,LoanAmount,INDEX(PaymentSchedule3[ENDING BALANCE],ROW()-ROW(PaymentSchedule3[[#Headers],[BEGINNING BALANCE]])-1)),"")</f>
        <v>1968663.6433208559</v>
      </c>
      <c r="E30" s="19">
        <f>IF(PaymentSchedule3[[#This Row],[PMT NO]]&lt;&gt;"",ScheduledPayment,"")</f>
        <v>8358.7693880762818</v>
      </c>
      <c r="F3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0" s="19">
        <f>IF(PaymentSchedule3[[#This Row],[PMT NO]]&lt;&gt;"",PaymentSchedule3[[#This Row],[TOTAL PAYMENT]]-PaymentSchedule3[[#This Row],[INTEREST]],"")</f>
        <v>1796.5572436734283</v>
      </c>
      <c r="I30" s="19">
        <f>IF(PaymentSchedule3[[#This Row],[PMT NO]]&lt;&gt;"",PaymentSchedule3[[#This Row],[BEGINNING BALANCE]]*(InterestRate/PaymentsPerYear),"")</f>
        <v>6562.2121444028535</v>
      </c>
      <c r="J3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1966867.0860771826</v>
      </c>
      <c r="K30" s="19">
        <f>IF(PaymentSchedule3[[#This Row],[PMT NO]]&lt;&gt;"",SUM(INDEX(PaymentSchedule3[INTEREST],1,1):PaymentSchedule3[[#This Row],[INTEREST]]),"")</f>
        <v>125683.70445063173</v>
      </c>
    </row>
    <row r="31" spans="2:11" x14ac:dyDescent="0.3">
      <c r="B31" s="21">
        <f>IF(LoanIsGood,IF(ROW()-ROW(PaymentSchedule3[[#Headers],[PMT NO]])&gt;ScheduledNumberOfPayments,"",ROW()-ROW(PaymentSchedule3[[#Headers],[PMT NO]])),"")</f>
        <v>20</v>
      </c>
      <c r="C31" s="20">
        <f>IF(PaymentSchedule3[[#This Row],[PMT NO]]&lt;&gt;"",EOMONTH(LoanStartDate,ROW(PaymentSchedule3[[#This Row],[PMT NO]])-ROW(PaymentSchedule3[[#Headers],[PMT NO]])-2)+DAY(LoanStartDate),"")</f>
        <v>44228</v>
      </c>
      <c r="D31" s="19">
        <f>IF(PaymentSchedule3[[#This Row],[PMT NO]]&lt;&gt;"",IF(ROW()-ROW(PaymentSchedule3[[#Headers],[BEGINNING BALANCE]])=1,LoanAmount,INDEX(PaymentSchedule3[ENDING BALANCE],ROW()-ROW(PaymentSchedule3[[#Headers],[BEGINNING BALANCE]])-1)),"")</f>
        <v>1966867.0860771826</v>
      </c>
      <c r="E31" s="19">
        <f>IF(PaymentSchedule3[[#This Row],[PMT NO]]&lt;&gt;"",ScheduledPayment,"")</f>
        <v>8358.7693880762818</v>
      </c>
      <c r="F3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1" s="19">
        <f>IF(PaymentSchedule3[[#This Row],[PMT NO]]&lt;&gt;"",PaymentSchedule3[[#This Row],[TOTAL PAYMENT]]-PaymentSchedule3[[#This Row],[INTEREST]],"")</f>
        <v>1802.545767819006</v>
      </c>
      <c r="I31" s="19">
        <f>IF(PaymentSchedule3[[#This Row],[PMT NO]]&lt;&gt;"",PaymentSchedule3[[#This Row],[BEGINNING BALANCE]]*(InterestRate/PaymentsPerYear),"")</f>
        <v>6556.2236202572758</v>
      </c>
      <c r="J3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1965064.5403093635</v>
      </c>
      <c r="K31" s="19">
        <f>IF(PaymentSchedule3[[#This Row],[PMT NO]]&lt;&gt;"",SUM(INDEX(PaymentSchedule3[INTEREST],1,1):PaymentSchedule3[[#This Row],[INTEREST]]),"")</f>
        <v>132239.928070889</v>
      </c>
    </row>
    <row r="32" spans="2:11" x14ac:dyDescent="0.3">
      <c r="B32" s="21">
        <f>IF(LoanIsGood,IF(ROW()-ROW(PaymentSchedule3[[#Headers],[PMT NO]])&gt;ScheduledNumberOfPayments,"",ROW()-ROW(PaymentSchedule3[[#Headers],[PMT NO]])),"")</f>
        <v>21</v>
      </c>
      <c r="C32" s="20">
        <f>IF(PaymentSchedule3[[#This Row],[PMT NO]]&lt;&gt;"",EOMONTH(LoanStartDate,ROW(PaymentSchedule3[[#This Row],[PMT NO]])-ROW(PaymentSchedule3[[#Headers],[PMT NO]])-2)+DAY(LoanStartDate),"")</f>
        <v>44256</v>
      </c>
      <c r="D32" s="19">
        <f>IF(PaymentSchedule3[[#This Row],[PMT NO]]&lt;&gt;"",IF(ROW()-ROW(PaymentSchedule3[[#Headers],[BEGINNING BALANCE]])=1,LoanAmount,INDEX(PaymentSchedule3[ENDING BALANCE],ROW()-ROW(PaymentSchedule3[[#Headers],[BEGINNING BALANCE]])-1)),"")</f>
        <v>1965064.5403093635</v>
      </c>
      <c r="E32" s="19">
        <f>IF(PaymentSchedule3[[#This Row],[PMT NO]]&lt;&gt;"",ScheduledPayment,"")</f>
        <v>8358.7693880762818</v>
      </c>
      <c r="F3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2" s="19">
        <f>IF(PaymentSchedule3[[#This Row],[PMT NO]]&lt;&gt;"",PaymentSchedule3[[#This Row],[TOTAL PAYMENT]]-PaymentSchedule3[[#This Row],[INTEREST]],"")</f>
        <v>1808.5542537117362</v>
      </c>
      <c r="I32" s="19">
        <f>IF(PaymentSchedule3[[#This Row],[PMT NO]]&lt;&gt;"",PaymentSchedule3[[#This Row],[BEGINNING BALANCE]]*(InterestRate/PaymentsPerYear),"")</f>
        <v>6550.2151343645455</v>
      </c>
      <c r="J3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1963255.9860556517</v>
      </c>
      <c r="K32" s="19">
        <f>IF(PaymentSchedule3[[#This Row],[PMT NO]]&lt;&gt;"",SUM(INDEX(PaymentSchedule3[INTEREST],1,1):PaymentSchedule3[[#This Row],[INTEREST]]),"")</f>
        <v>138790.14320525355</v>
      </c>
    </row>
    <row r="33" spans="2:11" x14ac:dyDescent="0.3">
      <c r="B33" s="21">
        <f>IF(LoanIsGood,IF(ROW()-ROW(PaymentSchedule3[[#Headers],[PMT NO]])&gt;ScheduledNumberOfPayments,"",ROW()-ROW(PaymentSchedule3[[#Headers],[PMT NO]])),"")</f>
        <v>22</v>
      </c>
      <c r="C33" s="20">
        <f>IF(PaymentSchedule3[[#This Row],[PMT NO]]&lt;&gt;"",EOMONTH(LoanStartDate,ROW(PaymentSchedule3[[#This Row],[PMT NO]])-ROW(PaymentSchedule3[[#Headers],[PMT NO]])-2)+DAY(LoanStartDate),"")</f>
        <v>44287</v>
      </c>
      <c r="D33" s="19">
        <f>IF(PaymentSchedule3[[#This Row],[PMT NO]]&lt;&gt;"",IF(ROW()-ROW(PaymentSchedule3[[#Headers],[BEGINNING BALANCE]])=1,LoanAmount,INDEX(PaymentSchedule3[ENDING BALANCE],ROW()-ROW(PaymentSchedule3[[#Headers],[BEGINNING BALANCE]])-1)),"")</f>
        <v>1963255.9860556517</v>
      </c>
      <c r="E33" s="19">
        <f>IF(PaymentSchedule3[[#This Row],[PMT NO]]&lt;&gt;"",ScheduledPayment,"")</f>
        <v>8358.7693880762818</v>
      </c>
      <c r="F3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3" s="19">
        <f>IF(PaymentSchedule3[[#This Row],[PMT NO]]&lt;&gt;"",PaymentSchedule3[[#This Row],[TOTAL PAYMENT]]-PaymentSchedule3[[#This Row],[INTEREST]],"")</f>
        <v>1814.5827678907754</v>
      </c>
      <c r="I33" s="19">
        <f>IF(PaymentSchedule3[[#This Row],[PMT NO]]&lt;&gt;"",PaymentSchedule3[[#This Row],[BEGINNING BALANCE]]*(InterestRate/PaymentsPerYear),"")</f>
        <v>6544.1866201855064</v>
      </c>
      <c r="J3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1961441.4032877609</v>
      </c>
      <c r="K33" s="19">
        <f>IF(PaymentSchedule3[[#This Row],[PMT NO]]&lt;&gt;"",SUM(INDEX(PaymentSchedule3[INTEREST],1,1):PaymentSchedule3[[#This Row],[INTEREST]]),"")</f>
        <v>145334.32982543905</v>
      </c>
    </row>
    <row r="34" spans="2:11" x14ac:dyDescent="0.3">
      <c r="B34" s="21">
        <f>IF(LoanIsGood,IF(ROW()-ROW(PaymentSchedule3[[#Headers],[PMT NO]])&gt;ScheduledNumberOfPayments,"",ROW()-ROW(PaymentSchedule3[[#Headers],[PMT NO]])),"")</f>
        <v>23</v>
      </c>
      <c r="C34" s="20">
        <f>IF(PaymentSchedule3[[#This Row],[PMT NO]]&lt;&gt;"",EOMONTH(LoanStartDate,ROW(PaymentSchedule3[[#This Row],[PMT NO]])-ROW(PaymentSchedule3[[#Headers],[PMT NO]])-2)+DAY(LoanStartDate),"")</f>
        <v>44317</v>
      </c>
      <c r="D34" s="19">
        <f>IF(PaymentSchedule3[[#This Row],[PMT NO]]&lt;&gt;"",IF(ROW()-ROW(PaymentSchedule3[[#Headers],[BEGINNING BALANCE]])=1,LoanAmount,INDEX(PaymentSchedule3[ENDING BALANCE],ROW()-ROW(PaymentSchedule3[[#Headers],[BEGINNING BALANCE]])-1)),"")</f>
        <v>1961441.4032877609</v>
      </c>
      <c r="E34" s="19">
        <f>IF(PaymentSchedule3[[#This Row],[PMT NO]]&lt;&gt;"",ScheduledPayment,"")</f>
        <v>8358.7693880762818</v>
      </c>
      <c r="F3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4" s="19">
        <f>IF(PaymentSchedule3[[#This Row],[PMT NO]]&lt;&gt;"",PaymentSchedule3[[#This Row],[TOTAL PAYMENT]]-PaymentSchedule3[[#This Row],[INTEREST]],"")</f>
        <v>1820.631377117078</v>
      </c>
      <c r="I34" s="19">
        <f>IF(PaymentSchedule3[[#This Row],[PMT NO]]&lt;&gt;"",PaymentSchedule3[[#This Row],[BEGINNING BALANCE]]*(InterestRate/PaymentsPerYear),"")</f>
        <v>6538.1380109592037</v>
      </c>
      <c r="J3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1959620.7719106439</v>
      </c>
      <c r="K34" s="19">
        <f>IF(PaymentSchedule3[[#This Row],[PMT NO]]&lt;&gt;"",SUM(INDEX(PaymentSchedule3[INTEREST],1,1):PaymentSchedule3[[#This Row],[INTEREST]]),"")</f>
        <v>151872.46783639825</v>
      </c>
    </row>
    <row r="35" spans="2:11" x14ac:dyDescent="0.3">
      <c r="B35" s="21">
        <f>IF(LoanIsGood,IF(ROW()-ROW(PaymentSchedule3[[#Headers],[PMT NO]])&gt;ScheduledNumberOfPayments,"",ROW()-ROW(PaymentSchedule3[[#Headers],[PMT NO]])),"")</f>
        <v>24</v>
      </c>
      <c r="C35" s="20">
        <f>IF(PaymentSchedule3[[#This Row],[PMT NO]]&lt;&gt;"",EOMONTH(LoanStartDate,ROW(PaymentSchedule3[[#This Row],[PMT NO]])-ROW(PaymentSchedule3[[#Headers],[PMT NO]])-2)+DAY(LoanStartDate),"")</f>
        <v>44348</v>
      </c>
      <c r="D35" s="19">
        <f>IF(PaymentSchedule3[[#This Row],[PMT NO]]&lt;&gt;"",IF(ROW()-ROW(PaymentSchedule3[[#Headers],[BEGINNING BALANCE]])=1,LoanAmount,INDEX(PaymentSchedule3[ENDING BALANCE],ROW()-ROW(PaymentSchedule3[[#Headers],[BEGINNING BALANCE]])-1)),"")</f>
        <v>1959620.7719106439</v>
      </c>
      <c r="E35" s="19">
        <f>IF(PaymentSchedule3[[#This Row],[PMT NO]]&lt;&gt;"",ScheduledPayment,"")</f>
        <v>8358.7693880762818</v>
      </c>
      <c r="F3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5" s="19">
        <f>IF(PaymentSchedule3[[#This Row],[PMT NO]]&lt;&gt;"",PaymentSchedule3[[#This Row],[TOTAL PAYMENT]]-PaymentSchedule3[[#This Row],[INTEREST]],"")</f>
        <v>1826.7001483741351</v>
      </c>
      <c r="I35" s="19">
        <f>IF(PaymentSchedule3[[#This Row],[PMT NO]]&lt;&gt;"",PaymentSchedule3[[#This Row],[BEGINNING BALANCE]]*(InterestRate/PaymentsPerYear),"")</f>
        <v>6532.0692397021467</v>
      </c>
      <c r="J3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1957794.0717622698</v>
      </c>
      <c r="K35" s="19">
        <f>IF(PaymentSchedule3[[#This Row],[PMT NO]]&lt;&gt;"",SUM(INDEX(PaymentSchedule3[INTEREST],1,1):PaymentSchedule3[[#This Row],[INTEREST]]),"")</f>
        <v>158404.53707610039</v>
      </c>
    </row>
    <row r="36" spans="2:11" x14ac:dyDescent="0.3">
      <c r="B36" s="21">
        <f>IF(LoanIsGood,IF(ROW()-ROW(PaymentSchedule3[[#Headers],[PMT NO]])&gt;ScheduledNumberOfPayments,"",ROW()-ROW(PaymentSchedule3[[#Headers],[PMT NO]])),"")</f>
        <v>25</v>
      </c>
      <c r="C36" s="20">
        <f>IF(PaymentSchedule3[[#This Row],[PMT NO]]&lt;&gt;"",EOMONTH(LoanStartDate,ROW(PaymentSchedule3[[#This Row],[PMT NO]])-ROW(PaymentSchedule3[[#Headers],[PMT NO]])-2)+DAY(LoanStartDate),"")</f>
        <v>44378</v>
      </c>
      <c r="D36" s="19">
        <f>IF(PaymentSchedule3[[#This Row],[PMT NO]]&lt;&gt;"",IF(ROW()-ROW(PaymentSchedule3[[#Headers],[BEGINNING BALANCE]])=1,LoanAmount,INDEX(PaymentSchedule3[ENDING BALANCE],ROW()-ROW(PaymentSchedule3[[#Headers],[BEGINNING BALANCE]])-1)),"")</f>
        <v>1957794.0717622698</v>
      </c>
      <c r="E36" s="19">
        <f>IF(PaymentSchedule3[[#This Row],[PMT NO]]&lt;&gt;"",ScheduledPayment,"")</f>
        <v>8358.7693880762818</v>
      </c>
      <c r="F3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6" s="19">
        <f>IF(PaymentSchedule3[[#This Row],[PMT NO]]&lt;&gt;"",PaymentSchedule3[[#This Row],[TOTAL PAYMENT]]-PaymentSchedule3[[#This Row],[INTEREST]],"")</f>
        <v>1832.7891488687155</v>
      </c>
      <c r="I36" s="19">
        <f>IF(PaymentSchedule3[[#This Row],[PMT NO]]&lt;&gt;"",PaymentSchedule3[[#This Row],[BEGINNING BALANCE]]*(InterestRate/PaymentsPerYear),"")</f>
        <v>6525.9802392075662</v>
      </c>
      <c r="J3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1955961.2826134011</v>
      </c>
      <c r="K36" s="19">
        <f>IF(PaymentSchedule3[[#This Row],[PMT NO]]&lt;&gt;"",SUM(INDEX(PaymentSchedule3[INTEREST],1,1):PaymentSchedule3[[#This Row],[INTEREST]]),"")</f>
        <v>164930.51731530795</v>
      </c>
    </row>
    <row r="37" spans="2:11" x14ac:dyDescent="0.3">
      <c r="B37" s="21">
        <f>IF(LoanIsGood,IF(ROW()-ROW(PaymentSchedule3[[#Headers],[PMT NO]])&gt;ScheduledNumberOfPayments,"",ROW()-ROW(PaymentSchedule3[[#Headers],[PMT NO]])),"")</f>
        <v>26</v>
      </c>
      <c r="C37" s="20">
        <f>IF(PaymentSchedule3[[#This Row],[PMT NO]]&lt;&gt;"",EOMONTH(LoanStartDate,ROW(PaymentSchedule3[[#This Row],[PMT NO]])-ROW(PaymentSchedule3[[#Headers],[PMT NO]])-2)+DAY(LoanStartDate),"")</f>
        <v>44409</v>
      </c>
      <c r="D37" s="19">
        <f>IF(PaymentSchedule3[[#This Row],[PMT NO]]&lt;&gt;"",IF(ROW()-ROW(PaymentSchedule3[[#Headers],[BEGINNING BALANCE]])=1,LoanAmount,INDEX(PaymentSchedule3[ENDING BALANCE],ROW()-ROW(PaymentSchedule3[[#Headers],[BEGINNING BALANCE]])-1)),"")</f>
        <v>1955961.2826134011</v>
      </c>
      <c r="E37" s="19">
        <f>IF(PaymentSchedule3[[#This Row],[PMT NO]]&lt;&gt;"",ScheduledPayment,"")</f>
        <v>8358.7693880762818</v>
      </c>
      <c r="F3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7" s="19">
        <f>IF(PaymentSchedule3[[#This Row],[PMT NO]]&lt;&gt;"",PaymentSchedule3[[#This Row],[TOTAL PAYMENT]]-PaymentSchedule3[[#This Row],[INTEREST]],"")</f>
        <v>1838.8984460316115</v>
      </c>
      <c r="I37" s="19">
        <f>IF(PaymentSchedule3[[#This Row],[PMT NO]]&lt;&gt;"",PaymentSchedule3[[#This Row],[BEGINNING BALANCE]]*(InterestRate/PaymentsPerYear),"")</f>
        <v>6519.8709420446703</v>
      </c>
      <c r="J3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1954122.3841673695</v>
      </c>
      <c r="K37" s="19">
        <f>IF(PaymentSchedule3[[#This Row],[PMT NO]]&lt;&gt;"",SUM(INDEX(PaymentSchedule3[INTEREST],1,1):PaymentSchedule3[[#This Row],[INTEREST]]),"")</f>
        <v>171450.38825735264</v>
      </c>
    </row>
    <row r="38" spans="2:11" x14ac:dyDescent="0.3">
      <c r="B38" s="21">
        <f>IF(LoanIsGood,IF(ROW()-ROW(PaymentSchedule3[[#Headers],[PMT NO]])&gt;ScheduledNumberOfPayments,"",ROW()-ROW(PaymentSchedule3[[#Headers],[PMT NO]])),"")</f>
        <v>27</v>
      </c>
      <c r="C38" s="20">
        <f>IF(PaymentSchedule3[[#This Row],[PMT NO]]&lt;&gt;"",EOMONTH(LoanStartDate,ROW(PaymentSchedule3[[#This Row],[PMT NO]])-ROW(PaymentSchedule3[[#Headers],[PMT NO]])-2)+DAY(LoanStartDate),"")</f>
        <v>44440</v>
      </c>
      <c r="D38" s="19">
        <f>IF(PaymentSchedule3[[#This Row],[PMT NO]]&lt;&gt;"",IF(ROW()-ROW(PaymentSchedule3[[#Headers],[BEGINNING BALANCE]])=1,LoanAmount,INDEX(PaymentSchedule3[ENDING BALANCE],ROW()-ROW(PaymentSchedule3[[#Headers],[BEGINNING BALANCE]])-1)),"")</f>
        <v>1954122.3841673695</v>
      </c>
      <c r="E38" s="19">
        <f>IF(PaymentSchedule3[[#This Row],[PMT NO]]&lt;&gt;"",ScheduledPayment,"")</f>
        <v>8358.7693880762818</v>
      </c>
      <c r="F3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8" s="19">
        <f>IF(PaymentSchedule3[[#This Row],[PMT NO]]&lt;&gt;"",PaymentSchedule3[[#This Row],[TOTAL PAYMENT]]-PaymentSchedule3[[#This Row],[INTEREST]],"")</f>
        <v>1845.028107518383</v>
      </c>
      <c r="I38" s="19">
        <f>IF(PaymentSchedule3[[#This Row],[PMT NO]]&lt;&gt;"",PaymentSchedule3[[#This Row],[BEGINNING BALANCE]]*(InterestRate/PaymentsPerYear),"")</f>
        <v>6513.7412805578988</v>
      </c>
      <c r="J3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1952277.3560598511</v>
      </c>
      <c r="K38" s="19">
        <f>IF(PaymentSchedule3[[#This Row],[PMT NO]]&lt;&gt;"",SUM(INDEX(PaymentSchedule3[INTEREST],1,1):PaymentSchedule3[[#This Row],[INTEREST]]),"")</f>
        <v>177964.12953791054</v>
      </c>
    </row>
    <row r="39" spans="2:11" x14ac:dyDescent="0.3">
      <c r="B39" s="21">
        <f>IF(LoanIsGood,IF(ROW()-ROW(PaymentSchedule3[[#Headers],[PMT NO]])&gt;ScheduledNumberOfPayments,"",ROW()-ROW(PaymentSchedule3[[#Headers],[PMT NO]])),"")</f>
        <v>28</v>
      </c>
      <c r="C39" s="20">
        <f>IF(PaymentSchedule3[[#This Row],[PMT NO]]&lt;&gt;"",EOMONTH(LoanStartDate,ROW(PaymentSchedule3[[#This Row],[PMT NO]])-ROW(PaymentSchedule3[[#Headers],[PMT NO]])-2)+DAY(LoanStartDate),"")</f>
        <v>44470</v>
      </c>
      <c r="D39" s="19">
        <f>IF(PaymentSchedule3[[#This Row],[PMT NO]]&lt;&gt;"",IF(ROW()-ROW(PaymentSchedule3[[#Headers],[BEGINNING BALANCE]])=1,LoanAmount,INDEX(PaymentSchedule3[ENDING BALANCE],ROW()-ROW(PaymentSchedule3[[#Headers],[BEGINNING BALANCE]])-1)),"")</f>
        <v>1952277.3560598511</v>
      </c>
      <c r="E39" s="19">
        <f>IF(PaymentSchedule3[[#This Row],[PMT NO]]&lt;&gt;"",ScheduledPayment,"")</f>
        <v>8358.7693880762818</v>
      </c>
      <c r="F3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9" s="19">
        <f>IF(PaymentSchedule3[[#This Row],[PMT NO]]&lt;&gt;"",PaymentSchedule3[[#This Row],[TOTAL PAYMENT]]-PaymentSchedule3[[#This Row],[INTEREST]],"")</f>
        <v>1851.1782012101112</v>
      </c>
      <c r="I39" s="19">
        <f>IF(PaymentSchedule3[[#This Row],[PMT NO]]&lt;&gt;"",PaymentSchedule3[[#This Row],[BEGINNING BALANCE]]*(InterestRate/PaymentsPerYear),"")</f>
        <v>6507.5911868661706</v>
      </c>
      <c r="J3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1950426.1778586409</v>
      </c>
      <c r="K39" s="19">
        <f>IF(PaymentSchedule3[[#This Row],[PMT NO]]&lt;&gt;"",SUM(INDEX(PaymentSchedule3[INTEREST],1,1):PaymentSchedule3[[#This Row],[INTEREST]]),"")</f>
        <v>184471.72072477671</v>
      </c>
    </row>
    <row r="40" spans="2:11" x14ac:dyDescent="0.3">
      <c r="B40" s="21">
        <f>IF(LoanIsGood,IF(ROW()-ROW(PaymentSchedule3[[#Headers],[PMT NO]])&gt;ScheduledNumberOfPayments,"",ROW()-ROW(PaymentSchedule3[[#Headers],[PMT NO]])),"")</f>
        <v>29</v>
      </c>
      <c r="C40" s="20">
        <f>IF(PaymentSchedule3[[#This Row],[PMT NO]]&lt;&gt;"",EOMONTH(LoanStartDate,ROW(PaymentSchedule3[[#This Row],[PMT NO]])-ROW(PaymentSchedule3[[#Headers],[PMT NO]])-2)+DAY(LoanStartDate),"")</f>
        <v>44501</v>
      </c>
      <c r="D40" s="19">
        <f>IF(PaymentSchedule3[[#This Row],[PMT NO]]&lt;&gt;"",IF(ROW()-ROW(PaymentSchedule3[[#Headers],[BEGINNING BALANCE]])=1,LoanAmount,INDEX(PaymentSchedule3[ENDING BALANCE],ROW()-ROW(PaymentSchedule3[[#Headers],[BEGINNING BALANCE]])-1)),"")</f>
        <v>1950426.1778586409</v>
      </c>
      <c r="E40" s="19">
        <f>IF(PaymentSchedule3[[#This Row],[PMT NO]]&lt;&gt;"",ScheduledPayment,"")</f>
        <v>8358.7693880762818</v>
      </c>
      <c r="F4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4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40" s="19">
        <f>IF(PaymentSchedule3[[#This Row],[PMT NO]]&lt;&gt;"",PaymentSchedule3[[#This Row],[TOTAL PAYMENT]]-PaymentSchedule3[[#This Row],[INTEREST]],"")</f>
        <v>1857.348795214145</v>
      </c>
      <c r="I40" s="19">
        <f>IF(PaymentSchedule3[[#This Row],[PMT NO]]&lt;&gt;"",PaymentSchedule3[[#This Row],[BEGINNING BALANCE]]*(InterestRate/PaymentsPerYear),"")</f>
        <v>6501.4205928621368</v>
      </c>
      <c r="J4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1948568.8290634267</v>
      </c>
      <c r="K40" s="19">
        <f>IF(PaymentSchedule3[[#This Row],[PMT NO]]&lt;&gt;"",SUM(INDEX(PaymentSchedule3[INTEREST],1,1):PaymentSchedule3[[#This Row],[INTEREST]]),"")</f>
        <v>190973.14131763883</v>
      </c>
    </row>
    <row r="41" spans="2:11" x14ac:dyDescent="0.3">
      <c r="B41" s="21">
        <f>IF(LoanIsGood,IF(ROW()-ROW(PaymentSchedule3[[#Headers],[PMT NO]])&gt;ScheduledNumberOfPayments,"",ROW()-ROW(PaymentSchedule3[[#Headers],[PMT NO]])),"")</f>
        <v>30</v>
      </c>
      <c r="C41" s="20">
        <f>IF(PaymentSchedule3[[#This Row],[PMT NO]]&lt;&gt;"",EOMONTH(LoanStartDate,ROW(PaymentSchedule3[[#This Row],[PMT NO]])-ROW(PaymentSchedule3[[#Headers],[PMT NO]])-2)+DAY(LoanStartDate),"")</f>
        <v>44531</v>
      </c>
      <c r="D41" s="19">
        <f>IF(PaymentSchedule3[[#This Row],[PMT NO]]&lt;&gt;"",IF(ROW()-ROW(PaymentSchedule3[[#Headers],[BEGINNING BALANCE]])=1,LoanAmount,INDEX(PaymentSchedule3[ENDING BALANCE],ROW()-ROW(PaymentSchedule3[[#Headers],[BEGINNING BALANCE]])-1)),"")</f>
        <v>1948568.8290634267</v>
      </c>
      <c r="E41" s="19">
        <f>IF(PaymentSchedule3[[#This Row],[PMT NO]]&lt;&gt;"",ScheduledPayment,"")</f>
        <v>8358.7693880762818</v>
      </c>
      <c r="F4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4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41" s="19">
        <f>IF(PaymentSchedule3[[#This Row],[PMT NO]]&lt;&gt;"",PaymentSchedule3[[#This Row],[TOTAL PAYMENT]]-PaymentSchedule3[[#This Row],[INTEREST]],"")</f>
        <v>1863.5399578648594</v>
      </c>
      <c r="I41" s="19">
        <f>IF(PaymentSchedule3[[#This Row],[PMT NO]]&lt;&gt;"",PaymentSchedule3[[#This Row],[BEGINNING BALANCE]]*(InterestRate/PaymentsPerYear),"")</f>
        <v>6495.2294302114224</v>
      </c>
      <c r="J4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1946705.2891055618</v>
      </c>
      <c r="K41" s="19">
        <f>IF(PaymentSchedule3[[#This Row],[PMT NO]]&lt;&gt;"",SUM(INDEX(PaymentSchedule3[INTEREST],1,1):PaymentSchedule3[[#This Row],[INTEREST]]),"")</f>
        <v>197468.37074785025</v>
      </c>
    </row>
    <row r="42" spans="2:11" x14ac:dyDescent="0.3">
      <c r="B42" s="21">
        <f>IF(LoanIsGood,IF(ROW()-ROW(PaymentSchedule3[[#Headers],[PMT NO]])&gt;ScheduledNumberOfPayments,"",ROW()-ROW(PaymentSchedule3[[#Headers],[PMT NO]])),"")</f>
        <v>31</v>
      </c>
      <c r="C42" s="20">
        <f>IF(PaymentSchedule3[[#This Row],[PMT NO]]&lt;&gt;"",EOMONTH(LoanStartDate,ROW(PaymentSchedule3[[#This Row],[PMT NO]])-ROW(PaymentSchedule3[[#Headers],[PMT NO]])-2)+DAY(LoanStartDate),"")</f>
        <v>44562</v>
      </c>
      <c r="D42" s="19">
        <f>IF(PaymentSchedule3[[#This Row],[PMT NO]]&lt;&gt;"",IF(ROW()-ROW(PaymentSchedule3[[#Headers],[BEGINNING BALANCE]])=1,LoanAmount,INDEX(PaymentSchedule3[ENDING BALANCE],ROW()-ROW(PaymentSchedule3[[#Headers],[BEGINNING BALANCE]])-1)),"")</f>
        <v>1946705.2891055618</v>
      </c>
      <c r="E42" s="19">
        <f>IF(PaymentSchedule3[[#This Row],[PMT NO]]&lt;&gt;"",ScheduledPayment,"")</f>
        <v>8358.7693880762818</v>
      </c>
      <c r="F4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4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42" s="19">
        <f>IF(PaymentSchedule3[[#This Row],[PMT NO]]&lt;&gt;"",PaymentSchedule3[[#This Row],[TOTAL PAYMENT]]-PaymentSchedule3[[#This Row],[INTEREST]],"")</f>
        <v>1869.7517577244089</v>
      </c>
      <c r="I42" s="19">
        <f>IF(PaymentSchedule3[[#This Row],[PMT NO]]&lt;&gt;"",PaymentSchedule3[[#This Row],[BEGINNING BALANCE]]*(InterestRate/PaymentsPerYear),"")</f>
        <v>6489.0176303518729</v>
      </c>
      <c r="J4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1944835.5373478374</v>
      </c>
      <c r="K42" s="19">
        <f>IF(PaymentSchedule3[[#This Row],[PMT NO]]&lt;&gt;"",SUM(INDEX(PaymentSchedule3[INTEREST],1,1):PaymentSchedule3[[#This Row],[INTEREST]]),"")</f>
        <v>203957.38837820213</v>
      </c>
    </row>
    <row r="43" spans="2:11" x14ac:dyDescent="0.3">
      <c r="B43" s="21">
        <f>IF(LoanIsGood,IF(ROW()-ROW(PaymentSchedule3[[#Headers],[PMT NO]])&gt;ScheduledNumberOfPayments,"",ROW()-ROW(PaymentSchedule3[[#Headers],[PMT NO]])),"")</f>
        <v>32</v>
      </c>
      <c r="C43" s="20">
        <f>IF(PaymentSchedule3[[#This Row],[PMT NO]]&lt;&gt;"",EOMONTH(LoanStartDate,ROW(PaymentSchedule3[[#This Row],[PMT NO]])-ROW(PaymentSchedule3[[#Headers],[PMT NO]])-2)+DAY(LoanStartDate),"")</f>
        <v>44593</v>
      </c>
      <c r="D43" s="19">
        <f>IF(PaymentSchedule3[[#This Row],[PMT NO]]&lt;&gt;"",IF(ROW()-ROW(PaymentSchedule3[[#Headers],[BEGINNING BALANCE]])=1,LoanAmount,INDEX(PaymentSchedule3[ENDING BALANCE],ROW()-ROW(PaymentSchedule3[[#Headers],[BEGINNING BALANCE]])-1)),"")</f>
        <v>1944835.5373478374</v>
      </c>
      <c r="E43" s="19">
        <f>IF(PaymentSchedule3[[#This Row],[PMT NO]]&lt;&gt;"",ScheduledPayment,"")</f>
        <v>8358.7693880762818</v>
      </c>
      <c r="F4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4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43" s="19">
        <f>IF(PaymentSchedule3[[#This Row],[PMT NO]]&lt;&gt;"",PaymentSchedule3[[#This Row],[TOTAL PAYMENT]]-PaymentSchedule3[[#This Row],[INTEREST]],"")</f>
        <v>1875.9842635834902</v>
      </c>
      <c r="I43" s="19">
        <f>IF(PaymentSchedule3[[#This Row],[PMT NO]]&lt;&gt;"",PaymentSchedule3[[#This Row],[BEGINNING BALANCE]]*(InterestRate/PaymentsPerYear),"")</f>
        <v>6482.7851244927915</v>
      </c>
      <c r="J4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1942959.5530842538</v>
      </c>
      <c r="K43" s="19">
        <f>IF(PaymentSchedule3[[#This Row],[PMT NO]]&lt;&gt;"",SUM(INDEX(PaymentSchedule3[INTEREST],1,1):PaymentSchedule3[[#This Row],[INTEREST]]),"")</f>
        <v>210440.17350269493</v>
      </c>
    </row>
    <row r="44" spans="2:11" x14ac:dyDescent="0.3">
      <c r="B44" s="21">
        <f>IF(LoanIsGood,IF(ROW()-ROW(PaymentSchedule3[[#Headers],[PMT NO]])&gt;ScheduledNumberOfPayments,"",ROW()-ROW(PaymentSchedule3[[#Headers],[PMT NO]])),"")</f>
        <v>33</v>
      </c>
      <c r="C44" s="20">
        <f>IF(PaymentSchedule3[[#This Row],[PMT NO]]&lt;&gt;"",EOMONTH(LoanStartDate,ROW(PaymentSchedule3[[#This Row],[PMT NO]])-ROW(PaymentSchedule3[[#Headers],[PMT NO]])-2)+DAY(LoanStartDate),"")</f>
        <v>44621</v>
      </c>
      <c r="D44" s="19">
        <f>IF(PaymentSchedule3[[#This Row],[PMT NO]]&lt;&gt;"",IF(ROW()-ROW(PaymentSchedule3[[#Headers],[BEGINNING BALANCE]])=1,LoanAmount,INDEX(PaymentSchedule3[ENDING BALANCE],ROW()-ROW(PaymentSchedule3[[#Headers],[BEGINNING BALANCE]])-1)),"")</f>
        <v>1942959.5530842538</v>
      </c>
      <c r="E44" s="19">
        <f>IF(PaymentSchedule3[[#This Row],[PMT NO]]&lt;&gt;"",ScheduledPayment,"")</f>
        <v>8358.7693880762818</v>
      </c>
      <c r="F4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4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44" s="19">
        <f>IF(PaymentSchedule3[[#This Row],[PMT NO]]&lt;&gt;"",PaymentSchedule3[[#This Row],[TOTAL PAYMENT]]-PaymentSchedule3[[#This Row],[INTEREST]],"")</f>
        <v>1882.2375444621021</v>
      </c>
      <c r="I44" s="19">
        <f>IF(PaymentSchedule3[[#This Row],[PMT NO]]&lt;&gt;"",PaymentSchedule3[[#This Row],[BEGINNING BALANCE]]*(InterestRate/PaymentsPerYear),"")</f>
        <v>6476.5318436141797</v>
      </c>
      <c r="J4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1941077.3155397917</v>
      </c>
      <c r="K44" s="19">
        <f>IF(PaymentSchedule3[[#This Row],[PMT NO]]&lt;&gt;"",SUM(INDEX(PaymentSchedule3[INTEREST],1,1):PaymentSchedule3[[#This Row],[INTEREST]]),"")</f>
        <v>216916.70534630911</v>
      </c>
    </row>
    <row r="45" spans="2:11" x14ac:dyDescent="0.3">
      <c r="B45" s="21">
        <f>IF(LoanIsGood,IF(ROW()-ROW(PaymentSchedule3[[#Headers],[PMT NO]])&gt;ScheduledNumberOfPayments,"",ROW()-ROW(PaymentSchedule3[[#Headers],[PMT NO]])),"")</f>
        <v>34</v>
      </c>
      <c r="C45" s="20">
        <f>IF(PaymentSchedule3[[#This Row],[PMT NO]]&lt;&gt;"",EOMONTH(LoanStartDate,ROW(PaymentSchedule3[[#This Row],[PMT NO]])-ROW(PaymentSchedule3[[#Headers],[PMT NO]])-2)+DAY(LoanStartDate),"")</f>
        <v>44652</v>
      </c>
      <c r="D45" s="19">
        <f>IF(PaymentSchedule3[[#This Row],[PMT NO]]&lt;&gt;"",IF(ROW()-ROW(PaymentSchedule3[[#Headers],[BEGINNING BALANCE]])=1,LoanAmount,INDEX(PaymentSchedule3[ENDING BALANCE],ROW()-ROW(PaymentSchedule3[[#Headers],[BEGINNING BALANCE]])-1)),"")</f>
        <v>1941077.3155397917</v>
      </c>
      <c r="E45" s="19">
        <f>IF(PaymentSchedule3[[#This Row],[PMT NO]]&lt;&gt;"",ScheduledPayment,"")</f>
        <v>8358.7693880762818</v>
      </c>
      <c r="F4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4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45" s="19">
        <f>IF(PaymentSchedule3[[#This Row],[PMT NO]]&lt;&gt;"",PaymentSchedule3[[#This Row],[TOTAL PAYMENT]]-PaymentSchedule3[[#This Row],[INTEREST]],"")</f>
        <v>1888.5116696103087</v>
      </c>
      <c r="I45" s="19">
        <f>IF(PaymentSchedule3[[#This Row],[PMT NO]]&lt;&gt;"",PaymentSchedule3[[#This Row],[BEGINNING BALANCE]]*(InterestRate/PaymentsPerYear),"")</f>
        <v>6470.2577184659731</v>
      </c>
      <c r="J4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1939188.8038701813</v>
      </c>
      <c r="K45" s="19">
        <f>IF(PaymentSchedule3[[#This Row],[PMT NO]]&lt;&gt;"",SUM(INDEX(PaymentSchedule3[INTEREST],1,1):PaymentSchedule3[[#This Row],[INTEREST]]),"")</f>
        <v>223386.96306477507</v>
      </c>
    </row>
    <row r="46" spans="2:11" x14ac:dyDescent="0.3">
      <c r="B46" s="21">
        <f>IF(LoanIsGood,IF(ROW()-ROW(PaymentSchedule3[[#Headers],[PMT NO]])&gt;ScheduledNumberOfPayments,"",ROW()-ROW(PaymentSchedule3[[#Headers],[PMT NO]])),"")</f>
        <v>35</v>
      </c>
      <c r="C46" s="20">
        <f>IF(PaymentSchedule3[[#This Row],[PMT NO]]&lt;&gt;"",EOMONTH(LoanStartDate,ROW(PaymentSchedule3[[#This Row],[PMT NO]])-ROW(PaymentSchedule3[[#Headers],[PMT NO]])-2)+DAY(LoanStartDate),"")</f>
        <v>44682</v>
      </c>
      <c r="D46" s="19">
        <f>IF(PaymentSchedule3[[#This Row],[PMT NO]]&lt;&gt;"",IF(ROW()-ROW(PaymentSchedule3[[#Headers],[BEGINNING BALANCE]])=1,LoanAmount,INDEX(PaymentSchedule3[ENDING BALANCE],ROW()-ROW(PaymentSchedule3[[#Headers],[BEGINNING BALANCE]])-1)),"")</f>
        <v>1939188.8038701813</v>
      </c>
      <c r="E46" s="19">
        <f>IF(PaymentSchedule3[[#This Row],[PMT NO]]&lt;&gt;"",ScheduledPayment,"")</f>
        <v>8358.7693880762818</v>
      </c>
      <c r="F4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4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46" s="19">
        <f>IF(PaymentSchedule3[[#This Row],[PMT NO]]&lt;&gt;"",PaymentSchedule3[[#This Row],[TOTAL PAYMENT]]-PaymentSchedule3[[#This Row],[INTEREST]],"")</f>
        <v>1894.8067085090106</v>
      </c>
      <c r="I46" s="19">
        <f>IF(PaymentSchedule3[[#This Row],[PMT NO]]&lt;&gt;"",PaymentSchedule3[[#This Row],[BEGINNING BALANCE]]*(InterestRate/PaymentsPerYear),"")</f>
        <v>6463.9626795672712</v>
      </c>
      <c r="J4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1937293.9971616722</v>
      </c>
      <c r="K46" s="19">
        <f>IF(PaymentSchedule3[[#This Row],[PMT NO]]&lt;&gt;"",SUM(INDEX(PaymentSchedule3[INTEREST],1,1):PaymentSchedule3[[#This Row],[INTEREST]]),"")</f>
        <v>229850.92574434236</v>
      </c>
    </row>
    <row r="47" spans="2:11" x14ac:dyDescent="0.3">
      <c r="B47" s="21">
        <f>IF(LoanIsGood,IF(ROW()-ROW(PaymentSchedule3[[#Headers],[PMT NO]])&gt;ScheduledNumberOfPayments,"",ROW()-ROW(PaymentSchedule3[[#Headers],[PMT NO]])),"")</f>
        <v>36</v>
      </c>
      <c r="C47" s="20">
        <f>IF(PaymentSchedule3[[#This Row],[PMT NO]]&lt;&gt;"",EOMONTH(LoanStartDate,ROW(PaymentSchedule3[[#This Row],[PMT NO]])-ROW(PaymentSchedule3[[#Headers],[PMT NO]])-2)+DAY(LoanStartDate),"")</f>
        <v>44713</v>
      </c>
      <c r="D47" s="19">
        <f>IF(PaymentSchedule3[[#This Row],[PMT NO]]&lt;&gt;"",IF(ROW()-ROW(PaymentSchedule3[[#Headers],[BEGINNING BALANCE]])=1,LoanAmount,INDEX(PaymentSchedule3[ENDING BALANCE],ROW()-ROW(PaymentSchedule3[[#Headers],[BEGINNING BALANCE]])-1)),"")</f>
        <v>1937293.9971616722</v>
      </c>
      <c r="E47" s="19">
        <f>IF(PaymentSchedule3[[#This Row],[PMT NO]]&lt;&gt;"",ScheduledPayment,"")</f>
        <v>8358.7693880762818</v>
      </c>
      <c r="F4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4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47" s="19">
        <f>IF(PaymentSchedule3[[#This Row],[PMT NO]]&lt;&gt;"",PaymentSchedule3[[#This Row],[TOTAL PAYMENT]]-PaymentSchedule3[[#This Row],[INTEREST]],"")</f>
        <v>1901.1227308707075</v>
      </c>
      <c r="I47" s="19">
        <f>IF(PaymentSchedule3[[#This Row],[PMT NO]]&lt;&gt;"",PaymentSchedule3[[#This Row],[BEGINNING BALANCE]]*(InterestRate/PaymentsPerYear),"")</f>
        <v>6457.6466572055742</v>
      </c>
      <c r="J4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1935392.8744308015</v>
      </c>
      <c r="K47" s="19">
        <f>IF(PaymentSchedule3[[#This Row],[PMT NO]]&lt;&gt;"",SUM(INDEX(PaymentSchedule3[INTEREST],1,1):PaymentSchedule3[[#This Row],[INTEREST]]),"")</f>
        <v>236308.57240154792</v>
      </c>
    </row>
    <row r="48" spans="2:11" x14ac:dyDescent="0.3">
      <c r="B48" s="21">
        <f>IF(LoanIsGood,IF(ROW()-ROW(PaymentSchedule3[[#Headers],[PMT NO]])&gt;ScheduledNumberOfPayments,"",ROW()-ROW(PaymentSchedule3[[#Headers],[PMT NO]])),"")</f>
        <v>37</v>
      </c>
      <c r="C48" s="20">
        <f>IF(PaymentSchedule3[[#This Row],[PMT NO]]&lt;&gt;"",EOMONTH(LoanStartDate,ROW(PaymentSchedule3[[#This Row],[PMT NO]])-ROW(PaymentSchedule3[[#Headers],[PMT NO]])-2)+DAY(LoanStartDate),"")</f>
        <v>44743</v>
      </c>
      <c r="D48" s="19">
        <f>IF(PaymentSchedule3[[#This Row],[PMT NO]]&lt;&gt;"",IF(ROW()-ROW(PaymentSchedule3[[#Headers],[BEGINNING BALANCE]])=1,LoanAmount,INDEX(PaymentSchedule3[ENDING BALANCE],ROW()-ROW(PaymentSchedule3[[#Headers],[BEGINNING BALANCE]])-1)),"")</f>
        <v>1935392.8744308015</v>
      </c>
      <c r="E48" s="19">
        <f>IF(PaymentSchedule3[[#This Row],[PMT NO]]&lt;&gt;"",ScheduledPayment,"")</f>
        <v>8358.7693880762818</v>
      </c>
      <c r="F4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4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48" s="19">
        <f>IF(PaymentSchedule3[[#This Row],[PMT NO]]&lt;&gt;"",PaymentSchedule3[[#This Row],[TOTAL PAYMENT]]-PaymentSchedule3[[#This Row],[INTEREST]],"")</f>
        <v>1907.4598066402768</v>
      </c>
      <c r="I48" s="19">
        <f>IF(PaymentSchedule3[[#This Row],[PMT NO]]&lt;&gt;"",PaymentSchedule3[[#This Row],[BEGINNING BALANCE]]*(InterestRate/PaymentsPerYear),"")</f>
        <v>6451.3095814360049</v>
      </c>
      <c r="J4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1933485.4146241613</v>
      </c>
      <c r="K48" s="19">
        <f>IF(PaymentSchedule3[[#This Row],[PMT NO]]&lt;&gt;"",SUM(INDEX(PaymentSchedule3[INTEREST],1,1):PaymentSchedule3[[#This Row],[INTEREST]]),"")</f>
        <v>242759.88198298393</v>
      </c>
    </row>
    <row r="49" spans="2:11" x14ac:dyDescent="0.3">
      <c r="B49" s="21">
        <f>IF(LoanIsGood,IF(ROW()-ROW(PaymentSchedule3[[#Headers],[PMT NO]])&gt;ScheduledNumberOfPayments,"",ROW()-ROW(PaymentSchedule3[[#Headers],[PMT NO]])),"")</f>
        <v>38</v>
      </c>
      <c r="C49" s="20">
        <f>IF(PaymentSchedule3[[#This Row],[PMT NO]]&lt;&gt;"",EOMONTH(LoanStartDate,ROW(PaymentSchedule3[[#This Row],[PMT NO]])-ROW(PaymentSchedule3[[#Headers],[PMT NO]])-2)+DAY(LoanStartDate),"")</f>
        <v>44774</v>
      </c>
      <c r="D49" s="19">
        <f>IF(PaymentSchedule3[[#This Row],[PMT NO]]&lt;&gt;"",IF(ROW()-ROW(PaymentSchedule3[[#Headers],[BEGINNING BALANCE]])=1,LoanAmount,INDEX(PaymentSchedule3[ENDING BALANCE],ROW()-ROW(PaymentSchedule3[[#Headers],[BEGINNING BALANCE]])-1)),"")</f>
        <v>1933485.4146241613</v>
      </c>
      <c r="E49" s="19">
        <f>IF(PaymentSchedule3[[#This Row],[PMT NO]]&lt;&gt;"",ScheduledPayment,"")</f>
        <v>8358.7693880762818</v>
      </c>
      <c r="F4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4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49" s="19">
        <f>IF(PaymentSchedule3[[#This Row],[PMT NO]]&lt;&gt;"",PaymentSchedule3[[#This Row],[TOTAL PAYMENT]]-PaymentSchedule3[[#This Row],[INTEREST]],"")</f>
        <v>1913.818005995744</v>
      </c>
      <c r="I49" s="19">
        <f>IF(PaymentSchedule3[[#This Row],[PMT NO]]&lt;&gt;"",PaymentSchedule3[[#This Row],[BEGINNING BALANCE]]*(InterestRate/PaymentsPerYear),"")</f>
        <v>6444.9513820805378</v>
      </c>
      <c r="J4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1931571.5966181655</v>
      </c>
      <c r="K49" s="19">
        <f>IF(PaymentSchedule3[[#This Row],[PMT NO]]&lt;&gt;"",SUM(INDEX(PaymentSchedule3[INTEREST],1,1):PaymentSchedule3[[#This Row],[INTEREST]]),"")</f>
        <v>249204.83336506446</v>
      </c>
    </row>
    <row r="50" spans="2:11" x14ac:dyDescent="0.3">
      <c r="B50" s="21">
        <f>IF(LoanIsGood,IF(ROW()-ROW(PaymentSchedule3[[#Headers],[PMT NO]])&gt;ScheduledNumberOfPayments,"",ROW()-ROW(PaymentSchedule3[[#Headers],[PMT NO]])),"")</f>
        <v>39</v>
      </c>
      <c r="C50" s="20">
        <f>IF(PaymentSchedule3[[#This Row],[PMT NO]]&lt;&gt;"",EOMONTH(LoanStartDate,ROW(PaymentSchedule3[[#This Row],[PMT NO]])-ROW(PaymentSchedule3[[#Headers],[PMT NO]])-2)+DAY(LoanStartDate),"")</f>
        <v>44805</v>
      </c>
      <c r="D50" s="19">
        <f>IF(PaymentSchedule3[[#This Row],[PMT NO]]&lt;&gt;"",IF(ROW()-ROW(PaymentSchedule3[[#Headers],[BEGINNING BALANCE]])=1,LoanAmount,INDEX(PaymentSchedule3[ENDING BALANCE],ROW()-ROW(PaymentSchedule3[[#Headers],[BEGINNING BALANCE]])-1)),"")</f>
        <v>1931571.5966181655</v>
      </c>
      <c r="E50" s="19">
        <f>IF(PaymentSchedule3[[#This Row],[PMT NO]]&lt;&gt;"",ScheduledPayment,"")</f>
        <v>8358.7693880762818</v>
      </c>
      <c r="F5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5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50" s="19">
        <f>IF(PaymentSchedule3[[#This Row],[PMT NO]]&lt;&gt;"",PaymentSchedule3[[#This Row],[TOTAL PAYMENT]]-PaymentSchedule3[[#This Row],[INTEREST]],"")</f>
        <v>1920.1973993490628</v>
      </c>
      <c r="I50" s="19">
        <f>IF(PaymentSchedule3[[#This Row],[PMT NO]]&lt;&gt;"",PaymentSchedule3[[#This Row],[BEGINNING BALANCE]]*(InterestRate/PaymentsPerYear),"")</f>
        <v>6438.5719887272189</v>
      </c>
      <c r="J5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1929651.3992188165</v>
      </c>
      <c r="K50" s="19">
        <f>IF(PaymentSchedule3[[#This Row],[PMT NO]]&lt;&gt;"",SUM(INDEX(PaymentSchedule3[INTEREST],1,1):PaymentSchedule3[[#This Row],[INTEREST]]),"")</f>
        <v>255643.40535379169</v>
      </c>
    </row>
    <row r="51" spans="2:11" x14ac:dyDescent="0.3">
      <c r="B51" s="21">
        <f>IF(LoanIsGood,IF(ROW()-ROW(PaymentSchedule3[[#Headers],[PMT NO]])&gt;ScheduledNumberOfPayments,"",ROW()-ROW(PaymentSchedule3[[#Headers],[PMT NO]])),"")</f>
        <v>40</v>
      </c>
      <c r="C51" s="20">
        <f>IF(PaymentSchedule3[[#This Row],[PMT NO]]&lt;&gt;"",EOMONTH(LoanStartDate,ROW(PaymentSchedule3[[#This Row],[PMT NO]])-ROW(PaymentSchedule3[[#Headers],[PMT NO]])-2)+DAY(LoanStartDate),"")</f>
        <v>44835</v>
      </c>
      <c r="D51" s="19">
        <f>IF(PaymentSchedule3[[#This Row],[PMT NO]]&lt;&gt;"",IF(ROW()-ROW(PaymentSchedule3[[#Headers],[BEGINNING BALANCE]])=1,LoanAmount,INDEX(PaymentSchedule3[ENDING BALANCE],ROW()-ROW(PaymentSchedule3[[#Headers],[BEGINNING BALANCE]])-1)),"")</f>
        <v>1929651.3992188165</v>
      </c>
      <c r="E51" s="19">
        <f>IF(PaymentSchedule3[[#This Row],[PMT NO]]&lt;&gt;"",ScheduledPayment,"")</f>
        <v>8358.7693880762818</v>
      </c>
      <c r="F5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5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51" s="19">
        <f>IF(PaymentSchedule3[[#This Row],[PMT NO]]&lt;&gt;"",PaymentSchedule3[[#This Row],[TOTAL PAYMENT]]-PaymentSchedule3[[#This Row],[INTEREST]],"")</f>
        <v>1926.5980573468933</v>
      </c>
      <c r="I51" s="19">
        <f>IF(PaymentSchedule3[[#This Row],[PMT NO]]&lt;&gt;"",PaymentSchedule3[[#This Row],[BEGINNING BALANCE]]*(InterestRate/PaymentsPerYear),"")</f>
        <v>6432.1713307293885</v>
      </c>
      <c r="J5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1927724.8011614697</v>
      </c>
      <c r="K51" s="19">
        <f>IF(PaymentSchedule3[[#This Row],[PMT NO]]&lt;&gt;"",SUM(INDEX(PaymentSchedule3[INTEREST],1,1):PaymentSchedule3[[#This Row],[INTEREST]]),"")</f>
        <v>262075.57668452107</v>
      </c>
    </row>
    <row r="52" spans="2:11" x14ac:dyDescent="0.3">
      <c r="B52" s="21">
        <f>IF(LoanIsGood,IF(ROW()-ROW(PaymentSchedule3[[#Headers],[PMT NO]])&gt;ScheduledNumberOfPayments,"",ROW()-ROW(PaymentSchedule3[[#Headers],[PMT NO]])),"")</f>
        <v>41</v>
      </c>
      <c r="C52" s="20">
        <f>IF(PaymentSchedule3[[#This Row],[PMT NO]]&lt;&gt;"",EOMONTH(LoanStartDate,ROW(PaymentSchedule3[[#This Row],[PMT NO]])-ROW(PaymentSchedule3[[#Headers],[PMT NO]])-2)+DAY(LoanStartDate),"")</f>
        <v>44866</v>
      </c>
      <c r="D52" s="19">
        <f>IF(PaymentSchedule3[[#This Row],[PMT NO]]&lt;&gt;"",IF(ROW()-ROW(PaymentSchedule3[[#Headers],[BEGINNING BALANCE]])=1,LoanAmount,INDEX(PaymentSchedule3[ENDING BALANCE],ROW()-ROW(PaymentSchedule3[[#Headers],[BEGINNING BALANCE]])-1)),"")</f>
        <v>1927724.8011614697</v>
      </c>
      <c r="E52" s="19">
        <f>IF(PaymentSchedule3[[#This Row],[PMT NO]]&lt;&gt;"",ScheduledPayment,"")</f>
        <v>8358.7693880762818</v>
      </c>
      <c r="F5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5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52" s="19">
        <f>IF(PaymentSchedule3[[#This Row],[PMT NO]]&lt;&gt;"",PaymentSchedule3[[#This Row],[TOTAL PAYMENT]]-PaymentSchedule3[[#This Row],[INTEREST]],"")</f>
        <v>1933.0200508713824</v>
      </c>
      <c r="I52" s="19">
        <f>IF(PaymentSchedule3[[#This Row],[PMT NO]]&lt;&gt;"",PaymentSchedule3[[#This Row],[BEGINNING BALANCE]]*(InterestRate/PaymentsPerYear),"")</f>
        <v>6425.7493372048993</v>
      </c>
      <c r="J5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1925791.7811105982</v>
      </c>
      <c r="K52" s="19">
        <f>IF(PaymentSchedule3[[#This Row],[PMT NO]]&lt;&gt;"",SUM(INDEX(PaymentSchedule3[INTEREST],1,1):PaymentSchedule3[[#This Row],[INTEREST]]),"")</f>
        <v>268501.32602172595</v>
      </c>
    </row>
    <row r="53" spans="2:11" x14ac:dyDescent="0.3">
      <c r="B53" s="21">
        <f>IF(LoanIsGood,IF(ROW()-ROW(PaymentSchedule3[[#Headers],[PMT NO]])&gt;ScheduledNumberOfPayments,"",ROW()-ROW(PaymentSchedule3[[#Headers],[PMT NO]])),"")</f>
        <v>42</v>
      </c>
      <c r="C53" s="20">
        <f>IF(PaymentSchedule3[[#This Row],[PMT NO]]&lt;&gt;"",EOMONTH(LoanStartDate,ROW(PaymentSchedule3[[#This Row],[PMT NO]])-ROW(PaymentSchedule3[[#Headers],[PMT NO]])-2)+DAY(LoanStartDate),"")</f>
        <v>44896</v>
      </c>
      <c r="D53" s="19">
        <f>IF(PaymentSchedule3[[#This Row],[PMT NO]]&lt;&gt;"",IF(ROW()-ROW(PaymentSchedule3[[#Headers],[BEGINNING BALANCE]])=1,LoanAmount,INDEX(PaymentSchedule3[ENDING BALANCE],ROW()-ROW(PaymentSchedule3[[#Headers],[BEGINNING BALANCE]])-1)),"")</f>
        <v>1925791.7811105982</v>
      </c>
      <c r="E53" s="19">
        <f>IF(PaymentSchedule3[[#This Row],[PMT NO]]&lt;&gt;"",ScheduledPayment,"")</f>
        <v>8358.7693880762818</v>
      </c>
      <c r="F5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5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53" s="19">
        <f>IF(PaymentSchedule3[[#This Row],[PMT NO]]&lt;&gt;"",PaymentSchedule3[[#This Row],[TOTAL PAYMENT]]-PaymentSchedule3[[#This Row],[INTEREST]],"")</f>
        <v>1939.4634510409542</v>
      </c>
      <c r="I53" s="19">
        <f>IF(PaymentSchedule3[[#This Row],[PMT NO]]&lt;&gt;"",PaymentSchedule3[[#This Row],[BEGINNING BALANCE]]*(InterestRate/PaymentsPerYear),"")</f>
        <v>6419.3059370353276</v>
      </c>
      <c r="J5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1923852.3176595573</v>
      </c>
      <c r="K53" s="19">
        <f>IF(PaymentSchedule3[[#This Row],[PMT NO]]&lt;&gt;"",SUM(INDEX(PaymentSchedule3[INTEREST],1,1):PaymentSchedule3[[#This Row],[INTEREST]]),"")</f>
        <v>274920.63195876125</v>
      </c>
    </row>
    <row r="54" spans="2:11" x14ac:dyDescent="0.3">
      <c r="B54" s="21">
        <f>IF(LoanIsGood,IF(ROW()-ROW(PaymentSchedule3[[#Headers],[PMT NO]])&gt;ScheduledNumberOfPayments,"",ROW()-ROW(PaymentSchedule3[[#Headers],[PMT NO]])),"")</f>
        <v>43</v>
      </c>
      <c r="C54" s="20">
        <f>IF(PaymentSchedule3[[#This Row],[PMT NO]]&lt;&gt;"",EOMONTH(LoanStartDate,ROW(PaymentSchedule3[[#This Row],[PMT NO]])-ROW(PaymentSchedule3[[#Headers],[PMT NO]])-2)+DAY(LoanStartDate),"")</f>
        <v>44927</v>
      </c>
      <c r="D54" s="19">
        <f>IF(PaymentSchedule3[[#This Row],[PMT NO]]&lt;&gt;"",IF(ROW()-ROW(PaymentSchedule3[[#Headers],[BEGINNING BALANCE]])=1,LoanAmount,INDEX(PaymentSchedule3[ENDING BALANCE],ROW()-ROW(PaymentSchedule3[[#Headers],[BEGINNING BALANCE]])-1)),"")</f>
        <v>1923852.3176595573</v>
      </c>
      <c r="E54" s="19">
        <f>IF(PaymentSchedule3[[#This Row],[PMT NO]]&lt;&gt;"",ScheduledPayment,"")</f>
        <v>8358.7693880762818</v>
      </c>
      <c r="F5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5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54" s="19">
        <f>IF(PaymentSchedule3[[#This Row],[PMT NO]]&lt;&gt;"",PaymentSchedule3[[#This Row],[TOTAL PAYMENT]]-PaymentSchedule3[[#This Row],[INTEREST]],"")</f>
        <v>1945.9283292110904</v>
      </c>
      <c r="I54" s="19">
        <f>IF(PaymentSchedule3[[#This Row],[PMT NO]]&lt;&gt;"",PaymentSchedule3[[#This Row],[BEGINNING BALANCE]]*(InterestRate/PaymentsPerYear),"")</f>
        <v>6412.8410588651914</v>
      </c>
      <c r="J5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1921906.3893303461</v>
      </c>
      <c r="K54" s="19">
        <f>IF(PaymentSchedule3[[#This Row],[PMT NO]]&lt;&gt;"",SUM(INDEX(PaymentSchedule3[INTEREST],1,1):PaymentSchedule3[[#This Row],[INTEREST]]),"")</f>
        <v>281333.47301762644</v>
      </c>
    </row>
    <row r="55" spans="2:11" x14ac:dyDescent="0.3">
      <c r="B55" s="21">
        <f>IF(LoanIsGood,IF(ROW()-ROW(PaymentSchedule3[[#Headers],[PMT NO]])&gt;ScheduledNumberOfPayments,"",ROW()-ROW(PaymentSchedule3[[#Headers],[PMT NO]])),"")</f>
        <v>44</v>
      </c>
      <c r="C55" s="20">
        <f>IF(PaymentSchedule3[[#This Row],[PMT NO]]&lt;&gt;"",EOMONTH(LoanStartDate,ROW(PaymentSchedule3[[#This Row],[PMT NO]])-ROW(PaymentSchedule3[[#Headers],[PMT NO]])-2)+DAY(LoanStartDate),"")</f>
        <v>44958</v>
      </c>
      <c r="D55" s="19">
        <f>IF(PaymentSchedule3[[#This Row],[PMT NO]]&lt;&gt;"",IF(ROW()-ROW(PaymentSchedule3[[#Headers],[BEGINNING BALANCE]])=1,LoanAmount,INDEX(PaymentSchedule3[ENDING BALANCE],ROW()-ROW(PaymentSchedule3[[#Headers],[BEGINNING BALANCE]])-1)),"")</f>
        <v>1921906.3893303461</v>
      </c>
      <c r="E55" s="19">
        <f>IF(PaymentSchedule3[[#This Row],[PMT NO]]&lt;&gt;"",ScheduledPayment,"")</f>
        <v>8358.7693880762818</v>
      </c>
      <c r="F5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5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55" s="19">
        <f>IF(PaymentSchedule3[[#This Row],[PMT NO]]&lt;&gt;"",PaymentSchedule3[[#This Row],[TOTAL PAYMENT]]-PaymentSchedule3[[#This Row],[INTEREST]],"")</f>
        <v>1952.4147569751276</v>
      </c>
      <c r="I55" s="19">
        <f>IF(PaymentSchedule3[[#This Row],[PMT NO]]&lt;&gt;"",PaymentSchedule3[[#This Row],[BEGINNING BALANCE]]*(InterestRate/PaymentsPerYear),"")</f>
        <v>6406.3546311011542</v>
      </c>
      <c r="J5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1919953.974573371</v>
      </c>
      <c r="K55" s="19">
        <f>IF(PaymentSchedule3[[#This Row],[PMT NO]]&lt;&gt;"",SUM(INDEX(PaymentSchedule3[INTEREST],1,1):PaymentSchedule3[[#This Row],[INTEREST]]),"")</f>
        <v>287739.82764872757</v>
      </c>
    </row>
    <row r="56" spans="2:11" x14ac:dyDescent="0.3">
      <c r="B56" s="21">
        <f>IF(LoanIsGood,IF(ROW()-ROW(PaymentSchedule3[[#Headers],[PMT NO]])&gt;ScheduledNumberOfPayments,"",ROW()-ROW(PaymentSchedule3[[#Headers],[PMT NO]])),"")</f>
        <v>45</v>
      </c>
      <c r="C56" s="20">
        <f>IF(PaymentSchedule3[[#This Row],[PMT NO]]&lt;&gt;"",EOMONTH(LoanStartDate,ROW(PaymentSchedule3[[#This Row],[PMT NO]])-ROW(PaymentSchedule3[[#Headers],[PMT NO]])-2)+DAY(LoanStartDate),"")</f>
        <v>44986</v>
      </c>
      <c r="D56" s="19">
        <f>IF(PaymentSchedule3[[#This Row],[PMT NO]]&lt;&gt;"",IF(ROW()-ROW(PaymentSchedule3[[#Headers],[BEGINNING BALANCE]])=1,LoanAmount,INDEX(PaymentSchedule3[ENDING BALANCE],ROW()-ROW(PaymentSchedule3[[#Headers],[BEGINNING BALANCE]])-1)),"")</f>
        <v>1919953.974573371</v>
      </c>
      <c r="E56" s="19">
        <f>IF(PaymentSchedule3[[#This Row],[PMT NO]]&lt;&gt;"",ScheduledPayment,"")</f>
        <v>8358.7693880762818</v>
      </c>
      <c r="F5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5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56" s="19">
        <f>IF(PaymentSchedule3[[#This Row],[PMT NO]]&lt;&gt;"",PaymentSchedule3[[#This Row],[TOTAL PAYMENT]]-PaymentSchedule3[[#This Row],[INTEREST]],"")</f>
        <v>1958.9228061650447</v>
      </c>
      <c r="I56" s="19">
        <f>IF(PaymentSchedule3[[#This Row],[PMT NO]]&lt;&gt;"",PaymentSchedule3[[#This Row],[BEGINNING BALANCE]]*(InterestRate/PaymentsPerYear),"")</f>
        <v>6399.8465819112371</v>
      </c>
      <c r="J5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1917995.0517672061</v>
      </c>
      <c r="K56" s="19">
        <f>IF(PaymentSchedule3[[#This Row],[PMT NO]]&lt;&gt;"",SUM(INDEX(PaymentSchedule3[INTEREST],1,1):PaymentSchedule3[[#This Row],[INTEREST]]),"")</f>
        <v>294139.67423063883</v>
      </c>
    </row>
    <row r="57" spans="2:11" x14ac:dyDescent="0.3">
      <c r="B57" s="21">
        <f>IF(LoanIsGood,IF(ROW()-ROW(PaymentSchedule3[[#Headers],[PMT NO]])&gt;ScheduledNumberOfPayments,"",ROW()-ROW(PaymentSchedule3[[#Headers],[PMT NO]])),"")</f>
        <v>46</v>
      </c>
      <c r="C57" s="20">
        <f>IF(PaymentSchedule3[[#This Row],[PMT NO]]&lt;&gt;"",EOMONTH(LoanStartDate,ROW(PaymentSchedule3[[#This Row],[PMT NO]])-ROW(PaymentSchedule3[[#Headers],[PMT NO]])-2)+DAY(LoanStartDate),"")</f>
        <v>45017</v>
      </c>
      <c r="D57" s="19">
        <f>IF(PaymentSchedule3[[#This Row],[PMT NO]]&lt;&gt;"",IF(ROW()-ROW(PaymentSchedule3[[#Headers],[BEGINNING BALANCE]])=1,LoanAmount,INDEX(PaymentSchedule3[ENDING BALANCE],ROW()-ROW(PaymentSchedule3[[#Headers],[BEGINNING BALANCE]])-1)),"")</f>
        <v>1917995.0517672061</v>
      </c>
      <c r="E57" s="19">
        <f>IF(PaymentSchedule3[[#This Row],[PMT NO]]&lt;&gt;"",ScheduledPayment,"")</f>
        <v>8358.7693880762818</v>
      </c>
      <c r="F5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5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57" s="19">
        <f>IF(PaymentSchedule3[[#This Row],[PMT NO]]&lt;&gt;"",PaymentSchedule3[[#This Row],[TOTAL PAYMENT]]-PaymentSchedule3[[#This Row],[INTEREST]],"")</f>
        <v>1965.4525488522613</v>
      </c>
      <c r="I57" s="19">
        <f>IF(PaymentSchedule3[[#This Row],[PMT NO]]&lt;&gt;"",PaymentSchedule3[[#This Row],[BEGINNING BALANCE]]*(InterestRate/PaymentsPerYear),"")</f>
        <v>6393.3168392240204</v>
      </c>
      <c r="J5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1916029.5992183539</v>
      </c>
      <c r="K57" s="19">
        <f>IF(PaymentSchedule3[[#This Row],[PMT NO]]&lt;&gt;"",SUM(INDEX(PaymentSchedule3[INTEREST],1,1):PaymentSchedule3[[#This Row],[INTEREST]]),"")</f>
        <v>300532.99106986285</v>
      </c>
    </row>
    <row r="58" spans="2:11" x14ac:dyDescent="0.3">
      <c r="B58" s="21">
        <f>IF(LoanIsGood,IF(ROW()-ROW(PaymentSchedule3[[#Headers],[PMT NO]])&gt;ScheduledNumberOfPayments,"",ROW()-ROW(PaymentSchedule3[[#Headers],[PMT NO]])),"")</f>
        <v>47</v>
      </c>
      <c r="C58" s="20">
        <f>IF(PaymentSchedule3[[#This Row],[PMT NO]]&lt;&gt;"",EOMONTH(LoanStartDate,ROW(PaymentSchedule3[[#This Row],[PMT NO]])-ROW(PaymentSchedule3[[#Headers],[PMT NO]])-2)+DAY(LoanStartDate),"")</f>
        <v>45047</v>
      </c>
      <c r="D58" s="19">
        <f>IF(PaymentSchedule3[[#This Row],[PMT NO]]&lt;&gt;"",IF(ROW()-ROW(PaymentSchedule3[[#Headers],[BEGINNING BALANCE]])=1,LoanAmount,INDEX(PaymentSchedule3[ENDING BALANCE],ROW()-ROW(PaymentSchedule3[[#Headers],[BEGINNING BALANCE]])-1)),"")</f>
        <v>1916029.5992183539</v>
      </c>
      <c r="E58" s="19">
        <f>IF(PaymentSchedule3[[#This Row],[PMT NO]]&lt;&gt;"",ScheduledPayment,"")</f>
        <v>8358.7693880762818</v>
      </c>
      <c r="F5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5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58" s="19">
        <f>IF(PaymentSchedule3[[#This Row],[PMT NO]]&lt;&gt;"",PaymentSchedule3[[#This Row],[TOTAL PAYMENT]]-PaymentSchedule3[[#This Row],[INTEREST]],"")</f>
        <v>1972.0040573484348</v>
      </c>
      <c r="I58" s="19">
        <f>IF(PaymentSchedule3[[#This Row],[PMT NO]]&lt;&gt;"",PaymentSchedule3[[#This Row],[BEGINNING BALANCE]]*(InterestRate/PaymentsPerYear),"")</f>
        <v>6386.765330727847</v>
      </c>
      <c r="J5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1914057.5951610054</v>
      </c>
      <c r="K58" s="19">
        <f>IF(PaymentSchedule3[[#This Row],[PMT NO]]&lt;&gt;"",SUM(INDEX(PaymentSchedule3[INTEREST],1,1):PaymentSchedule3[[#This Row],[INTEREST]]),"")</f>
        <v>306919.7564005907</v>
      </c>
    </row>
    <row r="59" spans="2:11" x14ac:dyDescent="0.3">
      <c r="B59" s="21">
        <f>IF(LoanIsGood,IF(ROW()-ROW(PaymentSchedule3[[#Headers],[PMT NO]])&gt;ScheduledNumberOfPayments,"",ROW()-ROW(PaymentSchedule3[[#Headers],[PMT NO]])),"")</f>
        <v>48</v>
      </c>
      <c r="C59" s="20">
        <f>IF(PaymentSchedule3[[#This Row],[PMT NO]]&lt;&gt;"",EOMONTH(LoanStartDate,ROW(PaymentSchedule3[[#This Row],[PMT NO]])-ROW(PaymentSchedule3[[#Headers],[PMT NO]])-2)+DAY(LoanStartDate),"")</f>
        <v>45078</v>
      </c>
      <c r="D59" s="19">
        <f>IF(PaymentSchedule3[[#This Row],[PMT NO]]&lt;&gt;"",IF(ROW()-ROW(PaymentSchedule3[[#Headers],[BEGINNING BALANCE]])=1,LoanAmount,INDEX(PaymentSchedule3[ENDING BALANCE],ROW()-ROW(PaymentSchedule3[[#Headers],[BEGINNING BALANCE]])-1)),"")</f>
        <v>1914057.5951610054</v>
      </c>
      <c r="E59" s="19">
        <f>IF(PaymentSchedule3[[#This Row],[PMT NO]]&lt;&gt;"",ScheduledPayment,"")</f>
        <v>8358.7693880762818</v>
      </c>
      <c r="F5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5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59" s="19">
        <f>IF(PaymentSchedule3[[#This Row],[PMT NO]]&lt;&gt;"",PaymentSchedule3[[#This Row],[TOTAL PAYMENT]]-PaymentSchedule3[[#This Row],[INTEREST]],"")</f>
        <v>1978.5774042062631</v>
      </c>
      <c r="I59" s="19">
        <f>IF(PaymentSchedule3[[#This Row],[PMT NO]]&lt;&gt;"",PaymentSchedule3[[#This Row],[BEGINNING BALANCE]]*(InterestRate/PaymentsPerYear),"")</f>
        <v>6380.1919838700187</v>
      </c>
      <c r="J5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1912079.0177567992</v>
      </c>
      <c r="K59" s="19">
        <f>IF(PaymentSchedule3[[#This Row],[PMT NO]]&lt;&gt;"",SUM(INDEX(PaymentSchedule3[INTEREST],1,1):PaymentSchedule3[[#This Row],[INTEREST]]),"")</f>
        <v>313299.9483844607</v>
      </c>
    </row>
    <row r="60" spans="2:11" x14ac:dyDescent="0.3">
      <c r="B60" s="21">
        <f>IF(LoanIsGood,IF(ROW()-ROW(PaymentSchedule3[[#Headers],[PMT NO]])&gt;ScheduledNumberOfPayments,"",ROW()-ROW(PaymentSchedule3[[#Headers],[PMT NO]])),"")</f>
        <v>49</v>
      </c>
      <c r="C60" s="20">
        <f>IF(PaymentSchedule3[[#This Row],[PMT NO]]&lt;&gt;"",EOMONTH(LoanStartDate,ROW(PaymentSchedule3[[#This Row],[PMT NO]])-ROW(PaymentSchedule3[[#Headers],[PMT NO]])-2)+DAY(LoanStartDate),"")</f>
        <v>45108</v>
      </c>
      <c r="D60" s="19">
        <f>IF(PaymentSchedule3[[#This Row],[PMT NO]]&lt;&gt;"",IF(ROW()-ROW(PaymentSchedule3[[#Headers],[BEGINNING BALANCE]])=1,LoanAmount,INDEX(PaymentSchedule3[ENDING BALANCE],ROW()-ROW(PaymentSchedule3[[#Headers],[BEGINNING BALANCE]])-1)),"")</f>
        <v>1912079.0177567992</v>
      </c>
      <c r="E60" s="19">
        <f>IF(PaymentSchedule3[[#This Row],[PMT NO]]&lt;&gt;"",ScheduledPayment,"")</f>
        <v>8358.7693880762818</v>
      </c>
      <c r="F6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6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60" s="19">
        <f>IF(PaymentSchedule3[[#This Row],[PMT NO]]&lt;&gt;"",PaymentSchedule3[[#This Row],[TOTAL PAYMENT]]-PaymentSchedule3[[#This Row],[INTEREST]],"")</f>
        <v>1985.1726622202841</v>
      </c>
      <c r="I60" s="19">
        <f>IF(PaymentSchedule3[[#This Row],[PMT NO]]&lt;&gt;"",PaymentSchedule3[[#This Row],[BEGINNING BALANCE]]*(InterestRate/PaymentsPerYear),"")</f>
        <v>6373.5967258559976</v>
      </c>
      <c r="J6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1910093.845094579</v>
      </c>
      <c r="K60" s="19">
        <f>IF(PaymentSchedule3[[#This Row],[PMT NO]]&lt;&gt;"",SUM(INDEX(PaymentSchedule3[INTEREST],1,1):PaymentSchedule3[[#This Row],[INTEREST]]),"")</f>
        <v>319673.54511031671</v>
      </c>
    </row>
    <row r="61" spans="2:11" x14ac:dyDescent="0.3">
      <c r="B61" s="21">
        <f>IF(LoanIsGood,IF(ROW()-ROW(PaymentSchedule3[[#Headers],[PMT NO]])&gt;ScheduledNumberOfPayments,"",ROW()-ROW(PaymentSchedule3[[#Headers],[PMT NO]])),"")</f>
        <v>50</v>
      </c>
      <c r="C61" s="20">
        <f>IF(PaymentSchedule3[[#This Row],[PMT NO]]&lt;&gt;"",EOMONTH(LoanStartDate,ROW(PaymentSchedule3[[#This Row],[PMT NO]])-ROW(PaymentSchedule3[[#Headers],[PMT NO]])-2)+DAY(LoanStartDate),"")</f>
        <v>45139</v>
      </c>
      <c r="D61" s="19">
        <f>IF(PaymentSchedule3[[#This Row],[PMT NO]]&lt;&gt;"",IF(ROW()-ROW(PaymentSchedule3[[#Headers],[BEGINNING BALANCE]])=1,LoanAmount,INDEX(PaymentSchedule3[ENDING BALANCE],ROW()-ROW(PaymentSchedule3[[#Headers],[BEGINNING BALANCE]])-1)),"")</f>
        <v>1910093.845094579</v>
      </c>
      <c r="E61" s="19">
        <f>IF(PaymentSchedule3[[#This Row],[PMT NO]]&lt;&gt;"",ScheduledPayment,"")</f>
        <v>8358.7693880762818</v>
      </c>
      <c r="F6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6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61" s="19">
        <f>IF(PaymentSchedule3[[#This Row],[PMT NO]]&lt;&gt;"",PaymentSchedule3[[#This Row],[TOTAL PAYMENT]]-PaymentSchedule3[[#This Row],[INTEREST]],"")</f>
        <v>1991.7899044276846</v>
      </c>
      <c r="I61" s="19">
        <f>IF(PaymentSchedule3[[#This Row],[PMT NO]]&lt;&gt;"",PaymentSchedule3[[#This Row],[BEGINNING BALANCE]]*(InterestRate/PaymentsPerYear),"")</f>
        <v>6366.9794836485971</v>
      </c>
      <c r="J6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1908102.0551901513</v>
      </c>
      <c r="K61" s="19">
        <f>IF(PaymentSchedule3[[#This Row],[PMT NO]]&lt;&gt;"",SUM(INDEX(PaymentSchedule3[INTEREST],1,1):PaymentSchedule3[[#This Row],[INTEREST]]),"")</f>
        <v>326040.52459396533</v>
      </c>
    </row>
    <row r="62" spans="2:11" x14ac:dyDescent="0.3">
      <c r="B62" s="21">
        <f>IF(LoanIsGood,IF(ROW()-ROW(PaymentSchedule3[[#Headers],[PMT NO]])&gt;ScheduledNumberOfPayments,"",ROW()-ROW(PaymentSchedule3[[#Headers],[PMT NO]])),"")</f>
        <v>51</v>
      </c>
      <c r="C62" s="20">
        <f>IF(PaymentSchedule3[[#This Row],[PMT NO]]&lt;&gt;"",EOMONTH(LoanStartDate,ROW(PaymentSchedule3[[#This Row],[PMT NO]])-ROW(PaymentSchedule3[[#Headers],[PMT NO]])-2)+DAY(LoanStartDate),"")</f>
        <v>45170</v>
      </c>
      <c r="D62" s="19">
        <f>IF(PaymentSchedule3[[#This Row],[PMT NO]]&lt;&gt;"",IF(ROW()-ROW(PaymentSchedule3[[#Headers],[BEGINNING BALANCE]])=1,LoanAmount,INDEX(PaymentSchedule3[ENDING BALANCE],ROW()-ROW(PaymentSchedule3[[#Headers],[BEGINNING BALANCE]])-1)),"")</f>
        <v>1908102.0551901513</v>
      </c>
      <c r="E62" s="19">
        <f>IF(PaymentSchedule3[[#This Row],[PMT NO]]&lt;&gt;"",ScheduledPayment,"")</f>
        <v>8358.7693880762818</v>
      </c>
      <c r="F6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6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62" s="19">
        <f>IF(PaymentSchedule3[[#This Row],[PMT NO]]&lt;&gt;"",PaymentSchedule3[[#This Row],[TOTAL PAYMENT]]-PaymentSchedule3[[#This Row],[INTEREST]],"")</f>
        <v>1998.4292041091103</v>
      </c>
      <c r="I62" s="19">
        <f>IF(PaymentSchedule3[[#This Row],[PMT NO]]&lt;&gt;"",PaymentSchedule3[[#This Row],[BEGINNING BALANCE]]*(InterestRate/PaymentsPerYear),"")</f>
        <v>6360.3401839671715</v>
      </c>
      <c r="J6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1906103.6259860422</v>
      </c>
      <c r="K62" s="19">
        <f>IF(PaymentSchedule3[[#This Row],[PMT NO]]&lt;&gt;"",SUM(INDEX(PaymentSchedule3[INTEREST],1,1):PaymentSchedule3[[#This Row],[INTEREST]]),"")</f>
        <v>332400.86477793253</v>
      </c>
    </row>
    <row r="63" spans="2:11" x14ac:dyDescent="0.3">
      <c r="B63" s="21">
        <f>IF(LoanIsGood,IF(ROW()-ROW(PaymentSchedule3[[#Headers],[PMT NO]])&gt;ScheduledNumberOfPayments,"",ROW()-ROW(PaymentSchedule3[[#Headers],[PMT NO]])),"")</f>
        <v>52</v>
      </c>
      <c r="C63" s="20">
        <f>IF(PaymentSchedule3[[#This Row],[PMT NO]]&lt;&gt;"",EOMONTH(LoanStartDate,ROW(PaymentSchedule3[[#This Row],[PMT NO]])-ROW(PaymentSchedule3[[#Headers],[PMT NO]])-2)+DAY(LoanStartDate),"")</f>
        <v>45200</v>
      </c>
      <c r="D63" s="19">
        <f>IF(PaymentSchedule3[[#This Row],[PMT NO]]&lt;&gt;"",IF(ROW()-ROW(PaymentSchedule3[[#Headers],[BEGINNING BALANCE]])=1,LoanAmount,INDEX(PaymentSchedule3[ENDING BALANCE],ROW()-ROW(PaymentSchedule3[[#Headers],[BEGINNING BALANCE]])-1)),"")</f>
        <v>1906103.6259860422</v>
      </c>
      <c r="E63" s="19">
        <f>IF(PaymentSchedule3[[#This Row],[PMT NO]]&lt;&gt;"",ScheduledPayment,"")</f>
        <v>8358.7693880762818</v>
      </c>
      <c r="F6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6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63" s="19">
        <f>IF(PaymentSchedule3[[#This Row],[PMT NO]]&lt;&gt;"",PaymentSchedule3[[#This Row],[TOTAL PAYMENT]]-PaymentSchedule3[[#This Row],[INTEREST]],"")</f>
        <v>2005.0906347894743</v>
      </c>
      <c r="I63" s="19">
        <f>IF(PaymentSchedule3[[#This Row],[PMT NO]]&lt;&gt;"",PaymentSchedule3[[#This Row],[BEGINNING BALANCE]]*(InterestRate/PaymentsPerYear),"")</f>
        <v>6353.6787532868075</v>
      </c>
      <c r="J6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1904098.5353512526</v>
      </c>
      <c r="K63" s="19">
        <f>IF(PaymentSchedule3[[#This Row],[PMT NO]]&lt;&gt;"",SUM(INDEX(PaymentSchedule3[INTEREST],1,1):PaymentSchedule3[[#This Row],[INTEREST]]),"")</f>
        <v>338754.54353121936</v>
      </c>
    </row>
    <row r="64" spans="2:11" x14ac:dyDescent="0.3">
      <c r="B64" s="21">
        <f>IF(LoanIsGood,IF(ROW()-ROW(PaymentSchedule3[[#Headers],[PMT NO]])&gt;ScheduledNumberOfPayments,"",ROW()-ROW(PaymentSchedule3[[#Headers],[PMT NO]])),"")</f>
        <v>53</v>
      </c>
      <c r="C64" s="20">
        <f>IF(PaymentSchedule3[[#This Row],[PMT NO]]&lt;&gt;"",EOMONTH(LoanStartDate,ROW(PaymentSchedule3[[#This Row],[PMT NO]])-ROW(PaymentSchedule3[[#Headers],[PMT NO]])-2)+DAY(LoanStartDate),"")</f>
        <v>45231</v>
      </c>
      <c r="D64" s="19">
        <f>IF(PaymentSchedule3[[#This Row],[PMT NO]]&lt;&gt;"",IF(ROW()-ROW(PaymentSchedule3[[#Headers],[BEGINNING BALANCE]])=1,LoanAmount,INDEX(PaymentSchedule3[ENDING BALANCE],ROW()-ROW(PaymentSchedule3[[#Headers],[BEGINNING BALANCE]])-1)),"")</f>
        <v>1904098.5353512526</v>
      </c>
      <c r="E64" s="19">
        <f>IF(PaymentSchedule3[[#This Row],[PMT NO]]&lt;&gt;"",ScheduledPayment,"")</f>
        <v>8358.7693880762818</v>
      </c>
      <c r="F6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6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64" s="19">
        <f>IF(PaymentSchedule3[[#This Row],[PMT NO]]&lt;&gt;"",PaymentSchedule3[[#This Row],[TOTAL PAYMENT]]-PaymentSchedule3[[#This Row],[INTEREST]],"")</f>
        <v>2011.7742702387723</v>
      </c>
      <c r="I64" s="19">
        <f>IF(PaymentSchedule3[[#This Row],[PMT NO]]&lt;&gt;"",PaymentSchedule3[[#This Row],[BEGINNING BALANCE]]*(InterestRate/PaymentsPerYear),"")</f>
        <v>6346.9951178375095</v>
      </c>
      <c r="J6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1902086.7610810138</v>
      </c>
      <c r="K64" s="19">
        <f>IF(PaymentSchedule3[[#This Row],[PMT NO]]&lt;&gt;"",SUM(INDEX(PaymentSchedule3[INTEREST],1,1):PaymentSchedule3[[#This Row],[INTEREST]]),"")</f>
        <v>345101.53864905686</v>
      </c>
    </row>
    <row r="65" spans="2:11" x14ac:dyDescent="0.3">
      <c r="B65" s="21">
        <f>IF(LoanIsGood,IF(ROW()-ROW(PaymentSchedule3[[#Headers],[PMT NO]])&gt;ScheduledNumberOfPayments,"",ROW()-ROW(PaymentSchedule3[[#Headers],[PMT NO]])),"")</f>
        <v>54</v>
      </c>
      <c r="C65" s="20">
        <f>IF(PaymentSchedule3[[#This Row],[PMT NO]]&lt;&gt;"",EOMONTH(LoanStartDate,ROW(PaymentSchedule3[[#This Row],[PMT NO]])-ROW(PaymentSchedule3[[#Headers],[PMT NO]])-2)+DAY(LoanStartDate),"")</f>
        <v>45261</v>
      </c>
      <c r="D65" s="19">
        <f>IF(PaymentSchedule3[[#This Row],[PMT NO]]&lt;&gt;"",IF(ROW()-ROW(PaymentSchedule3[[#Headers],[BEGINNING BALANCE]])=1,LoanAmount,INDEX(PaymentSchedule3[ENDING BALANCE],ROW()-ROW(PaymentSchedule3[[#Headers],[BEGINNING BALANCE]])-1)),"")</f>
        <v>1902086.7610810138</v>
      </c>
      <c r="E65" s="19">
        <f>IF(PaymentSchedule3[[#This Row],[PMT NO]]&lt;&gt;"",ScheduledPayment,"")</f>
        <v>8358.7693880762818</v>
      </c>
      <c r="F6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6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65" s="19">
        <f>IF(PaymentSchedule3[[#This Row],[PMT NO]]&lt;&gt;"",PaymentSchedule3[[#This Row],[TOTAL PAYMENT]]-PaymentSchedule3[[#This Row],[INTEREST]],"")</f>
        <v>2018.4801844729018</v>
      </c>
      <c r="I65" s="19">
        <f>IF(PaymentSchedule3[[#This Row],[PMT NO]]&lt;&gt;"",PaymentSchedule3[[#This Row],[BEGINNING BALANCE]]*(InterestRate/PaymentsPerYear),"")</f>
        <v>6340.28920360338</v>
      </c>
      <c r="J6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1900068.280896541</v>
      </c>
      <c r="K65" s="19">
        <f>IF(PaymentSchedule3[[#This Row],[PMT NO]]&lt;&gt;"",SUM(INDEX(PaymentSchedule3[INTEREST],1,1):PaymentSchedule3[[#This Row],[INTEREST]]),"")</f>
        <v>351441.82785266027</v>
      </c>
    </row>
    <row r="66" spans="2:11" x14ac:dyDescent="0.3">
      <c r="B66" s="21">
        <f>IF(LoanIsGood,IF(ROW()-ROW(PaymentSchedule3[[#Headers],[PMT NO]])&gt;ScheduledNumberOfPayments,"",ROW()-ROW(PaymentSchedule3[[#Headers],[PMT NO]])),"")</f>
        <v>55</v>
      </c>
      <c r="C66" s="20">
        <f>IF(PaymentSchedule3[[#This Row],[PMT NO]]&lt;&gt;"",EOMONTH(LoanStartDate,ROW(PaymentSchedule3[[#This Row],[PMT NO]])-ROW(PaymentSchedule3[[#Headers],[PMT NO]])-2)+DAY(LoanStartDate),"")</f>
        <v>45292</v>
      </c>
      <c r="D66" s="19">
        <f>IF(PaymentSchedule3[[#This Row],[PMT NO]]&lt;&gt;"",IF(ROW()-ROW(PaymentSchedule3[[#Headers],[BEGINNING BALANCE]])=1,LoanAmount,INDEX(PaymentSchedule3[ENDING BALANCE],ROW()-ROW(PaymentSchedule3[[#Headers],[BEGINNING BALANCE]])-1)),"")</f>
        <v>1900068.280896541</v>
      </c>
      <c r="E66" s="19">
        <f>IF(PaymentSchedule3[[#This Row],[PMT NO]]&lt;&gt;"",ScheduledPayment,"")</f>
        <v>8358.7693880762818</v>
      </c>
      <c r="F6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6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66" s="19">
        <f>IF(PaymentSchedule3[[#This Row],[PMT NO]]&lt;&gt;"",PaymentSchedule3[[#This Row],[TOTAL PAYMENT]]-PaymentSchedule3[[#This Row],[INTEREST]],"")</f>
        <v>2025.2084517544781</v>
      </c>
      <c r="I66" s="19">
        <f>IF(PaymentSchedule3[[#This Row],[PMT NO]]&lt;&gt;"",PaymentSchedule3[[#This Row],[BEGINNING BALANCE]]*(InterestRate/PaymentsPerYear),"")</f>
        <v>6333.5609363218036</v>
      </c>
      <c r="J6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1898043.0724447866</v>
      </c>
      <c r="K66" s="19">
        <f>IF(PaymentSchedule3[[#This Row],[PMT NO]]&lt;&gt;"",SUM(INDEX(PaymentSchedule3[INTEREST],1,1):PaymentSchedule3[[#This Row],[INTEREST]]),"")</f>
        <v>357775.38878898206</v>
      </c>
    </row>
    <row r="67" spans="2:11" x14ac:dyDescent="0.3">
      <c r="B67" s="21">
        <f>IF(LoanIsGood,IF(ROW()-ROW(PaymentSchedule3[[#Headers],[PMT NO]])&gt;ScheduledNumberOfPayments,"",ROW()-ROW(PaymentSchedule3[[#Headers],[PMT NO]])),"")</f>
        <v>56</v>
      </c>
      <c r="C67" s="20">
        <f>IF(PaymentSchedule3[[#This Row],[PMT NO]]&lt;&gt;"",EOMONTH(LoanStartDate,ROW(PaymentSchedule3[[#This Row],[PMT NO]])-ROW(PaymentSchedule3[[#Headers],[PMT NO]])-2)+DAY(LoanStartDate),"")</f>
        <v>45323</v>
      </c>
      <c r="D67" s="19">
        <f>IF(PaymentSchedule3[[#This Row],[PMT NO]]&lt;&gt;"",IF(ROW()-ROW(PaymentSchedule3[[#Headers],[BEGINNING BALANCE]])=1,LoanAmount,INDEX(PaymentSchedule3[ENDING BALANCE],ROW()-ROW(PaymentSchedule3[[#Headers],[BEGINNING BALANCE]])-1)),"")</f>
        <v>1898043.0724447866</v>
      </c>
      <c r="E67" s="19">
        <f>IF(PaymentSchedule3[[#This Row],[PMT NO]]&lt;&gt;"",ScheduledPayment,"")</f>
        <v>8358.7693880762818</v>
      </c>
      <c r="F6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6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67" s="19">
        <f>IF(PaymentSchedule3[[#This Row],[PMT NO]]&lt;&gt;"",PaymentSchedule3[[#This Row],[TOTAL PAYMENT]]-PaymentSchedule3[[#This Row],[INTEREST]],"")</f>
        <v>2031.9591465936592</v>
      </c>
      <c r="I67" s="19">
        <f>IF(PaymentSchedule3[[#This Row],[PMT NO]]&lt;&gt;"",PaymentSchedule3[[#This Row],[BEGINNING BALANCE]]*(InterestRate/PaymentsPerYear),"")</f>
        <v>6326.8102414826226</v>
      </c>
      <c r="J6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1896011.1132981929</v>
      </c>
      <c r="K67" s="19">
        <f>IF(PaymentSchedule3[[#This Row],[PMT NO]]&lt;&gt;"",SUM(INDEX(PaymentSchedule3[INTEREST],1,1):PaymentSchedule3[[#This Row],[INTEREST]]),"")</f>
        <v>364102.19903046469</v>
      </c>
    </row>
    <row r="68" spans="2:11" x14ac:dyDescent="0.3">
      <c r="B68" s="21">
        <f>IF(LoanIsGood,IF(ROW()-ROW(PaymentSchedule3[[#Headers],[PMT NO]])&gt;ScheduledNumberOfPayments,"",ROW()-ROW(PaymentSchedule3[[#Headers],[PMT NO]])),"")</f>
        <v>57</v>
      </c>
      <c r="C68" s="20">
        <f>IF(PaymentSchedule3[[#This Row],[PMT NO]]&lt;&gt;"",EOMONTH(LoanStartDate,ROW(PaymentSchedule3[[#This Row],[PMT NO]])-ROW(PaymentSchedule3[[#Headers],[PMT NO]])-2)+DAY(LoanStartDate),"")</f>
        <v>45352</v>
      </c>
      <c r="D68" s="19">
        <f>IF(PaymentSchedule3[[#This Row],[PMT NO]]&lt;&gt;"",IF(ROW()-ROW(PaymentSchedule3[[#Headers],[BEGINNING BALANCE]])=1,LoanAmount,INDEX(PaymentSchedule3[ENDING BALANCE],ROW()-ROW(PaymentSchedule3[[#Headers],[BEGINNING BALANCE]])-1)),"")</f>
        <v>1896011.1132981929</v>
      </c>
      <c r="E68" s="19">
        <f>IF(PaymentSchedule3[[#This Row],[PMT NO]]&lt;&gt;"",ScheduledPayment,"")</f>
        <v>8358.7693880762818</v>
      </c>
      <c r="F6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6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68" s="19">
        <f>IF(PaymentSchedule3[[#This Row],[PMT NO]]&lt;&gt;"",PaymentSchedule3[[#This Row],[TOTAL PAYMENT]]-PaymentSchedule3[[#This Row],[INTEREST]],"")</f>
        <v>2038.7323437489722</v>
      </c>
      <c r="I68" s="19">
        <f>IF(PaymentSchedule3[[#This Row],[PMT NO]]&lt;&gt;"",PaymentSchedule3[[#This Row],[BEGINNING BALANCE]]*(InterestRate/PaymentsPerYear),"")</f>
        <v>6320.0370443273096</v>
      </c>
      <c r="J6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1893972.3809544439</v>
      </c>
      <c r="K68" s="19">
        <f>IF(PaymentSchedule3[[#This Row],[PMT NO]]&lt;&gt;"",SUM(INDEX(PaymentSchedule3[INTEREST],1,1):PaymentSchedule3[[#This Row],[INTEREST]]),"")</f>
        <v>370422.23607479199</v>
      </c>
    </row>
    <row r="69" spans="2:11" x14ac:dyDescent="0.3">
      <c r="B69" s="21">
        <f>IF(LoanIsGood,IF(ROW()-ROW(PaymentSchedule3[[#Headers],[PMT NO]])&gt;ScheduledNumberOfPayments,"",ROW()-ROW(PaymentSchedule3[[#Headers],[PMT NO]])),"")</f>
        <v>58</v>
      </c>
      <c r="C69" s="20">
        <f>IF(PaymentSchedule3[[#This Row],[PMT NO]]&lt;&gt;"",EOMONTH(LoanStartDate,ROW(PaymentSchedule3[[#This Row],[PMT NO]])-ROW(PaymentSchedule3[[#Headers],[PMT NO]])-2)+DAY(LoanStartDate),"")</f>
        <v>45383</v>
      </c>
      <c r="D69" s="19">
        <f>IF(PaymentSchedule3[[#This Row],[PMT NO]]&lt;&gt;"",IF(ROW()-ROW(PaymentSchedule3[[#Headers],[BEGINNING BALANCE]])=1,LoanAmount,INDEX(PaymentSchedule3[ENDING BALANCE],ROW()-ROW(PaymentSchedule3[[#Headers],[BEGINNING BALANCE]])-1)),"")</f>
        <v>1893972.3809544439</v>
      </c>
      <c r="E69" s="19">
        <f>IF(PaymentSchedule3[[#This Row],[PMT NO]]&lt;&gt;"",ScheduledPayment,"")</f>
        <v>8358.7693880762818</v>
      </c>
      <c r="F6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6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69" s="19">
        <f>IF(PaymentSchedule3[[#This Row],[PMT NO]]&lt;&gt;"",PaymentSchedule3[[#This Row],[TOTAL PAYMENT]]-PaymentSchedule3[[#This Row],[INTEREST]],"")</f>
        <v>2045.5281182281351</v>
      </c>
      <c r="I69" s="19">
        <f>IF(PaymentSchedule3[[#This Row],[PMT NO]]&lt;&gt;"",PaymentSchedule3[[#This Row],[BEGINNING BALANCE]]*(InterestRate/PaymentsPerYear),"")</f>
        <v>6313.2412698481467</v>
      </c>
      <c r="J6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1891926.8528362159</v>
      </c>
      <c r="K69" s="19">
        <f>IF(PaymentSchedule3[[#This Row],[PMT NO]]&lt;&gt;"",SUM(INDEX(PaymentSchedule3[INTEREST],1,1):PaymentSchedule3[[#This Row],[INTEREST]]),"")</f>
        <v>376735.47734464012</v>
      </c>
    </row>
    <row r="70" spans="2:11" x14ac:dyDescent="0.3">
      <c r="B70" s="21">
        <f>IF(LoanIsGood,IF(ROW()-ROW(PaymentSchedule3[[#Headers],[PMT NO]])&gt;ScheduledNumberOfPayments,"",ROW()-ROW(PaymentSchedule3[[#Headers],[PMT NO]])),"")</f>
        <v>59</v>
      </c>
      <c r="C70" s="20">
        <f>IF(PaymentSchedule3[[#This Row],[PMT NO]]&lt;&gt;"",EOMONTH(LoanStartDate,ROW(PaymentSchedule3[[#This Row],[PMT NO]])-ROW(PaymentSchedule3[[#Headers],[PMT NO]])-2)+DAY(LoanStartDate),"")</f>
        <v>45413</v>
      </c>
      <c r="D70" s="19">
        <f>IF(PaymentSchedule3[[#This Row],[PMT NO]]&lt;&gt;"",IF(ROW()-ROW(PaymentSchedule3[[#Headers],[BEGINNING BALANCE]])=1,LoanAmount,INDEX(PaymentSchedule3[ENDING BALANCE],ROW()-ROW(PaymentSchedule3[[#Headers],[BEGINNING BALANCE]])-1)),"")</f>
        <v>1891926.8528362159</v>
      </c>
      <c r="E70" s="19">
        <f>IF(PaymentSchedule3[[#This Row],[PMT NO]]&lt;&gt;"",ScheduledPayment,"")</f>
        <v>8358.7693880762818</v>
      </c>
      <c r="F7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7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70" s="19">
        <f>IF(PaymentSchedule3[[#This Row],[PMT NO]]&lt;&gt;"",PaymentSchedule3[[#This Row],[TOTAL PAYMENT]]-PaymentSchedule3[[#This Row],[INTEREST]],"")</f>
        <v>2052.346545288895</v>
      </c>
      <c r="I70" s="19">
        <f>IF(PaymentSchedule3[[#This Row],[PMT NO]]&lt;&gt;"",PaymentSchedule3[[#This Row],[BEGINNING BALANCE]]*(InterestRate/PaymentsPerYear),"")</f>
        <v>6306.4228427873868</v>
      </c>
      <c r="J7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1889874.5062909271</v>
      </c>
      <c r="K70" s="19">
        <f>IF(PaymentSchedule3[[#This Row],[PMT NO]]&lt;&gt;"",SUM(INDEX(PaymentSchedule3[INTEREST],1,1):PaymentSchedule3[[#This Row],[INTEREST]]),"")</f>
        <v>383041.90018742753</v>
      </c>
    </row>
    <row r="71" spans="2:11" x14ac:dyDescent="0.3">
      <c r="B71" s="21">
        <f>IF(LoanIsGood,IF(ROW()-ROW(PaymentSchedule3[[#Headers],[PMT NO]])&gt;ScheduledNumberOfPayments,"",ROW()-ROW(PaymentSchedule3[[#Headers],[PMT NO]])),"")</f>
        <v>60</v>
      </c>
      <c r="C71" s="20">
        <f>IF(PaymentSchedule3[[#This Row],[PMT NO]]&lt;&gt;"",EOMONTH(LoanStartDate,ROW(PaymentSchedule3[[#This Row],[PMT NO]])-ROW(PaymentSchedule3[[#Headers],[PMT NO]])-2)+DAY(LoanStartDate),"")</f>
        <v>45444</v>
      </c>
      <c r="D71" s="19">
        <f>IF(PaymentSchedule3[[#This Row],[PMT NO]]&lt;&gt;"",IF(ROW()-ROW(PaymentSchedule3[[#Headers],[BEGINNING BALANCE]])=1,LoanAmount,INDEX(PaymentSchedule3[ENDING BALANCE],ROW()-ROW(PaymentSchedule3[[#Headers],[BEGINNING BALANCE]])-1)),"")</f>
        <v>1889874.5062909271</v>
      </c>
      <c r="E71" s="19">
        <f>IF(PaymentSchedule3[[#This Row],[PMT NO]]&lt;&gt;"",ScheduledPayment,"")</f>
        <v>8358.7693880762818</v>
      </c>
      <c r="F7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7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71" s="19">
        <f>IF(PaymentSchedule3[[#This Row],[PMT NO]]&lt;&gt;"",PaymentSchedule3[[#This Row],[TOTAL PAYMENT]]-PaymentSchedule3[[#This Row],[INTEREST]],"")</f>
        <v>2059.1877004398575</v>
      </c>
      <c r="I71" s="19">
        <f>IF(PaymentSchedule3[[#This Row],[PMT NO]]&lt;&gt;"",PaymentSchedule3[[#This Row],[BEGINNING BALANCE]]*(InterestRate/PaymentsPerYear),"")</f>
        <v>6299.5816876364242</v>
      </c>
      <c r="J7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1887815.3185904871</v>
      </c>
      <c r="K71" s="19">
        <f>IF(PaymentSchedule3[[#This Row],[PMT NO]]&lt;&gt;"",SUM(INDEX(PaymentSchedule3[INTEREST],1,1):PaymentSchedule3[[#This Row],[INTEREST]]),"")</f>
        <v>389341.48187506397</v>
      </c>
    </row>
    <row r="72" spans="2:11" x14ac:dyDescent="0.3">
      <c r="B72" s="21">
        <f>IF(LoanIsGood,IF(ROW()-ROW(PaymentSchedule3[[#Headers],[PMT NO]])&gt;ScheduledNumberOfPayments,"",ROW()-ROW(PaymentSchedule3[[#Headers],[PMT NO]])),"")</f>
        <v>61</v>
      </c>
      <c r="C72" s="20">
        <f>IF(PaymentSchedule3[[#This Row],[PMT NO]]&lt;&gt;"",EOMONTH(LoanStartDate,ROW(PaymentSchedule3[[#This Row],[PMT NO]])-ROW(PaymentSchedule3[[#Headers],[PMT NO]])-2)+DAY(LoanStartDate),"")</f>
        <v>45474</v>
      </c>
      <c r="D72" s="19">
        <f>IF(PaymentSchedule3[[#This Row],[PMT NO]]&lt;&gt;"",IF(ROW()-ROW(PaymentSchedule3[[#Headers],[BEGINNING BALANCE]])=1,LoanAmount,INDEX(PaymentSchedule3[ENDING BALANCE],ROW()-ROW(PaymentSchedule3[[#Headers],[BEGINNING BALANCE]])-1)),"")</f>
        <v>1887815.3185904871</v>
      </c>
      <c r="E72" s="19">
        <f>IF(PaymentSchedule3[[#This Row],[PMT NO]]&lt;&gt;"",ScheduledPayment,"")</f>
        <v>8358.7693880762818</v>
      </c>
      <c r="F7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7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72" s="19">
        <f>IF(PaymentSchedule3[[#This Row],[PMT NO]]&lt;&gt;"",PaymentSchedule3[[#This Row],[TOTAL PAYMENT]]-PaymentSchedule3[[#This Row],[INTEREST]],"")</f>
        <v>2066.0516594413239</v>
      </c>
      <c r="I72" s="19">
        <f>IF(PaymentSchedule3[[#This Row],[PMT NO]]&lt;&gt;"",PaymentSchedule3[[#This Row],[BEGINNING BALANCE]]*(InterestRate/PaymentsPerYear),"")</f>
        <v>6292.7177286349579</v>
      </c>
      <c r="J7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1885749.2669310458</v>
      </c>
      <c r="K72" s="19">
        <f>IF(PaymentSchedule3[[#This Row],[PMT NO]]&lt;&gt;"",SUM(INDEX(PaymentSchedule3[INTEREST],1,1):PaymentSchedule3[[#This Row],[INTEREST]]),"")</f>
        <v>395634.19960369891</v>
      </c>
    </row>
    <row r="73" spans="2:11" x14ac:dyDescent="0.3">
      <c r="B73" s="21">
        <f>IF(LoanIsGood,IF(ROW()-ROW(PaymentSchedule3[[#Headers],[PMT NO]])&gt;ScheduledNumberOfPayments,"",ROW()-ROW(PaymentSchedule3[[#Headers],[PMT NO]])),"")</f>
        <v>62</v>
      </c>
      <c r="C73" s="20">
        <f>IF(PaymentSchedule3[[#This Row],[PMT NO]]&lt;&gt;"",EOMONTH(LoanStartDate,ROW(PaymentSchedule3[[#This Row],[PMT NO]])-ROW(PaymentSchedule3[[#Headers],[PMT NO]])-2)+DAY(LoanStartDate),"")</f>
        <v>45505</v>
      </c>
      <c r="D73" s="19">
        <f>IF(PaymentSchedule3[[#This Row],[PMT NO]]&lt;&gt;"",IF(ROW()-ROW(PaymentSchedule3[[#Headers],[BEGINNING BALANCE]])=1,LoanAmount,INDEX(PaymentSchedule3[ENDING BALANCE],ROW()-ROW(PaymentSchedule3[[#Headers],[BEGINNING BALANCE]])-1)),"")</f>
        <v>1885749.2669310458</v>
      </c>
      <c r="E73" s="19">
        <f>IF(PaymentSchedule3[[#This Row],[PMT NO]]&lt;&gt;"",ScheduledPayment,"")</f>
        <v>8358.7693880762818</v>
      </c>
      <c r="F7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7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73" s="19">
        <f>IF(PaymentSchedule3[[#This Row],[PMT NO]]&lt;&gt;"",PaymentSchedule3[[#This Row],[TOTAL PAYMENT]]-PaymentSchedule3[[#This Row],[INTEREST]],"")</f>
        <v>2072.9384983061291</v>
      </c>
      <c r="I73" s="19">
        <f>IF(PaymentSchedule3[[#This Row],[PMT NO]]&lt;&gt;"",PaymentSchedule3[[#This Row],[BEGINNING BALANCE]]*(InterestRate/PaymentsPerYear),"")</f>
        <v>6285.8308897701527</v>
      </c>
      <c r="J7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1883676.3284327397</v>
      </c>
      <c r="K73" s="19">
        <f>IF(PaymentSchedule3[[#This Row],[PMT NO]]&lt;&gt;"",SUM(INDEX(PaymentSchedule3[INTEREST],1,1):PaymentSchedule3[[#This Row],[INTEREST]]),"")</f>
        <v>401920.03049346909</v>
      </c>
    </row>
    <row r="74" spans="2:11" x14ac:dyDescent="0.3">
      <c r="B74" s="21">
        <f>IF(LoanIsGood,IF(ROW()-ROW(PaymentSchedule3[[#Headers],[PMT NO]])&gt;ScheduledNumberOfPayments,"",ROW()-ROW(PaymentSchedule3[[#Headers],[PMT NO]])),"")</f>
        <v>63</v>
      </c>
      <c r="C74" s="20">
        <f>IF(PaymentSchedule3[[#This Row],[PMT NO]]&lt;&gt;"",EOMONTH(LoanStartDate,ROW(PaymentSchedule3[[#This Row],[PMT NO]])-ROW(PaymentSchedule3[[#Headers],[PMT NO]])-2)+DAY(LoanStartDate),"")</f>
        <v>45536</v>
      </c>
      <c r="D74" s="19">
        <f>IF(PaymentSchedule3[[#This Row],[PMT NO]]&lt;&gt;"",IF(ROW()-ROW(PaymentSchedule3[[#Headers],[BEGINNING BALANCE]])=1,LoanAmount,INDEX(PaymentSchedule3[ENDING BALANCE],ROW()-ROW(PaymentSchedule3[[#Headers],[BEGINNING BALANCE]])-1)),"")</f>
        <v>1883676.3284327397</v>
      </c>
      <c r="E74" s="19">
        <f>IF(PaymentSchedule3[[#This Row],[PMT NO]]&lt;&gt;"",ScheduledPayment,"")</f>
        <v>8358.7693880762818</v>
      </c>
      <c r="F7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7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74" s="19">
        <f>IF(PaymentSchedule3[[#This Row],[PMT NO]]&lt;&gt;"",PaymentSchedule3[[#This Row],[TOTAL PAYMENT]]-PaymentSchedule3[[#This Row],[INTEREST]],"")</f>
        <v>2079.8482933004825</v>
      </c>
      <c r="I74" s="19">
        <f>IF(PaymentSchedule3[[#This Row],[PMT NO]]&lt;&gt;"",PaymentSchedule3[[#This Row],[BEGINNING BALANCE]]*(InterestRate/PaymentsPerYear),"")</f>
        <v>6278.9210947757992</v>
      </c>
      <c r="J7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1881596.4801394392</v>
      </c>
      <c r="K74" s="19">
        <f>IF(PaymentSchedule3[[#This Row],[PMT NO]]&lt;&gt;"",SUM(INDEX(PaymentSchedule3[INTEREST],1,1):PaymentSchedule3[[#This Row],[INTEREST]]),"")</f>
        <v>408198.95158824488</v>
      </c>
    </row>
    <row r="75" spans="2:11" x14ac:dyDescent="0.3">
      <c r="B75" s="21">
        <f>IF(LoanIsGood,IF(ROW()-ROW(PaymentSchedule3[[#Headers],[PMT NO]])&gt;ScheduledNumberOfPayments,"",ROW()-ROW(PaymentSchedule3[[#Headers],[PMT NO]])),"")</f>
        <v>64</v>
      </c>
      <c r="C75" s="20">
        <f>IF(PaymentSchedule3[[#This Row],[PMT NO]]&lt;&gt;"",EOMONTH(LoanStartDate,ROW(PaymentSchedule3[[#This Row],[PMT NO]])-ROW(PaymentSchedule3[[#Headers],[PMT NO]])-2)+DAY(LoanStartDate),"")</f>
        <v>45566</v>
      </c>
      <c r="D75" s="19">
        <f>IF(PaymentSchedule3[[#This Row],[PMT NO]]&lt;&gt;"",IF(ROW()-ROW(PaymentSchedule3[[#Headers],[BEGINNING BALANCE]])=1,LoanAmount,INDEX(PaymentSchedule3[ENDING BALANCE],ROW()-ROW(PaymentSchedule3[[#Headers],[BEGINNING BALANCE]])-1)),"")</f>
        <v>1881596.4801394392</v>
      </c>
      <c r="E75" s="19">
        <f>IF(PaymentSchedule3[[#This Row],[PMT NO]]&lt;&gt;"",ScheduledPayment,"")</f>
        <v>8358.7693880762818</v>
      </c>
      <c r="F7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7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75" s="19">
        <f>IF(PaymentSchedule3[[#This Row],[PMT NO]]&lt;&gt;"",PaymentSchedule3[[#This Row],[TOTAL PAYMENT]]-PaymentSchedule3[[#This Row],[INTEREST]],"")</f>
        <v>2086.7811209448173</v>
      </c>
      <c r="I75" s="19">
        <f>IF(PaymentSchedule3[[#This Row],[PMT NO]]&lt;&gt;"",PaymentSchedule3[[#This Row],[BEGINNING BALANCE]]*(InterestRate/PaymentsPerYear),"")</f>
        <v>6271.9882671314645</v>
      </c>
      <c r="J7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1879509.6990184945</v>
      </c>
      <c r="K75" s="19">
        <f>IF(PaymentSchedule3[[#This Row],[PMT NO]]&lt;&gt;"",SUM(INDEX(PaymentSchedule3[INTEREST],1,1):PaymentSchedule3[[#This Row],[INTEREST]]),"")</f>
        <v>414470.93985537632</v>
      </c>
    </row>
    <row r="76" spans="2:11" x14ac:dyDescent="0.3">
      <c r="B76" s="21">
        <f>IF(LoanIsGood,IF(ROW()-ROW(PaymentSchedule3[[#Headers],[PMT NO]])&gt;ScheduledNumberOfPayments,"",ROW()-ROW(PaymentSchedule3[[#Headers],[PMT NO]])),"")</f>
        <v>65</v>
      </c>
      <c r="C76" s="20">
        <f>IF(PaymentSchedule3[[#This Row],[PMT NO]]&lt;&gt;"",EOMONTH(LoanStartDate,ROW(PaymentSchedule3[[#This Row],[PMT NO]])-ROW(PaymentSchedule3[[#Headers],[PMT NO]])-2)+DAY(LoanStartDate),"")</f>
        <v>45597</v>
      </c>
      <c r="D76" s="19">
        <f>IF(PaymentSchedule3[[#This Row],[PMT NO]]&lt;&gt;"",IF(ROW()-ROW(PaymentSchedule3[[#Headers],[BEGINNING BALANCE]])=1,LoanAmount,INDEX(PaymentSchedule3[ENDING BALANCE],ROW()-ROW(PaymentSchedule3[[#Headers],[BEGINNING BALANCE]])-1)),"")</f>
        <v>1879509.6990184945</v>
      </c>
      <c r="E76" s="19">
        <f>IF(PaymentSchedule3[[#This Row],[PMT NO]]&lt;&gt;"",ScheduledPayment,"")</f>
        <v>8358.7693880762818</v>
      </c>
      <c r="F7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7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76" s="19">
        <f>IF(PaymentSchedule3[[#This Row],[PMT NO]]&lt;&gt;"",PaymentSchedule3[[#This Row],[TOTAL PAYMENT]]-PaymentSchedule3[[#This Row],[INTEREST]],"")</f>
        <v>2093.7370580146335</v>
      </c>
      <c r="I76" s="19">
        <f>IF(PaymentSchedule3[[#This Row],[PMT NO]]&lt;&gt;"",PaymentSchedule3[[#This Row],[BEGINNING BALANCE]]*(InterestRate/PaymentsPerYear),"")</f>
        <v>6265.0323300616483</v>
      </c>
      <c r="J7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1877415.9619604798</v>
      </c>
      <c r="K76" s="19">
        <f>IF(PaymentSchedule3[[#This Row],[PMT NO]]&lt;&gt;"",SUM(INDEX(PaymentSchedule3[INTEREST],1,1):PaymentSchedule3[[#This Row],[INTEREST]]),"")</f>
        <v>420735.97218543797</v>
      </c>
    </row>
    <row r="77" spans="2:11" x14ac:dyDescent="0.3">
      <c r="B77" s="21">
        <f>IF(LoanIsGood,IF(ROW()-ROW(PaymentSchedule3[[#Headers],[PMT NO]])&gt;ScheduledNumberOfPayments,"",ROW()-ROW(PaymentSchedule3[[#Headers],[PMT NO]])),"")</f>
        <v>66</v>
      </c>
      <c r="C77" s="20">
        <f>IF(PaymentSchedule3[[#This Row],[PMT NO]]&lt;&gt;"",EOMONTH(LoanStartDate,ROW(PaymentSchedule3[[#This Row],[PMT NO]])-ROW(PaymentSchedule3[[#Headers],[PMT NO]])-2)+DAY(LoanStartDate),"")</f>
        <v>45627</v>
      </c>
      <c r="D77" s="19">
        <f>IF(PaymentSchedule3[[#This Row],[PMT NO]]&lt;&gt;"",IF(ROW()-ROW(PaymentSchedule3[[#Headers],[BEGINNING BALANCE]])=1,LoanAmount,INDEX(PaymentSchedule3[ENDING BALANCE],ROW()-ROW(PaymentSchedule3[[#Headers],[BEGINNING BALANCE]])-1)),"")</f>
        <v>1877415.9619604798</v>
      </c>
      <c r="E77" s="19">
        <f>IF(PaymentSchedule3[[#This Row],[PMT NO]]&lt;&gt;"",ScheduledPayment,"")</f>
        <v>8358.7693880762818</v>
      </c>
      <c r="F7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7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77" s="19">
        <f>IF(PaymentSchedule3[[#This Row],[PMT NO]]&lt;&gt;"",PaymentSchedule3[[#This Row],[TOTAL PAYMENT]]-PaymentSchedule3[[#This Row],[INTEREST]],"")</f>
        <v>2100.7161815413483</v>
      </c>
      <c r="I77" s="19">
        <f>IF(PaymentSchedule3[[#This Row],[PMT NO]]&lt;&gt;"",PaymentSchedule3[[#This Row],[BEGINNING BALANCE]]*(InterestRate/PaymentsPerYear),"")</f>
        <v>6258.0532065349335</v>
      </c>
      <c r="J7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1875315.2457789385</v>
      </c>
      <c r="K77" s="19">
        <f>IF(PaymentSchedule3[[#This Row],[PMT NO]]&lt;&gt;"",SUM(INDEX(PaymentSchedule3[INTEREST],1,1):PaymentSchedule3[[#This Row],[INTEREST]]),"")</f>
        <v>426994.02539197291</v>
      </c>
    </row>
    <row r="78" spans="2:11" x14ac:dyDescent="0.3">
      <c r="B78" s="21">
        <f>IF(LoanIsGood,IF(ROW()-ROW(PaymentSchedule3[[#Headers],[PMT NO]])&gt;ScheduledNumberOfPayments,"",ROW()-ROW(PaymentSchedule3[[#Headers],[PMT NO]])),"")</f>
        <v>67</v>
      </c>
      <c r="C78" s="20">
        <f>IF(PaymentSchedule3[[#This Row],[PMT NO]]&lt;&gt;"",EOMONTH(LoanStartDate,ROW(PaymentSchedule3[[#This Row],[PMT NO]])-ROW(PaymentSchedule3[[#Headers],[PMT NO]])-2)+DAY(LoanStartDate),"")</f>
        <v>45658</v>
      </c>
      <c r="D78" s="19">
        <f>IF(PaymentSchedule3[[#This Row],[PMT NO]]&lt;&gt;"",IF(ROW()-ROW(PaymentSchedule3[[#Headers],[BEGINNING BALANCE]])=1,LoanAmount,INDEX(PaymentSchedule3[ENDING BALANCE],ROW()-ROW(PaymentSchedule3[[#Headers],[BEGINNING BALANCE]])-1)),"")</f>
        <v>1875315.2457789385</v>
      </c>
      <c r="E78" s="19">
        <f>IF(PaymentSchedule3[[#This Row],[PMT NO]]&lt;&gt;"",ScheduledPayment,"")</f>
        <v>8358.7693880762818</v>
      </c>
      <c r="F7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7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78" s="19">
        <f>IF(PaymentSchedule3[[#This Row],[PMT NO]]&lt;&gt;"",PaymentSchedule3[[#This Row],[TOTAL PAYMENT]]-PaymentSchedule3[[#This Row],[INTEREST]],"")</f>
        <v>2107.7185688131531</v>
      </c>
      <c r="I78" s="19">
        <f>IF(PaymentSchedule3[[#This Row],[PMT NO]]&lt;&gt;"",PaymentSchedule3[[#This Row],[BEGINNING BALANCE]]*(InterestRate/PaymentsPerYear),"")</f>
        <v>6251.0508192631287</v>
      </c>
      <c r="J7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1873207.5272101255</v>
      </c>
      <c r="K78" s="19">
        <f>IF(PaymentSchedule3[[#This Row],[PMT NO]]&lt;&gt;"",SUM(INDEX(PaymentSchedule3[INTEREST],1,1):PaymentSchedule3[[#This Row],[INTEREST]]),"")</f>
        <v>433245.07621123607</v>
      </c>
    </row>
    <row r="79" spans="2:11" x14ac:dyDescent="0.3">
      <c r="B79" s="21">
        <f>IF(LoanIsGood,IF(ROW()-ROW(PaymentSchedule3[[#Headers],[PMT NO]])&gt;ScheduledNumberOfPayments,"",ROW()-ROW(PaymentSchedule3[[#Headers],[PMT NO]])),"")</f>
        <v>68</v>
      </c>
      <c r="C79" s="20">
        <f>IF(PaymentSchedule3[[#This Row],[PMT NO]]&lt;&gt;"",EOMONTH(LoanStartDate,ROW(PaymentSchedule3[[#This Row],[PMT NO]])-ROW(PaymentSchedule3[[#Headers],[PMT NO]])-2)+DAY(LoanStartDate),"")</f>
        <v>45689</v>
      </c>
      <c r="D79" s="19">
        <f>IF(PaymentSchedule3[[#This Row],[PMT NO]]&lt;&gt;"",IF(ROW()-ROW(PaymentSchedule3[[#Headers],[BEGINNING BALANCE]])=1,LoanAmount,INDEX(PaymentSchedule3[ENDING BALANCE],ROW()-ROW(PaymentSchedule3[[#Headers],[BEGINNING BALANCE]])-1)),"")</f>
        <v>1873207.5272101255</v>
      </c>
      <c r="E79" s="19">
        <f>IF(PaymentSchedule3[[#This Row],[PMT NO]]&lt;&gt;"",ScheduledPayment,"")</f>
        <v>8358.7693880762818</v>
      </c>
      <c r="F7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7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79" s="19">
        <f>IF(PaymentSchedule3[[#This Row],[PMT NO]]&lt;&gt;"",PaymentSchedule3[[#This Row],[TOTAL PAYMENT]]-PaymentSchedule3[[#This Row],[INTEREST]],"")</f>
        <v>2114.7442973758634</v>
      </c>
      <c r="I79" s="19">
        <f>IF(PaymentSchedule3[[#This Row],[PMT NO]]&lt;&gt;"",PaymentSchedule3[[#This Row],[BEGINNING BALANCE]]*(InterestRate/PaymentsPerYear),"")</f>
        <v>6244.0250907004183</v>
      </c>
      <c r="J7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1871092.7829127496</v>
      </c>
      <c r="K79" s="19">
        <f>IF(PaymentSchedule3[[#This Row],[PMT NO]]&lt;&gt;"",SUM(INDEX(PaymentSchedule3[INTEREST],1,1):PaymentSchedule3[[#This Row],[INTEREST]]),"")</f>
        <v>439489.10130193649</v>
      </c>
    </row>
    <row r="80" spans="2:11" x14ac:dyDescent="0.3">
      <c r="B80" s="21">
        <f>IF(LoanIsGood,IF(ROW()-ROW(PaymentSchedule3[[#Headers],[PMT NO]])&gt;ScheduledNumberOfPayments,"",ROW()-ROW(PaymentSchedule3[[#Headers],[PMT NO]])),"")</f>
        <v>69</v>
      </c>
      <c r="C80" s="20">
        <f>IF(PaymentSchedule3[[#This Row],[PMT NO]]&lt;&gt;"",EOMONTH(LoanStartDate,ROW(PaymentSchedule3[[#This Row],[PMT NO]])-ROW(PaymentSchedule3[[#Headers],[PMT NO]])-2)+DAY(LoanStartDate),"")</f>
        <v>45717</v>
      </c>
      <c r="D80" s="19">
        <f>IF(PaymentSchedule3[[#This Row],[PMT NO]]&lt;&gt;"",IF(ROW()-ROW(PaymentSchedule3[[#Headers],[BEGINNING BALANCE]])=1,LoanAmount,INDEX(PaymentSchedule3[ENDING BALANCE],ROW()-ROW(PaymentSchedule3[[#Headers],[BEGINNING BALANCE]])-1)),"")</f>
        <v>1871092.7829127496</v>
      </c>
      <c r="E80" s="19">
        <f>IF(PaymentSchedule3[[#This Row],[PMT NO]]&lt;&gt;"",ScheduledPayment,"")</f>
        <v>8358.7693880762818</v>
      </c>
      <c r="F8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8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80" s="19">
        <f>IF(PaymentSchedule3[[#This Row],[PMT NO]]&lt;&gt;"",PaymentSchedule3[[#This Row],[TOTAL PAYMENT]]-PaymentSchedule3[[#This Row],[INTEREST]],"")</f>
        <v>2121.7934450337825</v>
      </c>
      <c r="I80" s="19">
        <f>IF(PaymentSchedule3[[#This Row],[PMT NO]]&lt;&gt;"",PaymentSchedule3[[#This Row],[BEGINNING BALANCE]]*(InterestRate/PaymentsPerYear),"")</f>
        <v>6236.9759430424992</v>
      </c>
      <c r="J8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1868970.9894677158</v>
      </c>
      <c r="K80" s="19">
        <f>IF(PaymentSchedule3[[#This Row],[PMT NO]]&lt;&gt;"",SUM(INDEX(PaymentSchedule3[INTEREST],1,1):PaymentSchedule3[[#This Row],[INTEREST]]),"")</f>
        <v>445726.07724497898</v>
      </c>
    </row>
    <row r="81" spans="2:11" x14ac:dyDescent="0.3">
      <c r="B81" s="21">
        <f>IF(LoanIsGood,IF(ROW()-ROW(PaymentSchedule3[[#Headers],[PMT NO]])&gt;ScheduledNumberOfPayments,"",ROW()-ROW(PaymentSchedule3[[#Headers],[PMT NO]])),"")</f>
        <v>70</v>
      </c>
      <c r="C81" s="20">
        <f>IF(PaymentSchedule3[[#This Row],[PMT NO]]&lt;&gt;"",EOMONTH(LoanStartDate,ROW(PaymentSchedule3[[#This Row],[PMT NO]])-ROW(PaymentSchedule3[[#Headers],[PMT NO]])-2)+DAY(LoanStartDate),"")</f>
        <v>45748</v>
      </c>
      <c r="D81" s="19">
        <f>IF(PaymentSchedule3[[#This Row],[PMT NO]]&lt;&gt;"",IF(ROW()-ROW(PaymentSchedule3[[#Headers],[BEGINNING BALANCE]])=1,LoanAmount,INDEX(PaymentSchedule3[ENDING BALANCE],ROW()-ROW(PaymentSchedule3[[#Headers],[BEGINNING BALANCE]])-1)),"")</f>
        <v>1868970.9894677158</v>
      </c>
      <c r="E81" s="19">
        <f>IF(PaymentSchedule3[[#This Row],[PMT NO]]&lt;&gt;"",ScheduledPayment,"")</f>
        <v>8358.7693880762818</v>
      </c>
      <c r="F8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8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81" s="19">
        <f>IF(PaymentSchedule3[[#This Row],[PMT NO]]&lt;&gt;"",PaymentSchedule3[[#This Row],[TOTAL PAYMENT]]-PaymentSchedule3[[#This Row],[INTEREST]],"")</f>
        <v>2128.8660898505623</v>
      </c>
      <c r="I81" s="19">
        <f>IF(PaymentSchedule3[[#This Row],[PMT NO]]&lt;&gt;"",PaymentSchedule3[[#This Row],[BEGINNING BALANCE]]*(InterestRate/PaymentsPerYear),"")</f>
        <v>6229.9032982257195</v>
      </c>
      <c r="J8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1866842.1233778652</v>
      </c>
      <c r="K81" s="19">
        <f>IF(PaymentSchedule3[[#This Row],[PMT NO]]&lt;&gt;"",SUM(INDEX(PaymentSchedule3[INTEREST],1,1):PaymentSchedule3[[#This Row],[INTEREST]]),"")</f>
        <v>451955.9805432047</v>
      </c>
    </row>
    <row r="82" spans="2:11" x14ac:dyDescent="0.3">
      <c r="B82" s="21">
        <f>IF(LoanIsGood,IF(ROW()-ROW(PaymentSchedule3[[#Headers],[PMT NO]])&gt;ScheduledNumberOfPayments,"",ROW()-ROW(PaymentSchedule3[[#Headers],[PMT NO]])),"")</f>
        <v>71</v>
      </c>
      <c r="C82" s="20">
        <f>IF(PaymentSchedule3[[#This Row],[PMT NO]]&lt;&gt;"",EOMONTH(LoanStartDate,ROW(PaymentSchedule3[[#This Row],[PMT NO]])-ROW(PaymentSchedule3[[#Headers],[PMT NO]])-2)+DAY(LoanStartDate),"")</f>
        <v>45778</v>
      </c>
      <c r="D82" s="19">
        <f>IF(PaymentSchedule3[[#This Row],[PMT NO]]&lt;&gt;"",IF(ROW()-ROW(PaymentSchedule3[[#Headers],[BEGINNING BALANCE]])=1,LoanAmount,INDEX(PaymentSchedule3[ENDING BALANCE],ROW()-ROW(PaymentSchedule3[[#Headers],[BEGINNING BALANCE]])-1)),"")</f>
        <v>1866842.1233778652</v>
      </c>
      <c r="E82" s="19">
        <f>IF(PaymentSchedule3[[#This Row],[PMT NO]]&lt;&gt;"",ScheduledPayment,"")</f>
        <v>8358.7693880762818</v>
      </c>
      <c r="F8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8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82" s="19">
        <f>IF(PaymentSchedule3[[#This Row],[PMT NO]]&lt;&gt;"",PaymentSchedule3[[#This Row],[TOTAL PAYMENT]]-PaymentSchedule3[[#This Row],[INTEREST]],"")</f>
        <v>2135.9623101500638</v>
      </c>
      <c r="I82" s="19">
        <f>IF(PaymentSchedule3[[#This Row],[PMT NO]]&lt;&gt;"",PaymentSchedule3[[#This Row],[BEGINNING BALANCE]]*(InterestRate/PaymentsPerYear),"")</f>
        <v>6222.807077926218</v>
      </c>
      <c r="J8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1864706.1610677151</v>
      </c>
      <c r="K82" s="19">
        <f>IF(PaymentSchedule3[[#This Row],[PMT NO]]&lt;&gt;"",SUM(INDEX(PaymentSchedule3[INTEREST],1,1):PaymentSchedule3[[#This Row],[INTEREST]]),"")</f>
        <v>458178.78762113093</v>
      </c>
    </row>
    <row r="83" spans="2:11" x14ac:dyDescent="0.3">
      <c r="B83" s="21">
        <f>IF(LoanIsGood,IF(ROW()-ROW(PaymentSchedule3[[#Headers],[PMT NO]])&gt;ScheduledNumberOfPayments,"",ROW()-ROW(PaymentSchedule3[[#Headers],[PMT NO]])),"")</f>
        <v>72</v>
      </c>
      <c r="C83" s="20">
        <f>IF(PaymentSchedule3[[#This Row],[PMT NO]]&lt;&gt;"",EOMONTH(LoanStartDate,ROW(PaymentSchedule3[[#This Row],[PMT NO]])-ROW(PaymentSchedule3[[#Headers],[PMT NO]])-2)+DAY(LoanStartDate),"")</f>
        <v>45809</v>
      </c>
      <c r="D83" s="19">
        <f>IF(PaymentSchedule3[[#This Row],[PMT NO]]&lt;&gt;"",IF(ROW()-ROW(PaymentSchedule3[[#Headers],[BEGINNING BALANCE]])=1,LoanAmount,INDEX(PaymentSchedule3[ENDING BALANCE],ROW()-ROW(PaymentSchedule3[[#Headers],[BEGINNING BALANCE]])-1)),"")</f>
        <v>1864706.1610677151</v>
      </c>
      <c r="E83" s="19">
        <f>IF(PaymentSchedule3[[#This Row],[PMT NO]]&lt;&gt;"",ScheduledPayment,"")</f>
        <v>8358.7693880762818</v>
      </c>
      <c r="F8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8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83" s="19">
        <f>IF(PaymentSchedule3[[#This Row],[PMT NO]]&lt;&gt;"",PaymentSchedule3[[#This Row],[TOTAL PAYMENT]]-PaymentSchedule3[[#This Row],[INTEREST]],"")</f>
        <v>2143.0821845172304</v>
      </c>
      <c r="I83" s="19">
        <f>IF(PaymentSchedule3[[#This Row],[PMT NO]]&lt;&gt;"",PaymentSchedule3[[#This Row],[BEGINNING BALANCE]]*(InterestRate/PaymentsPerYear),"")</f>
        <v>6215.6872035590513</v>
      </c>
      <c r="J8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1862563.0788831979</v>
      </c>
      <c r="K83" s="19">
        <f>IF(PaymentSchedule3[[#This Row],[PMT NO]]&lt;&gt;"",SUM(INDEX(PaymentSchedule3[INTEREST],1,1):PaymentSchedule3[[#This Row],[INTEREST]]),"")</f>
        <v>464394.47482468997</v>
      </c>
    </row>
    <row r="84" spans="2:11" x14ac:dyDescent="0.3">
      <c r="B84" s="21">
        <f>IF(LoanIsGood,IF(ROW()-ROW(PaymentSchedule3[[#Headers],[PMT NO]])&gt;ScheduledNumberOfPayments,"",ROW()-ROW(PaymentSchedule3[[#Headers],[PMT NO]])),"")</f>
        <v>73</v>
      </c>
      <c r="C84" s="20">
        <f>IF(PaymentSchedule3[[#This Row],[PMT NO]]&lt;&gt;"",EOMONTH(LoanStartDate,ROW(PaymentSchedule3[[#This Row],[PMT NO]])-ROW(PaymentSchedule3[[#Headers],[PMT NO]])-2)+DAY(LoanStartDate),"")</f>
        <v>45839</v>
      </c>
      <c r="D84" s="19">
        <f>IF(PaymentSchedule3[[#This Row],[PMT NO]]&lt;&gt;"",IF(ROW()-ROW(PaymentSchedule3[[#Headers],[BEGINNING BALANCE]])=1,LoanAmount,INDEX(PaymentSchedule3[ENDING BALANCE],ROW()-ROW(PaymentSchedule3[[#Headers],[BEGINNING BALANCE]])-1)),"")</f>
        <v>1862563.0788831979</v>
      </c>
      <c r="E84" s="19">
        <f>IF(PaymentSchedule3[[#This Row],[PMT NO]]&lt;&gt;"",ScheduledPayment,"")</f>
        <v>8358.7693880762818</v>
      </c>
      <c r="F8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8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84" s="19">
        <f>IF(PaymentSchedule3[[#This Row],[PMT NO]]&lt;&gt;"",PaymentSchedule3[[#This Row],[TOTAL PAYMENT]]-PaymentSchedule3[[#This Row],[INTEREST]],"")</f>
        <v>2150.2257917989555</v>
      </c>
      <c r="I84" s="19">
        <f>IF(PaymentSchedule3[[#This Row],[PMT NO]]&lt;&gt;"",PaymentSchedule3[[#This Row],[BEGINNING BALANCE]]*(InterestRate/PaymentsPerYear),"")</f>
        <v>6208.5435962773263</v>
      </c>
      <c r="J8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1860412.853091399</v>
      </c>
      <c r="K84" s="19">
        <f>IF(PaymentSchedule3[[#This Row],[PMT NO]]&lt;&gt;"",SUM(INDEX(PaymentSchedule3[INTEREST],1,1):PaymentSchedule3[[#This Row],[INTEREST]]),"")</f>
        <v>470603.01842096727</v>
      </c>
    </row>
    <row r="85" spans="2:11" x14ac:dyDescent="0.3">
      <c r="B85" s="21">
        <f>IF(LoanIsGood,IF(ROW()-ROW(PaymentSchedule3[[#Headers],[PMT NO]])&gt;ScheduledNumberOfPayments,"",ROW()-ROW(PaymentSchedule3[[#Headers],[PMT NO]])),"")</f>
        <v>74</v>
      </c>
      <c r="C85" s="20">
        <f>IF(PaymentSchedule3[[#This Row],[PMT NO]]&lt;&gt;"",EOMONTH(LoanStartDate,ROW(PaymentSchedule3[[#This Row],[PMT NO]])-ROW(PaymentSchedule3[[#Headers],[PMT NO]])-2)+DAY(LoanStartDate),"")</f>
        <v>45870</v>
      </c>
      <c r="D85" s="19">
        <f>IF(PaymentSchedule3[[#This Row],[PMT NO]]&lt;&gt;"",IF(ROW()-ROW(PaymentSchedule3[[#Headers],[BEGINNING BALANCE]])=1,LoanAmount,INDEX(PaymentSchedule3[ENDING BALANCE],ROW()-ROW(PaymentSchedule3[[#Headers],[BEGINNING BALANCE]])-1)),"")</f>
        <v>1860412.853091399</v>
      </c>
      <c r="E85" s="19">
        <f>IF(PaymentSchedule3[[#This Row],[PMT NO]]&lt;&gt;"",ScheduledPayment,"")</f>
        <v>8358.7693880762818</v>
      </c>
      <c r="F8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8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85" s="19">
        <f>IF(PaymentSchedule3[[#This Row],[PMT NO]]&lt;&gt;"",PaymentSchedule3[[#This Row],[TOTAL PAYMENT]]-PaymentSchedule3[[#This Row],[INTEREST]],"")</f>
        <v>2157.3932111049517</v>
      </c>
      <c r="I85" s="19">
        <f>IF(PaymentSchedule3[[#This Row],[PMT NO]]&lt;&gt;"",PaymentSchedule3[[#This Row],[BEGINNING BALANCE]]*(InterestRate/PaymentsPerYear),"")</f>
        <v>6201.3761769713301</v>
      </c>
      <c r="J8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1858255.459880294</v>
      </c>
      <c r="K85" s="19">
        <f>IF(PaymentSchedule3[[#This Row],[PMT NO]]&lt;&gt;"",SUM(INDEX(PaymentSchedule3[INTEREST],1,1):PaymentSchedule3[[#This Row],[INTEREST]]),"")</f>
        <v>476804.39459793858</v>
      </c>
    </row>
    <row r="86" spans="2:11" x14ac:dyDescent="0.3">
      <c r="B86" s="21">
        <f>IF(LoanIsGood,IF(ROW()-ROW(PaymentSchedule3[[#Headers],[PMT NO]])&gt;ScheduledNumberOfPayments,"",ROW()-ROW(PaymentSchedule3[[#Headers],[PMT NO]])),"")</f>
        <v>75</v>
      </c>
      <c r="C86" s="20">
        <f>IF(PaymentSchedule3[[#This Row],[PMT NO]]&lt;&gt;"",EOMONTH(LoanStartDate,ROW(PaymentSchedule3[[#This Row],[PMT NO]])-ROW(PaymentSchedule3[[#Headers],[PMT NO]])-2)+DAY(LoanStartDate),"")</f>
        <v>45901</v>
      </c>
      <c r="D86" s="19">
        <f>IF(PaymentSchedule3[[#This Row],[PMT NO]]&lt;&gt;"",IF(ROW()-ROW(PaymentSchedule3[[#Headers],[BEGINNING BALANCE]])=1,LoanAmount,INDEX(PaymentSchedule3[ENDING BALANCE],ROW()-ROW(PaymentSchedule3[[#Headers],[BEGINNING BALANCE]])-1)),"")</f>
        <v>1858255.459880294</v>
      </c>
      <c r="E86" s="19">
        <f>IF(PaymentSchedule3[[#This Row],[PMT NO]]&lt;&gt;"",ScheduledPayment,"")</f>
        <v>8358.7693880762818</v>
      </c>
      <c r="F8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8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86" s="19">
        <f>IF(PaymentSchedule3[[#This Row],[PMT NO]]&lt;&gt;"",PaymentSchedule3[[#This Row],[TOTAL PAYMENT]]-PaymentSchedule3[[#This Row],[INTEREST]],"")</f>
        <v>2164.5845218086342</v>
      </c>
      <c r="I86" s="19">
        <f>IF(PaymentSchedule3[[#This Row],[PMT NO]]&lt;&gt;"",PaymentSchedule3[[#This Row],[BEGINNING BALANCE]]*(InterestRate/PaymentsPerYear),"")</f>
        <v>6194.1848662676475</v>
      </c>
      <c r="J8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1856090.8753584854</v>
      </c>
      <c r="K86" s="19">
        <f>IF(PaymentSchedule3[[#This Row],[PMT NO]]&lt;&gt;"",SUM(INDEX(PaymentSchedule3[INTEREST],1,1):PaymentSchedule3[[#This Row],[INTEREST]]),"")</f>
        <v>482998.57946420624</v>
      </c>
    </row>
    <row r="87" spans="2:11" x14ac:dyDescent="0.3">
      <c r="B87" s="21">
        <f>IF(LoanIsGood,IF(ROW()-ROW(PaymentSchedule3[[#Headers],[PMT NO]])&gt;ScheduledNumberOfPayments,"",ROW()-ROW(PaymentSchedule3[[#Headers],[PMT NO]])),"")</f>
        <v>76</v>
      </c>
      <c r="C87" s="20">
        <f>IF(PaymentSchedule3[[#This Row],[PMT NO]]&lt;&gt;"",EOMONTH(LoanStartDate,ROW(PaymentSchedule3[[#This Row],[PMT NO]])-ROW(PaymentSchedule3[[#Headers],[PMT NO]])-2)+DAY(LoanStartDate),"")</f>
        <v>45931</v>
      </c>
      <c r="D87" s="19">
        <f>IF(PaymentSchedule3[[#This Row],[PMT NO]]&lt;&gt;"",IF(ROW()-ROW(PaymentSchedule3[[#Headers],[BEGINNING BALANCE]])=1,LoanAmount,INDEX(PaymentSchedule3[ENDING BALANCE],ROW()-ROW(PaymentSchedule3[[#Headers],[BEGINNING BALANCE]])-1)),"")</f>
        <v>1856090.8753584854</v>
      </c>
      <c r="E87" s="19">
        <f>IF(PaymentSchedule3[[#This Row],[PMT NO]]&lt;&gt;"",ScheduledPayment,"")</f>
        <v>8358.7693880762818</v>
      </c>
      <c r="F8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8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87" s="19">
        <f>IF(PaymentSchedule3[[#This Row],[PMT NO]]&lt;&gt;"",PaymentSchedule3[[#This Row],[TOTAL PAYMENT]]-PaymentSchedule3[[#This Row],[INTEREST]],"")</f>
        <v>2171.7998035479968</v>
      </c>
      <c r="I87" s="19">
        <f>IF(PaymentSchedule3[[#This Row],[PMT NO]]&lt;&gt;"",PaymentSchedule3[[#This Row],[BEGINNING BALANCE]]*(InterestRate/PaymentsPerYear),"")</f>
        <v>6186.9695845282849</v>
      </c>
      <c r="J8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1853919.0755549374</v>
      </c>
      <c r="K87" s="19">
        <f>IF(PaymentSchedule3[[#This Row],[PMT NO]]&lt;&gt;"",SUM(INDEX(PaymentSchedule3[INTEREST],1,1):PaymentSchedule3[[#This Row],[INTEREST]]),"")</f>
        <v>489185.54904873454</v>
      </c>
    </row>
    <row r="88" spans="2:11" x14ac:dyDescent="0.3">
      <c r="B88" s="21">
        <f>IF(LoanIsGood,IF(ROW()-ROW(PaymentSchedule3[[#Headers],[PMT NO]])&gt;ScheduledNumberOfPayments,"",ROW()-ROW(PaymentSchedule3[[#Headers],[PMT NO]])),"")</f>
        <v>77</v>
      </c>
      <c r="C88" s="20">
        <f>IF(PaymentSchedule3[[#This Row],[PMT NO]]&lt;&gt;"",EOMONTH(LoanStartDate,ROW(PaymentSchedule3[[#This Row],[PMT NO]])-ROW(PaymentSchedule3[[#Headers],[PMT NO]])-2)+DAY(LoanStartDate),"")</f>
        <v>45962</v>
      </c>
      <c r="D88" s="19">
        <f>IF(PaymentSchedule3[[#This Row],[PMT NO]]&lt;&gt;"",IF(ROW()-ROW(PaymentSchedule3[[#Headers],[BEGINNING BALANCE]])=1,LoanAmount,INDEX(PaymentSchedule3[ENDING BALANCE],ROW()-ROW(PaymentSchedule3[[#Headers],[BEGINNING BALANCE]])-1)),"")</f>
        <v>1853919.0755549374</v>
      </c>
      <c r="E88" s="19">
        <f>IF(PaymentSchedule3[[#This Row],[PMT NO]]&lt;&gt;"",ScheduledPayment,"")</f>
        <v>8358.7693880762818</v>
      </c>
      <c r="F8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8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88" s="19">
        <f>IF(PaymentSchedule3[[#This Row],[PMT NO]]&lt;&gt;"",PaymentSchedule3[[#This Row],[TOTAL PAYMENT]]-PaymentSchedule3[[#This Row],[INTEREST]],"")</f>
        <v>2179.03913622649</v>
      </c>
      <c r="I88" s="19">
        <f>IF(PaymentSchedule3[[#This Row],[PMT NO]]&lt;&gt;"",PaymentSchedule3[[#This Row],[BEGINNING BALANCE]]*(InterestRate/PaymentsPerYear),"")</f>
        <v>6179.7302518497918</v>
      </c>
      <c r="J8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1851740.0364187108</v>
      </c>
      <c r="K88" s="19">
        <f>IF(PaymentSchedule3[[#This Row],[PMT NO]]&lt;&gt;"",SUM(INDEX(PaymentSchedule3[INTEREST],1,1):PaymentSchedule3[[#This Row],[INTEREST]]),"")</f>
        <v>495365.27930058434</v>
      </c>
    </row>
    <row r="89" spans="2:11" x14ac:dyDescent="0.3">
      <c r="B89" s="21">
        <f>IF(LoanIsGood,IF(ROW()-ROW(PaymentSchedule3[[#Headers],[PMT NO]])&gt;ScheduledNumberOfPayments,"",ROW()-ROW(PaymentSchedule3[[#Headers],[PMT NO]])),"")</f>
        <v>78</v>
      </c>
      <c r="C89" s="20">
        <f>IF(PaymentSchedule3[[#This Row],[PMT NO]]&lt;&gt;"",EOMONTH(LoanStartDate,ROW(PaymentSchedule3[[#This Row],[PMT NO]])-ROW(PaymentSchedule3[[#Headers],[PMT NO]])-2)+DAY(LoanStartDate),"")</f>
        <v>45992</v>
      </c>
      <c r="D89" s="19">
        <f>IF(PaymentSchedule3[[#This Row],[PMT NO]]&lt;&gt;"",IF(ROW()-ROW(PaymentSchedule3[[#Headers],[BEGINNING BALANCE]])=1,LoanAmount,INDEX(PaymentSchedule3[ENDING BALANCE],ROW()-ROW(PaymentSchedule3[[#Headers],[BEGINNING BALANCE]])-1)),"")</f>
        <v>1851740.0364187108</v>
      </c>
      <c r="E89" s="19">
        <f>IF(PaymentSchedule3[[#This Row],[PMT NO]]&lt;&gt;"",ScheduledPayment,"")</f>
        <v>8358.7693880762818</v>
      </c>
      <c r="F8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8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89" s="19">
        <f>IF(PaymentSchedule3[[#This Row],[PMT NO]]&lt;&gt;"",PaymentSchedule3[[#This Row],[TOTAL PAYMENT]]-PaymentSchedule3[[#This Row],[INTEREST]],"")</f>
        <v>2186.3026000139116</v>
      </c>
      <c r="I89" s="19">
        <f>IF(PaymentSchedule3[[#This Row],[PMT NO]]&lt;&gt;"",PaymentSchedule3[[#This Row],[BEGINNING BALANCE]]*(InterestRate/PaymentsPerYear),"")</f>
        <v>6172.4667880623701</v>
      </c>
      <c r="J8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1849553.7338186968</v>
      </c>
      <c r="K89" s="19">
        <f>IF(PaymentSchedule3[[#This Row],[PMT NO]]&lt;&gt;"",SUM(INDEX(PaymentSchedule3[INTEREST],1,1):PaymentSchedule3[[#This Row],[INTEREST]]),"")</f>
        <v>501537.7460886467</v>
      </c>
    </row>
    <row r="90" spans="2:11" x14ac:dyDescent="0.3">
      <c r="B90" s="21">
        <f>IF(LoanIsGood,IF(ROW()-ROW(PaymentSchedule3[[#Headers],[PMT NO]])&gt;ScheduledNumberOfPayments,"",ROW()-ROW(PaymentSchedule3[[#Headers],[PMT NO]])),"")</f>
        <v>79</v>
      </c>
      <c r="C90" s="20">
        <f>IF(PaymentSchedule3[[#This Row],[PMT NO]]&lt;&gt;"",EOMONTH(LoanStartDate,ROW(PaymentSchedule3[[#This Row],[PMT NO]])-ROW(PaymentSchedule3[[#Headers],[PMT NO]])-2)+DAY(LoanStartDate),"")</f>
        <v>46023</v>
      </c>
      <c r="D90" s="19">
        <f>IF(PaymentSchedule3[[#This Row],[PMT NO]]&lt;&gt;"",IF(ROW()-ROW(PaymentSchedule3[[#Headers],[BEGINNING BALANCE]])=1,LoanAmount,INDEX(PaymentSchedule3[ENDING BALANCE],ROW()-ROW(PaymentSchedule3[[#Headers],[BEGINNING BALANCE]])-1)),"")</f>
        <v>1849553.7338186968</v>
      </c>
      <c r="E90" s="19">
        <f>IF(PaymentSchedule3[[#This Row],[PMT NO]]&lt;&gt;"",ScheduledPayment,"")</f>
        <v>8358.7693880762818</v>
      </c>
      <c r="F9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9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90" s="19">
        <f>IF(PaymentSchedule3[[#This Row],[PMT NO]]&lt;&gt;"",PaymentSchedule3[[#This Row],[TOTAL PAYMENT]]-PaymentSchedule3[[#This Row],[INTEREST]],"")</f>
        <v>2193.5902753472919</v>
      </c>
      <c r="I90" s="19">
        <f>IF(PaymentSchedule3[[#This Row],[PMT NO]]&lt;&gt;"",PaymentSchedule3[[#This Row],[BEGINNING BALANCE]]*(InterestRate/PaymentsPerYear),"")</f>
        <v>6165.1791127289898</v>
      </c>
      <c r="J9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1847360.1435433496</v>
      </c>
      <c r="K90" s="19">
        <f>IF(PaymentSchedule3[[#This Row],[PMT NO]]&lt;&gt;"",SUM(INDEX(PaymentSchedule3[INTEREST],1,1):PaymentSchedule3[[#This Row],[INTEREST]]),"")</f>
        <v>507702.92520137568</v>
      </c>
    </row>
    <row r="91" spans="2:11" x14ac:dyDescent="0.3">
      <c r="B91" s="21">
        <f>IF(LoanIsGood,IF(ROW()-ROW(PaymentSchedule3[[#Headers],[PMT NO]])&gt;ScheduledNumberOfPayments,"",ROW()-ROW(PaymentSchedule3[[#Headers],[PMT NO]])),"")</f>
        <v>80</v>
      </c>
      <c r="C91" s="20">
        <f>IF(PaymentSchedule3[[#This Row],[PMT NO]]&lt;&gt;"",EOMONTH(LoanStartDate,ROW(PaymentSchedule3[[#This Row],[PMT NO]])-ROW(PaymentSchedule3[[#Headers],[PMT NO]])-2)+DAY(LoanStartDate),"")</f>
        <v>46054</v>
      </c>
      <c r="D91" s="19">
        <f>IF(PaymentSchedule3[[#This Row],[PMT NO]]&lt;&gt;"",IF(ROW()-ROW(PaymentSchedule3[[#Headers],[BEGINNING BALANCE]])=1,LoanAmount,INDEX(PaymentSchedule3[ENDING BALANCE],ROW()-ROW(PaymentSchedule3[[#Headers],[BEGINNING BALANCE]])-1)),"")</f>
        <v>1847360.1435433496</v>
      </c>
      <c r="E91" s="19">
        <f>IF(PaymentSchedule3[[#This Row],[PMT NO]]&lt;&gt;"",ScheduledPayment,"")</f>
        <v>8358.7693880762818</v>
      </c>
      <c r="F9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9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91" s="19">
        <f>IF(PaymentSchedule3[[#This Row],[PMT NO]]&lt;&gt;"",PaymentSchedule3[[#This Row],[TOTAL PAYMENT]]-PaymentSchedule3[[#This Row],[INTEREST]],"")</f>
        <v>2200.9022429317829</v>
      </c>
      <c r="I91" s="19">
        <f>IF(PaymentSchedule3[[#This Row],[PMT NO]]&lt;&gt;"",PaymentSchedule3[[#This Row],[BEGINNING BALANCE]]*(InterestRate/PaymentsPerYear),"")</f>
        <v>6157.8671451444989</v>
      </c>
      <c r="J9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1845159.2413004178</v>
      </c>
      <c r="K91" s="19">
        <f>IF(PaymentSchedule3[[#This Row],[PMT NO]]&lt;&gt;"",SUM(INDEX(PaymentSchedule3[INTEREST],1,1):PaymentSchedule3[[#This Row],[INTEREST]]),"")</f>
        <v>513860.79234652017</v>
      </c>
    </row>
    <row r="92" spans="2:11" x14ac:dyDescent="0.3">
      <c r="B92" s="21">
        <f>IF(LoanIsGood,IF(ROW()-ROW(PaymentSchedule3[[#Headers],[PMT NO]])&gt;ScheduledNumberOfPayments,"",ROW()-ROW(PaymentSchedule3[[#Headers],[PMT NO]])),"")</f>
        <v>81</v>
      </c>
      <c r="C92" s="20">
        <f>IF(PaymentSchedule3[[#This Row],[PMT NO]]&lt;&gt;"",EOMONTH(LoanStartDate,ROW(PaymentSchedule3[[#This Row],[PMT NO]])-ROW(PaymentSchedule3[[#Headers],[PMT NO]])-2)+DAY(LoanStartDate),"")</f>
        <v>46082</v>
      </c>
      <c r="D92" s="19">
        <f>IF(PaymentSchedule3[[#This Row],[PMT NO]]&lt;&gt;"",IF(ROW()-ROW(PaymentSchedule3[[#Headers],[BEGINNING BALANCE]])=1,LoanAmount,INDEX(PaymentSchedule3[ENDING BALANCE],ROW()-ROW(PaymentSchedule3[[#Headers],[BEGINNING BALANCE]])-1)),"")</f>
        <v>1845159.2413004178</v>
      </c>
      <c r="E92" s="19">
        <f>IF(PaymentSchedule3[[#This Row],[PMT NO]]&lt;&gt;"",ScheduledPayment,"")</f>
        <v>8358.7693880762818</v>
      </c>
      <c r="F9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9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92" s="19">
        <f>IF(PaymentSchedule3[[#This Row],[PMT NO]]&lt;&gt;"",PaymentSchedule3[[#This Row],[TOTAL PAYMENT]]-PaymentSchedule3[[#This Row],[INTEREST]],"")</f>
        <v>2208.238583741555</v>
      </c>
      <c r="I92" s="19">
        <f>IF(PaymentSchedule3[[#This Row],[PMT NO]]&lt;&gt;"",PaymentSchedule3[[#This Row],[BEGINNING BALANCE]]*(InterestRate/PaymentsPerYear),"")</f>
        <v>6150.5308043347268</v>
      </c>
      <c r="J9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1842951.0027166763</v>
      </c>
      <c r="K92" s="19">
        <f>IF(PaymentSchedule3[[#This Row],[PMT NO]]&lt;&gt;"",SUM(INDEX(PaymentSchedule3[INTEREST],1,1):PaymentSchedule3[[#This Row],[INTEREST]]),"")</f>
        <v>520011.32315085491</v>
      </c>
    </row>
    <row r="93" spans="2:11" x14ac:dyDescent="0.3">
      <c r="B93" s="21">
        <f>IF(LoanIsGood,IF(ROW()-ROW(PaymentSchedule3[[#Headers],[PMT NO]])&gt;ScheduledNumberOfPayments,"",ROW()-ROW(PaymentSchedule3[[#Headers],[PMT NO]])),"")</f>
        <v>82</v>
      </c>
      <c r="C93" s="20">
        <f>IF(PaymentSchedule3[[#This Row],[PMT NO]]&lt;&gt;"",EOMONTH(LoanStartDate,ROW(PaymentSchedule3[[#This Row],[PMT NO]])-ROW(PaymentSchedule3[[#Headers],[PMT NO]])-2)+DAY(LoanStartDate),"")</f>
        <v>46113</v>
      </c>
      <c r="D93" s="19">
        <f>IF(PaymentSchedule3[[#This Row],[PMT NO]]&lt;&gt;"",IF(ROW()-ROW(PaymentSchedule3[[#Headers],[BEGINNING BALANCE]])=1,LoanAmount,INDEX(PaymentSchedule3[ENDING BALANCE],ROW()-ROW(PaymentSchedule3[[#Headers],[BEGINNING BALANCE]])-1)),"")</f>
        <v>1842951.0027166763</v>
      </c>
      <c r="E93" s="19">
        <f>IF(PaymentSchedule3[[#This Row],[PMT NO]]&lt;&gt;"",ScheduledPayment,"")</f>
        <v>8358.7693880762818</v>
      </c>
      <c r="F9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9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93" s="19">
        <f>IF(PaymentSchedule3[[#This Row],[PMT NO]]&lt;&gt;"",PaymentSchedule3[[#This Row],[TOTAL PAYMENT]]-PaymentSchedule3[[#This Row],[INTEREST]],"")</f>
        <v>2215.599379020694</v>
      </c>
      <c r="I93" s="19">
        <f>IF(PaymentSchedule3[[#This Row],[PMT NO]]&lt;&gt;"",PaymentSchedule3[[#This Row],[BEGINNING BALANCE]]*(InterestRate/PaymentsPerYear),"")</f>
        <v>6143.1700090555878</v>
      </c>
      <c r="J9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1840735.4033376556</v>
      </c>
      <c r="K93" s="19">
        <f>IF(PaymentSchedule3[[#This Row],[PMT NO]]&lt;&gt;"",SUM(INDEX(PaymentSchedule3[INTEREST],1,1):PaymentSchedule3[[#This Row],[INTEREST]]),"")</f>
        <v>526154.49315991055</v>
      </c>
    </row>
    <row r="94" spans="2:11" x14ac:dyDescent="0.3">
      <c r="B94" s="21">
        <f>IF(LoanIsGood,IF(ROW()-ROW(PaymentSchedule3[[#Headers],[PMT NO]])&gt;ScheduledNumberOfPayments,"",ROW()-ROW(PaymentSchedule3[[#Headers],[PMT NO]])),"")</f>
        <v>83</v>
      </c>
      <c r="C94" s="20">
        <f>IF(PaymentSchedule3[[#This Row],[PMT NO]]&lt;&gt;"",EOMONTH(LoanStartDate,ROW(PaymentSchedule3[[#This Row],[PMT NO]])-ROW(PaymentSchedule3[[#Headers],[PMT NO]])-2)+DAY(LoanStartDate),"")</f>
        <v>46143</v>
      </c>
      <c r="D94" s="19">
        <f>IF(PaymentSchedule3[[#This Row],[PMT NO]]&lt;&gt;"",IF(ROW()-ROW(PaymentSchedule3[[#Headers],[BEGINNING BALANCE]])=1,LoanAmount,INDEX(PaymentSchedule3[ENDING BALANCE],ROW()-ROW(PaymentSchedule3[[#Headers],[BEGINNING BALANCE]])-1)),"")</f>
        <v>1840735.4033376556</v>
      </c>
      <c r="E94" s="19">
        <f>IF(PaymentSchedule3[[#This Row],[PMT NO]]&lt;&gt;"",ScheduledPayment,"")</f>
        <v>8358.7693880762818</v>
      </c>
      <c r="F9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9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94" s="19">
        <f>IF(PaymentSchedule3[[#This Row],[PMT NO]]&lt;&gt;"",PaymentSchedule3[[#This Row],[TOTAL PAYMENT]]-PaymentSchedule3[[#This Row],[INTEREST]],"")</f>
        <v>2222.9847102840959</v>
      </c>
      <c r="I94" s="19">
        <f>IF(PaymentSchedule3[[#This Row],[PMT NO]]&lt;&gt;"",PaymentSchedule3[[#This Row],[BEGINNING BALANCE]]*(InterestRate/PaymentsPerYear),"")</f>
        <v>6135.7846777921859</v>
      </c>
      <c r="J9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1838512.4186273715</v>
      </c>
      <c r="K94" s="19">
        <f>IF(PaymentSchedule3[[#This Row],[PMT NO]]&lt;&gt;"",SUM(INDEX(PaymentSchedule3[INTEREST],1,1):PaymentSchedule3[[#This Row],[INTEREST]]),"")</f>
        <v>532290.27783770277</v>
      </c>
    </row>
    <row r="95" spans="2:11" x14ac:dyDescent="0.3">
      <c r="B95" s="21">
        <f>IF(LoanIsGood,IF(ROW()-ROW(PaymentSchedule3[[#Headers],[PMT NO]])&gt;ScheduledNumberOfPayments,"",ROW()-ROW(PaymentSchedule3[[#Headers],[PMT NO]])),"")</f>
        <v>84</v>
      </c>
      <c r="C95" s="20">
        <f>IF(PaymentSchedule3[[#This Row],[PMT NO]]&lt;&gt;"",EOMONTH(LoanStartDate,ROW(PaymentSchedule3[[#This Row],[PMT NO]])-ROW(PaymentSchedule3[[#Headers],[PMT NO]])-2)+DAY(LoanStartDate),"")</f>
        <v>46174</v>
      </c>
      <c r="D95" s="19">
        <f>IF(PaymentSchedule3[[#This Row],[PMT NO]]&lt;&gt;"",IF(ROW()-ROW(PaymentSchedule3[[#Headers],[BEGINNING BALANCE]])=1,LoanAmount,INDEX(PaymentSchedule3[ENDING BALANCE],ROW()-ROW(PaymentSchedule3[[#Headers],[BEGINNING BALANCE]])-1)),"")</f>
        <v>1838512.4186273715</v>
      </c>
      <c r="E95" s="19">
        <f>IF(PaymentSchedule3[[#This Row],[PMT NO]]&lt;&gt;"",ScheduledPayment,"")</f>
        <v>8358.7693880762818</v>
      </c>
      <c r="F9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9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95" s="19">
        <f>IF(PaymentSchedule3[[#This Row],[PMT NO]]&lt;&gt;"",PaymentSchedule3[[#This Row],[TOTAL PAYMENT]]-PaymentSchedule3[[#This Row],[INTEREST]],"")</f>
        <v>2230.3946593183764</v>
      </c>
      <c r="I95" s="19">
        <f>IF(PaymentSchedule3[[#This Row],[PMT NO]]&lt;&gt;"",PaymentSchedule3[[#This Row],[BEGINNING BALANCE]]*(InterestRate/PaymentsPerYear),"")</f>
        <v>6128.3747287579054</v>
      </c>
      <c r="J9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1836282.0239680533</v>
      </c>
      <c r="K95" s="19">
        <f>IF(PaymentSchedule3[[#This Row],[PMT NO]]&lt;&gt;"",SUM(INDEX(PaymentSchedule3[INTEREST],1,1):PaymentSchedule3[[#This Row],[INTEREST]]),"")</f>
        <v>538418.65256646066</v>
      </c>
    </row>
    <row r="96" spans="2:11" x14ac:dyDescent="0.3">
      <c r="B96" s="21">
        <f>IF(LoanIsGood,IF(ROW()-ROW(PaymentSchedule3[[#Headers],[PMT NO]])&gt;ScheduledNumberOfPayments,"",ROW()-ROW(PaymentSchedule3[[#Headers],[PMT NO]])),"")</f>
        <v>85</v>
      </c>
      <c r="C96" s="20">
        <f>IF(PaymentSchedule3[[#This Row],[PMT NO]]&lt;&gt;"",EOMONTH(LoanStartDate,ROW(PaymentSchedule3[[#This Row],[PMT NO]])-ROW(PaymentSchedule3[[#Headers],[PMT NO]])-2)+DAY(LoanStartDate),"")</f>
        <v>46204</v>
      </c>
      <c r="D96" s="19">
        <f>IF(PaymentSchedule3[[#This Row],[PMT NO]]&lt;&gt;"",IF(ROW()-ROW(PaymentSchedule3[[#Headers],[BEGINNING BALANCE]])=1,LoanAmount,INDEX(PaymentSchedule3[ENDING BALANCE],ROW()-ROW(PaymentSchedule3[[#Headers],[BEGINNING BALANCE]])-1)),"")</f>
        <v>1836282.0239680533</v>
      </c>
      <c r="E96" s="19">
        <f>IF(PaymentSchedule3[[#This Row],[PMT NO]]&lt;&gt;"",ScheduledPayment,"")</f>
        <v>8358.7693880762818</v>
      </c>
      <c r="F9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9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96" s="19">
        <f>IF(PaymentSchedule3[[#This Row],[PMT NO]]&lt;&gt;"",PaymentSchedule3[[#This Row],[TOTAL PAYMENT]]-PaymentSchedule3[[#This Row],[INTEREST]],"")</f>
        <v>2237.8293081827705</v>
      </c>
      <c r="I96" s="19">
        <f>IF(PaymentSchedule3[[#This Row],[PMT NO]]&lt;&gt;"",PaymentSchedule3[[#This Row],[BEGINNING BALANCE]]*(InterestRate/PaymentsPerYear),"")</f>
        <v>6120.9400798935112</v>
      </c>
      <c r="J9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1834044.1946598706</v>
      </c>
      <c r="K96" s="19">
        <f>IF(PaymentSchedule3[[#This Row],[PMT NO]]&lt;&gt;"",SUM(INDEX(PaymentSchedule3[INTEREST],1,1):PaymentSchedule3[[#This Row],[INTEREST]]),"")</f>
        <v>544539.59264635423</v>
      </c>
    </row>
    <row r="97" spans="2:11" x14ac:dyDescent="0.3">
      <c r="B97" s="21">
        <f>IF(LoanIsGood,IF(ROW()-ROW(PaymentSchedule3[[#Headers],[PMT NO]])&gt;ScheduledNumberOfPayments,"",ROW()-ROW(PaymentSchedule3[[#Headers],[PMT NO]])),"")</f>
        <v>86</v>
      </c>
      <c r="C97" s="20">
        <f>IF(PaymentSchedule3[[#This Row],[PMT NO]]&lt;&gt;"",EOMONTH(LoanStartDate,ROW(PaymentSchedule3[[#This Row],[PMT NO]])-ROW(PaymentSchedule3[[#Headers],[PMT NO]])-2)+DAY(LoanStartDate),"")</f>
        <v>46235</v>
      </c>
      <c r="D97" s="19">
        <f>IF(PaymentSchedule3[[#This Row],[PMT NO]]&lt;&gt;"",IF(ROW()-ROW(PaymentSchedule3[[#Headers],[BEGINNING BALANCE]])=1,LoanAmount,INDEX(PaymentSchedule3[ENDING BALANCE],ROW()-ROW(PaymentSchedule3[[#Headers],[BEGINNING BALANCE]])-1)),"")</f>
        <v>1834044.1946598706</v>
      </c>
      <c r="E97" s="19">
        <f>IF(PaymentSchedule3[[#This Row],[PMT NO]]&lt;&gt;"",ScheduledPayment,"")</f>
        <v>8358.7693880762818</v>
      </c>
      <c r="F9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9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97" s="19">
        <f>IF(PaymentSchedule3[[#This Row],[PMT NO]]&lt;&gt;"",PaymentSchedule3[[#This Row],[TOTAL PAYMENT]]-PaymentSchedule3[[#This Row],[INTEREST]],"")</f>
        <v>2245.2887392100465</v>
      </c>
      <c r="I97" s="19">
        <f>IF(PaymentSchedule3[[#This Row],[PMT NO]]&lt;&gt;"",PaymentSchedule3[[#This Row],[BEGINNING BALANCE]]*(InterestRate/PaymentsPerYear),"")</f>
        <v>6113.4806488662352</v>
      </c>
      <c r="J9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1831798.9059206606</v>
      </c>
      <c r="K97" s="19">
        <f>IF(PaymentSchedule3[[#This Row],[PMT NO]]&lt;&gt;"",SUM(INDEX(PaymentSchedule3[INTEREST],1,1):PaymentSchedule3[[#This Row],[INTEREST]]),"")</f>
        <v>550653.0732952205</v>
      </c>
    </row>
    <row r="98" spans="2:11" x14ac:dyDescent="0.3">
      <c r="B98" s="21">
        <f>IF(LoanIsGood,IF(ROW()-ROW(PaymentSchedule3[[#Headers],[PMT NO]])&gt;ScheduledNumberOfPayments,"",ROW()-ROW(PaymentSchedule3[[#Headers],[PMT NO]])),"")</f>
        <v>87</v>
      </c>
      <c r="C98" s="20">
        <f>IF(PaymentSchedule3[[#This Row],[PMT NO]]&lt;&gt;"",EOMONTH(LoanStartDate,ROW(PaymentSchedule3[[#This Row],[PMT NO]])-ROW(PaymentSchedule3[[#Headers],[PMT NO]])-2)+DAY(LoanStartDate),"")</f>
        <v>46266</v>
      </c>
      <c r="D98" s="19">
        <f>IF(PaymentSchedule3[[#This Row],[PMT NO]]&lt;&gt;"",IF(ROW()-ROW(PaymentSchedule3[[#Headers],[BEGINNING BALANCE]])=1,LoanAmount,INDEX(PaymentSchedule3[ENDING BALANCE],ROW()-ROW(PaymentSchedule3[[#Headers],[BEGINNING BALANCE]])-1)),"")</f>
        <v>1831798.9059206606</v>
      </c>
      <c r="E98" s="19">
        <f>IF(PaymentSchedule3[[#This Row],[PMT NO]]&lt;&gt;"",ScheduledPayment,"")</f>
        <v>8358.7693880762818</v>
      </c>
      <c r="F9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9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98" s="19">
        <f>IF(PaymentSchedule3[[#This Row],[PMT NO]]&lt;&gt;"",PaymentSchedule3[[#This Row],[TOTAL PAYMENT]]-PaymentSchedule3[[#This Row],[INTEREST]],"")</f>
        <v>2252.7730350074125</v>
      </c>
      <c r="I98" s="19">
        <f>IF(PaymentSchedule3[[#This Row],[PMT NO]]&lt;&gt;"",PaymentSchedule3[[#This Row],[BEGINNING BALANCE]]*(InterestRate/PaymentsPerYear),"")</f>
        <v>6105.9963530688692</v>
      </c>
      <c r="J9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1829546.1328856531</v>
      </c>
      <c r="K98" s="19">
        <f>IF(PaymentSchedule3[[#This Row],[PMT NO]]&lt;&gt;"",SUM(INDEX(PaymentSchedule3[INTEREST],1,1):PaymentSchedule3[[#This Row],[INTEREST]]),"")</f>
        <v>556759.06964828935</v>
      </c>
    </row>
    <row r="99" spans="2:11" x14ac:dyDescent="0.3">
      <c r="B99" s="21">
        <f>IF(LoanIsGood,IF(ROW()-ROW(PaymentSchedule3[[#Headers],[PMT NO]])&gt;ScheduledNumberOfPayments,"",ROW()-ROW(PaymentSchedule3[[#Headers],[PMT NO]])),"")</f>
        <v>88</v>
      </c>
      <c r="C99" s="20">
        <f>IF(PaymentSchedule3[[#This Row],[PMT NO]]&lt;&gt;"",EOMONTH(LoanStartDate,ROW(PaymentSchedule3[[#This Row],[PMT NO]])-ROW(PaymentSchedule3[[#Headers],[PMT NO]])-2)+DAY(LoanStartDate),"")</f>
        <v>46296</v>
      </c>
      <c r="D99" s="19">
        <f>IF(PaymentSchedule3[[#This Row],[PMT NO]]&lt;&gt;"",IF(ROW()-ROW(PaymentSchedule3[[#Headers],[BEGINNING BALANCE]])=1,LoanAmount,INDEX(PaymentSchedule3[ENDING BALANCE],ROW()-ROW(PaymentSchedule3[[#Headers],[BEGINNING BALANCE]])-1)),"")</f>
        <v>1829546.1328856531</v>
      </c>
      <c r="E99" s="19">
        <f>IF(PaymentSchedule3[[#This Row],[PMT NO]]&lt;&gt;"",ScheduledPayment,"")</f>
        <v>8358.7693880762818</v>
      </c>
      <c r="F9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9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99" s="19">
        <f>IF(PaymentSchedule3[[#This Row],[PMT NO]]&lt;&gt;"",PaymentSchedule3[[#This Row],[TOTAL PAYMENT]]-PaymentSchedule3[[#This Row],[INTEREST]],"")</f>
        <v>2260.2822784574382</v>
      </c>
      <c r="I99" s="19">
        <f>IF(PaymentSchedule3[[#This Row],[PMT NO]]&lt;&gt;"",PaymentSchedule3[[#This Row],[BEGINNING BALANCE]]*(InterestRate/PaymentsPerYear),"")</f>
        <v>6098.4871096188435</v>
      </c>
      <c r="J9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1827285.8506071956</v>
      </c>
      <c r="K99" s="19">
        <f>IF(PaymentSchedule3[[#This Row],[PMT NO]]&lt;&gt;"",SUM(INDEX(PaymentSchedule3[INTEREST],1,1):PaymentSchedule3[[#This Row],[INTEREST]]),"")</f>
        <v>562857.5567579082</v>
      </c>
    </row>
    <row r="100" spans="2:11" x14ac:dyDescent="0.3">
      <c r="B100" s="21">
        <f>IF(LoanIsGood,IF(ROW()-ROW(PaymentSchedule3[[#Headers],[PMT NO]])&gt;ScheduledNumberOfPayments,"",ROW()-ROW(PaymentSchedule3[[#Headers],[PMT NO]])),"")</f>
        <v>89</v>
      </c>
      <c r="C100" s="20">
        <f>IF(PaymentSchedule3[[#This Row],[PMT NO]]&lt;&gt;"",EOMONTH(LoanStartDate,ROW(PaymentSchedule3[[#This Row],[PMT NO]])-ROW(PaymentSchedule3[[#Headers],[PMT NO]])-2)+DAY(LoanStartDate),"")</f>
        <v>46327</v>
      </c>
      <c r="D100" s="19">
        <f>IF(PaymentSchedule3[[#This Row],[PMT NO]]&lt;&gt;"",IF(ROW()-ROW(PaymentSchedule3[[#Headers],[BEGINNING BALANCE]])=1,LoanAmount,INDEX(PaymentSchedule3[ENDING BALANCE],ROW()-ROW(PaymentSchedule3[[#Headers],[BEGINNING BALANCE]])-1)),"")</f>
        <v>1827285.8506071956</v>
      </c>
      <c r="E100" s="19">
        <f>IF(PaymentSchedule3[[#This Row],[PMT NO]]&lt;&gt;"",ScheduledPayment,"")</f>
        <v>8358.7693880762818</v>
      </c>
      <c r="F10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0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00" s="19">
        <f>IF(PaymentSchedule3[[#This Row],[PMT NO]]&lt;&gt;"",PaymentSchedule3[[#This Row],[TOTAL PAYMENT]]-PaymentSchedule3[[#This Row],[INTEREST]],"")</f>
        <v>2267.8165527189622</v>
      </c>
      <c r="I100" s="19">
        <f>IF(PaymentSchedule3[[#This Row],[PMT NO]]&lt;&gt;"",PaymentSchedule3[[#This Row],[BEGINNING BALANCE]]*(InterestRate/PaymentsPerYear),"")</f>
        <v>6090.9528353573196</v>
      </c>
      <c r="J10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1825018.0340544768</v>
      </c>
      <c r="K100" s="19">
        <f>IF(PaymentSchedule3[[#This Row],[PMT NO]]&lt;&gt;"",SUM(INDEX(PaymentSchedule3[INTEREST],1,1):PaymentSchedule3[[#This Row],[INTEREST]]),"")</f>
        <v>568948.50959326548</v>
      </c>
    </row>
    <row r="101" spans="2:11" x14ac:dyDescent="0.3">
      <c r="B101" s="21">
        <f>IF(LoanIsGood,IF(ROW()-ROW(PaymentSchedule3[[#Headers],[PMT NO]])&gt;ScheduledNumberOfPayments,"",ROW()-ROW(PaymentSchedule3[[#Headers],[PMT NO]])),"")</f>
        <v>90</v>
      </c>
      <c r="C101" s="20">
        <f>IF(PaymentSchedule3[[#This Row],[PMT NO]]&lt;&gt;"",EOMONTH(LoanStartDate,ROW(PaymentSchedule3[[#This Row],[PMT NO]])-ROW(PaymentSchedule3[[#Headers],[PMT NO]])-2)+DAY(LoanStartDate),"")</f>
        <v>46357</v>
      </c>
      <c r="D101" s="19">
        <f>IF(PaymentSchedule3[[#This Row],[PMT NO]]&lt;&gt;"",IF(ROW()-ROW(PaymentSchedule3[[#Headers],[BEGINNING BALANCE]])=1,LoanAmount,INDEX(PaymentSchedule3[ENDING BALANCE],ROW()-ROW(PaymentSchedule3[[#Headers],[BEGINNING BALANCE]])-1)),"")</f>
        <v>1825018.0340544768</v>
      </c>
      <c r="E101" s="19">
        <f>IF(PaymentSchedule3[[#This Row],[PMT NO]]&lt;&gt;"",ScheduledPayment,"")</f>
        <v>8358.7693880762818</v>
      </c>
      <c r="F10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0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01" s="19">
        <f>IF(PaymentSchedule3[[#This Row],[PMT NO]]&lt;&gt;"",PaymentSchedule3[[#This Row],[TOTAL PAYMENT]]-PaymentSchedule3[[#This Row],[INTEREST]],"")</f>
        <v>2275.3759412280251</v>
      </c>
      <c r="I101" s="19">
        <f>IF(PaymentSchedule3[[#This Row],[PMT NO]]&lt;&gt;"",PaymentSchedule3[[#This Row],[BEGINNING BALANCE]]*(InterestRate/PaymentsPerYear),"")</f>
        <v>6083.3934468482566</v>
      </c>
      <c r="J10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1822742.6581132486</v>
      </c>
      <c r="K101" s="19">
        <f>IF(PaymentSchedule3[[#This Row],[PMT NO]]&lt;&gt;"",SUM(INDEX(PaymentSchedule3[INTEREST],1,1):PaymentSchedule3[[#This Row],[INTEREST]]),"")</f>
        <v>575031.90304011374</v>
      </c>
    </row>
    <row r="102" spans="2:11" x14ac:dyDescent="0.3">
      <c r="B102" s="21">
        <f>IF(LoanIsGood,IF(ROW()-ROW(PaymentSchedule3[[#Headers],[PMT NO]])&gt;ScheduledNumberOfPayments,"",ROW()-ROW(PaymentSchedule3[[#Headers],[PMT NO]])),"")</f>
        <v>91</v>
      </c>
      <c r="C102" s="20">
        <f>IF(PaymentSchedule3[[#This Row],[PMT NO]]&lt;&gt;"",EOMONTH(LoanStartDate,ROW(PaymentSchedule3[[#This Row],[PMT NO]])-ROW(PaymentSchedule3[[#Headers],[PMT NO]])-2)+DAY(LoanStartDate),"")</f>
        <v>46388</v>
      </c>
      <c r="D102" s="19">
        <f>IF(PaymentSchedule3[[#This Row],[PMT NO]]&lt;&gt;"",IF(ROW()-ROW(PaymentSchedule3[[#Headers],[BEGINNING BALANCE]])=1,LoanAmount,INDEX(PaymentSchedule3[ENDING BALANCE],ROW()-ROW(PaymentSchedule3[[#Headers],[BEGINNING BALANCE]])-1)),"")</f>
        <v>1822742.6581132486</v>
      </c>
      <c r="E102" s="19">
        <f>IF(PaymentSchedule3[[#This Row],[PMT NO]]&lt;&gt;"",ScheduledPayment,"")</f>
        <v>8358.7693880762818</v>
      </c>
      <c r="F10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0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02" s="19">
        <f>IF(PaymentSchedule3[[#This Row],[PMT NO]]&lt;&gt;"",PaymentSchedule3[[#This Row],[TOTAL PAYMENT]]-PaymentSchedule3[[#This Row],[INTEREST]],"")</f>
        <v>2282.9605276987859</v>
      </c>
      <c r="I102" s="19">
        <f>IF(PaymentSchedule3[[#This Row],[PMT NO]]&lt;&gt;"",PaymentSchedule3[[#This Row],[BEGINNING BALANCE]]*(InterestRate/PaymentsPerYear),"")</f>
        <v>6075.8088603774959</v>
      </c>
      <c r="J10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1820459.6975855499</v>
      </c>
      <c r="K102" s="19">
        <f>IF(PaymentSchedule3[[#This Row],[PMT NO]]&lt;&gt;"",SUM(INDEX(PaymentSchedule3[INTEREST],1,1):PaymentSchedule3[[#This Row],[INTEREST]]),"")</f>
        <v>581107.71190049127</v>
      </c>
    </row>
    <row r="103" spans="2:11" x14ac:dyDescent="0.3">
      <c r="B103" s="21">
        <f>IF(LoanIsGood,IF(ROW()-ROW(PaymentSchedule3[[#Headers],[PMT NO]])&gt;ScheduledNumberOfPayments,"",ROW()-ROW(PaymentSchedule3[[#Headers],[PMT NO]])),"")</f>
        <v>92</v>
      </c>
      <c r="C103" s="20">
        <f>IF(PaymentSchedule3[[#This Row],[PMT NO]]&lt;&gt;"",EOMONTH(LoanStartDate,ROW(PaymentSchedule3[[#This Row],[PMT NO]])-ROW(PaymentSchedule3[[#Headers],[PMT NO]])-2)+DAY(LoanStartDate),"")</f>
        <v>46419</v>
      </c>
      <c r="D103" s="19">
        <f>IF(PaymentSchedule3[[#This Row],[PMT NO]]&lt;&gt;"",IF(ROW()-ROW(PaymentSchedule3[[#Headers],[BEGINNING BALANCE]])=1,LoanAmount,INDEX(PaymentSchedule3[ENDING BALANCE],ROW()-ROW(PaymentSchedule3[[#Headers],[BEGINNING BALANCE]])-1)),"")</f>
        <v>1820459.6975855499</v>
      </c>
      <c r="E103" s="19">
        <f>IF(PaymentSchedule3[[#This Row],[PMT NO]]&lt;&gt;"",ScheduledPayment,"")</f>
        <v>8358.7693880762818</v>
      </c>
      <c r="F10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0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03" s="19">
        <f>IF(PaymentSchedule3[[#This Row],[PMT NO]]&lt;&gt;"",PaymentSchedule3[[#This Row],[TOTAL PAYMENT]]-PaymentSchedule3[[#This Row],[INTEREST]],"")</f>
        <v>2290.5703961244481</v>
      </c>
      <c r="I103" s="19">
        <f>IF(PaymentSchedule3[[#This Row],[PMT NO]]&lt;&gt;"",PaymentSchedule3[[#This Row],[BEGINNING BALANCE]]*(InterestRate/PaymentsPerYear),"")</f>
        <v>6068.1989919518337</v>
      </c>
      <c r="J10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1818169.1271894255</v>
      </c>
      <c r="K103" s="19">
        <f>IF(PaymentSchedule3[[#This Row],[PMT NO]]&lt;&gt;"",SUM(INDEX(PaymentSchedule3[INTEREST],1,1):PaymentSchedule3[[#This Row],[INTEREST]]),"")</f>
        <v>587175.91089244315</v>
      </c>
    </row>
    <row r="104" spans="2:11" x14ac:dyDescent="0.3">
      <c r="B104" s="21">
        <f>IF(LoanIsGood,IF(ROW()-ROW(PaymentSchedule3[[#Headers],[PMT NO]])&gt;ScheduledNumberOfPayments,"",ROW()-ROW(PaymentSchedule3[[#Headers],[PMT NO]])),"")</f>
        <v>93</v>
      </c>
      <c r="C104" s="20">
        <f>IF(PaymentSchedule3[[#This Row],[PMT NO]]&lt;&gt;"",EOMONTH(LoanStartDate,ROW(PaymentSchedule3[[#This Row],[PMT NO]])-ROW(PaymentSchedule3[[#Headers],[PMT NO]])-2)+DAY(LoanStartDate),"")</f>
        <v>46447</v>
      </c>
      <c r="D104" s="19">
        <f>IF(PaymentSchedule3[[#This Row],[PMT NO]]&lt;&gt;"",IF(ROW()-ROW(PaymentSchedule3[[#Headers],[BEGINNING BALANCE]])=1,LoanAmount,INDEX(PaymentSchedule3[ENDING BALANCE],ROW()-ROW(PaymentSchedule3[[#Headers],[BEGINNING BALANCE]])-1)),"")</f>
        <v>1818169.1271894255</v>
      </c>
      <c r="E104" s="19">
        <f>IF(PaymentSchedule3[[#This Row],[PMT NO]]&lt;&gt;"",ScheduledPayment,"")</f>
        <v>8358.7693880762818</v>
      </c>
      <c r="F10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0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04" s="19">
        <f>IF(PaymentSchedule3[[#This Row],[PMT NO]]&lt;&gt;"",PaymentSchedule3[[#This Row],[TOTAL PAYMENT]]-PaymentSchedule3[[#This Row],[INTEREST]],"")</f>
        <v>2298.2056307781959</v>
      </c>
      <c r="I104" s="19">
        <f>IF(PaymentSchedule3[[#This Row],[PMT NO]]&lt;&gt;"",PaymentSchedule3[[#This Row],[BEGINNING BALANCE]]*(InterestRate/PaymentsPerYear),"")</f>
        <v>6060.5637572980859</v>
      </c>
      <c r="J10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1815870.9215586474</v>
      </c>
      <c r="K104" s="19">
        <f>IF(PaymentSchedule3[[#This Row],[PMT NO]]&lt;&gt;"",SUM(INDEX(PaymentSchedule3[INTEREST],1,1):PaymentSchedule3[[#This Row],[INTEREST]]),"")</f>
        <v>593236.4746497412</v>
      </c>
    </row>
    <row r="105" spans="2:11" x14ac:dyDescent="0.3">
      <c r="B105" s="21">
        <f>IF(LoanIsGood,IF(ROW()-ROW(PaymentSchedule3[[#Headers],[PMT NO]])&gt;ScheduledNumberOfPayments,"",ROW()-ROW(PaymentSchedule3[[#Headers],[PMT NO]])),"")</f>
        <v>94</v>
      </c>
      <c r="C105" s="20">
        <f>IF(PaymentSchedule3[[#This Row],[PMT NO]]&lt;&gt;"",EOMONTH(LoanStartDate,ROW(PaymentSchedule3[[#This Row],[PMT NO]])-ROW(PaymentSchedule3[[#Headers],[PMT NO]])-2)+DAY(LoanStartDate),"")</f>
        <v>46478</v>
      </c>
      <c r="D105" s="19">
        <f>IF(PaymentSchedule3[[#This Row],[PMT NO]]&lt;&gt;"",IF(ROW()-ROW(PaymentSchedule3[[#Headers],[BEGINNING BALANCE]])=1,LoanAmount,INDEX(PaymentSchedule3[ENDING BALANCE],ROW()-ROW(PaymentSchedule3[[#Headers],[BEGINNING BALANCE]])-1)),"")</f>
        <v>1815870.9215586474</v>
      </c>
      <c r="E105" s="19">
        <f>IF(PaymentSchedule3[[#This Row],[PMT NO]]&lt;&gt;"",ScheduledPayment,"")</f>
        <v>8358.7693880762818</v>
      </c>
      <c r="F10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0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05" s="19">
        <f>IF(PaymentSchedule3[[#This Row],[PMT NO]]&lt;&gt;"",PaymentSchedule3[[#This Row],[TOTAL PAYMENT]]-PaymentSchedule3[[#This Row],[INTEREST]],"")</f>
        <v>2305.8663162141229</v>
      </c>
      <c r="I105" s="19">
        <f>IF(PaymentSchedule3[[#This Row],[PMT NO]]&lt;&gt;"",PaymentSchedule3[[#This Row],[BEGINNING BALANCE]]*(InterestRate/PaymentsPerYear),"")</f>
        <v>6052.9030718621589</v>
      </c>
      <c r="J10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1813565.0552424332</v>
      </c>
      <c r="K105" s="19">
        <f>IF(PaymentSchedule3[[#This Row],[PMT NO]]&lt;&gt;"",SUM(INDEX(PaymentSchedule3[INTEREST],1,1):PaymentSchedule3[[#This Row],[INTEREST]]),"")</f>
        <v>599289.37772160338</v>
      </c>
    </row>
    <row r="106" spans="2:11" x14ac:dyDescent="0.3">
      <c r="B106" s="21">
        <f>IF(LoanIsGood,IF(ROW()-ROW(PaymentSchedule3[[#Headers],[PMT NO]])&gt;ScheduledNumberOfPayments,"",ROW()-ROW(PaymentSchedule3[[#Headers],[PMT NO]])),"")</f>
        <v>95</v>
      </c>
      <c r="C106" s="20">
        <f>IF(PaymentSchedule3[[#This Row],[PMT NO]]&lt;&gt;"",EOMONTH(LoanStartDate,ROW(PaymentSchedule3[[#This Row],[PMT NO]])-ROW(PaymentSchedule3[[#Headers],[PMT NO]])-2)+DAY(LoanStartDate),"")</f>
        <v>46508</v>
      </c>
      <c r="D106" s="19">
        <f>IF(PaymentSchedule3[[#This Row],[PMT NO]]&lt;&gt;"",IF(ROW()-ROW(PaymentSchedule3[[#Headers],[BEGINNING BALANCE]])=1,LoanAmount,INDEX(PaymentSchedule3[ENDING BALANCE],ROW()-ROW(PaymentSchedule3[[#Headers],[BEGINNING BALANCE]])-1)),"")</f>
        <v>1813565.0552424332</v>
      </c>
      <c r="E106" s="19">
        <f>IF(PaymentSchedule3[[#This Row],[PMT NO]]&lt;&gt;"",ScheduledPayment,"")</f>
        <v>8358.7693880762818</v>
      </c>
      <c r="F10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0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06" s="19">
        <f>IF(PaymentSchedule3[[#This Row],[PMT NO]]&lt;&gt;"",PaymentSchedule3[[#This Row],[TOTAL PAYMENT]]-PaymentSchedule3[[#This Row],[INTEREST]],"")</f>
        <v>2313.5525372681705</v>
      </c>
      <c r="I106" s="19">
        <f>IF(PaymentSchedule3[[#This Row],[PMT NO]]&lt;&gt;"",PaymentSchedule3[[#This Row],[BEGINNING BALANCE]]*(InterestRate/PaymentsPerYear),"")</f>
        <v>6045.2168508081113</v>
      </c>
      <c r="J10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1811251.502705165</v>
      </c>
      <c r="K106" s="19">
        <f>IF(PaymentSchedule3[[#This Row],[PMT NO]]&lt;&gt;"",SUM(INDEX(PaymentSchedule3[INTEREST],1,1):PaymentSchedule3[[#This Row],[INTEREST]]),"")</f>
        <v>605334.5945724115</v>
      </c>
    </row>
    <row r="107" spans="2:11" x14ac:dyDescent="0.3">
      <c r="B107" s="21">
        <f>IF(LoanIsGood,IF(ROW()-ROW(PaymentSchedule3[[#Headers],[PMT NO]])&gt;ScheduledNumberOfPayments,"",ROW()-ROW(PaymentSchedule3[[#Headers],[PMT NO]])),"")</f>
        <v>96</v>
      </c>
      <c r="C107" s="20">
        <f>IF(PaymentSchedule3[[#This Row],[PMT NO]]&lt;&gt;"",EOMONTH(LoanStartDate,ROW(PaymentSchedule3[[#This Row],[PMT NO]])-ROW(PaymentSchedule3[[#Headers],[PMT NO]])-2)+DAY(LoanStartDate),"")</f>
        <v>46539</v>
      </c>
      <c r="D107" s="19">
        <f>IF(PaymentSchedule3[[#This Row],[PMT NO]]&lt;&gt;"",IF(ROW()-ROW(PaymentSchedule3[[#Headers],[BEGINNING BALANCE]])=1,LoanAmount,INDEX(PaymentSchedule3[ENDING BALANCE],ROW()-ROW(PaymentSchedule3[[#Headers],[BEGINNING BALANCE]])-1)),"")</f>
        <v>1811251.502705165</v>
      </c>
      <c r="E107" s="19">
        <f>IF(PaymentSchedule3[[#This Row],[PMT NO]]&lt;&gt;"",ScheduledPayment,"")</f>
        <v>8358.7693880762818</v>
      </c>
      <c r="F10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0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07" s="19">
        <f>IF(PaymentSchedule3[[#This Row],[PMT NO]]&lt;&gt;"",PaymentSchedule3[[#This Row],[TOTAL PAYMENT]]-PaymentSchedule3[[#This Row],[INTEREST]],"")</f>
        <v>2321.2643790590646</v>
      </c>
      <c r="I107" s="19">
        <f>IF(PaymentSchedule3[[#This Row],[PMT NO]]&lt;&gt;"",PaymentSchedule3[[#This Row],[BEGINNING BALANCE]]*(InterestRate/PaymentsPerYear),"")</f>
        <v>6037.5050090172172</v>
      </c>
      <c r="J10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1808930.238326106</v>
      </c>
      <c r="K107" s="19">
        <f>IF(PaymentSchedule3[[#This Row],[PMT NO]]&lt;&gt;"",SUM(INDEX(PaymentSchedule3[INTEREST],1,1):PaymentSchedule3[[#This Row],[INTEREST]]),"")</f>
        <v>611372.09958142869</v>
      </c>
    </row>
    <row r="108" spans="2:11" x14ac:dyDescent="0.3">
      <c r="B108" s="21">
        <f>IF(LoanIsGood,IF(ROW()-ROW(PaymentSchedule3[[#Headers],[PMT NO]])&gt;ScheduledNumberOfPayments,"",ROW()-ROW(PaymentSchedule3[[#Headers],[PMT NO]])),"")</f>
        <v>97</v>
      </c>
      <c r="C108" s="20">
        <f>IF(PaymentSchedule3[[#This Row],[PMT NO]]&lt;&gt;"",EOMONTH(LoanStartDate,ROW(PaymentSchedule3[[#This Row],[PMT NO]])-ROW(PaymentSchedule3[[#Headers],[PMT NO]])-2)+DAY(LoanStartDate),"")</f>
        <v>46569</v>
      </c>
      <c r="D108" s="19">
        <f>IF(PaymentSchedule3[[#This Row],[PMT NO]]&lt;&gt;"",IF(ROW()-ROW(PaymentSchedule3[[#Headers],[BEGINNING BALANCE]])=1,LoanAmount,INDEX(PaymentSchedule3[ENDING BALANCE],ROW()-ROW(PaymentSchedule3[[#Headers],[BEGINNING BALANCE]])-1)),"")</f>
        <v>1808930.238326106</v>
      </c>
      <c r="E108" s="19">
        <f>IF(PaymentSchedule3[[#This Row],[PMT NO]]&lt;&gt;"",ScheduledPayment,"")</f>
        <v>8358.7693880762818</v>
      </c>
      <c r="F10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0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08" s="19">
        <f>IF(PaymentSchedule3[[#This Row],[PMT NO]]&lt;&gt;"",PaymentSchedule3[[#This Row],[TOTAL PAYMENT]]-PaymentSchedule3[[#This Row],[INTEREST]],"")</f>
        <v>2329.0019269892618</v>
      </c>
      <c r="I108" s="19">
        <f>IF(PaymentSchedule3[[#This Row],[PMT NO]]&lt;&gt;"",PaymentSchedule3[[#This Row],[BEGINNING BALANCE]]*(InterestRate/PaymentsPerYear),"")</f>
        <v>6029.7674610870199</v>
      </c>
      <c r="J10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1806601.2363991167</v>
      </c>
      <c r="K108" s="19">
        <f>IF(PaymentSchedule3[[#This Row],[PMT NO]]&lt;&gt;"",SUM(INDEX(PaymentSchedule3[INTEREST],1,1):PaymentSchedule3[[#This Row],[INTEREST]]),"")</f>
        <v>617401.86704251566</v>
      </c>
    </row>
    <row r="109" spans="2:11" x14ac:dyDescent="0.3">
      <c r="B109" s="21">
        <f>IF(LoanIsGood,IF(ROW()-ROW(PaymentSchedule3[[#Headers],[PMT NO]])&gt;ScheduledNumberOfPayments,"",ROW()-ROW(PaymentSchedule3[[#Headers],[PMT NO]])),"")</f>
        <v>98</v>
      </c>
      <c r="C109" s="20">
        <f>IF(PaymentSchedule3[[#This Row],[PMT NO]]&lt;&gt;"",EOMONTH(LoanStartDate,ROW(PaymentSchedule3[[#This Row],[PMT NO]])-ROW(PaymentSchedule3[[#Headers],[PMT NO]])-2)+DAY(LoanStartDate),"")</f>
        <v>46600</v>
      </c>
      <c r="D109" s="19">
        <f>IF(PaymentSchedule3[[#This Row],[PMT NO]]&lt;&gt;"",IF(ROW()-ROW(PaymentSchedule3[[#Headers],[BEGINNING BALANCE]])=1,LoanAmount,INDEX(PaymentSchedule3[ENDING BALANCE],ROW()-ROW(PaymentSchedule3[[#Headers],[BEGINNING BALANCE]])-1)),"")</f>
        <v>1806601.2363991167</v>
      </c>
      <c r="E109" s="19">
        <f>IF(PaymentSchedule3[[#This Row],[PMT NO]]&lt;&gt;"",ScheduledPayment,"")</f>
        <v>8358.7693880762818</v>
      </c>
      <c r="F10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0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09" s="19">
        <f>IF(PaymentSchedule3[[#This Row],[PMT NO]]&lt;&gt;"",PaymentSchedule3[[#This Row],[TOTAL PAYMENT]]-PaymentSchedule3[[#This Row],[INTEREST]],"")</f>
        <v>2336.7652667458924</v>
      </c>
      <c r="I109" s="19">
        <f>IF(PaymentSchedule3[[#This Row],[PMT NO]]&lt;&gt;"",PaymentSchedule3[[#This Row],[BEGINNING BALANCE]]*(InterestRate/PaymentsPerYear),"")</f>
        <v>6022.0041213303894</v>
      </c>
      <c r="J10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1804264.4711323709</v>
      </c>
      <c r="K109" s="19">
        <f>IF(PaymentSchedule3[[#This Row],[PMT NO]]&lt;&gt;"",SUM(INDEX(PaymentSchedule3[INTEREST],1,1):PaymentSchedule3[[#This Row],[INTEREST]]),"")</f>
        <v>623423.87116384599</v>
      </c>
    </row>
    <row r="110" spans="2:11" x14ac:dyDescent="0.3">
      <c r="B110" s="21">
        <f>IF(LoanIsGood,IF(ROW()-ROW(PaymentSchedule3[[#Headers],[PMT NO]])&gt;ScheduledNumberOfPayments,"",ROW()-ROW(PaymentSchedule3[[#Headers],[PMT NO]])),"")</f>
        <v>99</v>
      </c>
      <c r="C110" s="20">
        <f>IF(PaymentSchedule3[[#This Row],[PMT NO]]&lt;&gt;"",EOMONTH(LoanStartDate,ROW(PaymentSchedule3[[#This Row],[PMT NO]])-ROW(PaymentSchedule3[[#Headers],[PMT NO]])-2)+DAY(LoanStartDate),"")</f>
        <v>46631</v>
      </c>
      <c r="D110" s="19">
        <f>IF(PaymentSchedule3[[#This Row],[PMT NO]]&lt;&gt;"",IF(ROW()-ROW(PaymentSchedule3[[#Headers],[BEGINNING BALANCE]])=1,LoanAmount,INDEX(PaymentSchedule3[ENDING BALANCE],ROW()-ROW(PaymentSchedule3[[#Headers],[BEGINNING BALANCE]])-1)),"")</f>
        <v>1804264.4711323709</v>
      </c>
      <c r="E110" s="19">
        <f>IF(PaymentSchedule3[[#This Row],[PMT NO]]&lt;&gt;"",ScheduledPayment,"")</f>
        <v>8358.7693880762818</v>
      </c>
      <c r="F11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1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10" s="19">
        <f>IF(PaymentSchedule3[[#This Row],[PMT NO]]&lt;&gt;"",PaymentSchedule3[[#This Row],[TOTAL PAYMENT]]-PaymentSchedule3[[#This Row],[INTEREST]],"")</f>
        <v>2344.5544843017115</v>
      </c>
      <c r="I110" s="19">
        <f>IF(PaymentSchedule3[[#This Row],[PMT NO]]&lt;&gt;"",PaymentSchedule3[[#This Row],[BEGINNING BALANCE]]*(InterestRate/PaymentsPerYear),"")</f>
        <v>6014.2149037745703</v>
      </c>
      <c r="J11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1801919.9166480692</v>
      </c>
      <c r="K110" s="19">
        <f>IF(PaymentSchedule3[[#This Row],[PMT NO]]&lt;&gt;"",SUM(INDEX(PaymentSchedule3[INTEREST],1,1):PaymentSchedule3[[#This Row],[INTEREST]]),"")</f>
        <v>629438.08606762055</v>
      </c>
    </row>
    <row r="111" spans="2:11" x14ac:dyDescent="0.3">
      <c r="B111" s="21">
        <f>IF(LoanIsGood,IF(ROW()-ROW(PaymentSchedule3[[#Headers],[PMT NO]])&gt;ScheduledNumberOfPayments,"",ROW()-ROW(PaymentSchedule3[[#Headers],[PMT NO]])),"")</f>
        <v>100</v>
      </c>
      <c r="C111" s="20">
        <f>IF(PaymentSchedule3[[#This Row],[PMT NO]]&lt;&gt;"",EOMONTH(LoanStartDate,ROW(PaymentSchedule3[[#This Row],[PMT NO]])-ROW(PaymentSchedule3[[#Headers],[PMT NO]])-2)+DAY(LoanStartDate),"")</f>
        <v>46661</v>
      </c>
      <c r="D111" s="19">
        <f>IF(PaymentSchedule3[[#This Row],[PMT NO]]&lt;&gt;"",IF(ROW()-ROW(PaymentSchedule3[[#Headers],[BEGINNING BALANCE]])=1,LoanAmount,INDEX(PaymentSchedule3[ENDING BALANCE],ROW()-ROW(PaymentSchedule3[[#Headers],[BEGINNING BALANCE]])-1)),"")</f>
        <v>1801919.9166480692</v>
      </c>
      <c r="E111" s="19">
        <f>IF(PaymentSchedule3[[#This Row],[PMT NO]]&lt;&gt;"",ScheduledPayment,"")</f>
        <v>8358.7693880762818</v>
      </c>
      <c r="F11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1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11" s="19">
        <f>IF(PaymentSchedule3[[#This Row],[PMT NO]]&lt;&gt;"",PaymentSchedule3[[#This Row],[TOTAL PAYMENT]]-PaymentSchedule3[[#This Row],[INTEREST]],"")</f>
        <v>2352.3696659160505</v>
      </c>
      <c r="I111" s="19">
        <f>IF(PaymentSchedule3[[#This Row],[PMT NO]]&lt;&gt;"",PaymentSchedule3[[#This Row],[BEGINNING BALANCE]]*(InterestRate/PaymentsPerYear),"")</f>
        <v>6006.3997221602312</v>
      </c>
      <c r="J11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1799567.5469821531</v>
      </c>
      <c r="K111" s="19">
        <f>IF(PaymentSchedule3[[#This Row],[PMT NO]]&lt;&gt;"",SUM(INDEX(PaymentSchedule3[INTEREST],1,1):PaymentSchedule3[[#This Row],[INTEREST]]),"")</f>
        <v>635444.48578978074</v>
      </c>
    </row>
    <row r="112" spans="2:11" x14ac:dyDescent="0.3">
      <c r="B112" s="21">
        <f>IF(LoanIsGood,IF(ROW()-ROW(PaymentSchedule3[[#Headers],[PMT NO]])&gt;ScheduledNumberOfPayments,"",ROW()-ROW(PaymentSchedule3[[#Headers],[PMT NO]])),"")</f>
        <v>101</v>
      </c>
      <c r="C112" s="20">
        <f>IF(PaymentSchedule3[[#This Row],[PMT NO]]&lt;&gt;"",EOMONTH(LoanStartDate,ROW(PaymentSchedule3[[#This Row],[PMT NO]])-ROW(PaymentSchedule3[[#Headers],[PMT NO]])-2)+DAY(LoanStartDate),"")</f>
        <v>46692</v>
      </c>
      <c r="D112" s="19">
        <f>IF(PaymentSchedule3[[#This Row],[PMT NO]]&lt;&gt;"",IF(ROW()-ROW(PaymentSchedule3[[#Headers],[BEGINNING BALANCE]])=1,LoanAmount,INDEX(PaymentSchedule3[ENDING BALANCE],ROW()-ROW(PaymentSchedule3[[#Headers],[BEGINNING BALANCE]])-1)),"")</f>
        <v>1799567.5469821531</v>
      </c>
      <c r="E112" s="19">
        <f>IF(PaymentSchedule3[[#This Row],[PMT NO]]&lt;&gt;"",ScheduledPayment,"")</f>
        <v>8358.7693880762818</v>
      </c>
      <c r="F11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1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12" s="19">
        <f>IF(PaymentSchedule3[[#This Row],[PMT NO]]&lt;&gt;"",PaymentSchedule3[[#This Row],[TOTAL PAYMENT]]-PaymentSchedule3[[#This Row],[INTEREST]],"")</f>
        <v>2360.2108981357715</v>
      </c>
      <c r="I112" s="19">
        <f>IF(PaymentSchedule3[[#This Row],[PMT NO]]&lt;&gt;"",PaymentSchedule3[[#This Row],[BEGINNING BALANCE]]*(InterestRate/PaymentsPerYear),"")</f>
        <v>5998.5584899405103</v>
      </c>
      <c r="J11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1797207.3360840173</v>
      </c>
      <c r="K112" s="19">
        <f>IF(PaymentSchedule3[[#This Row],[PMT NO]]&lt;&gt;"",SUM(INDEX(PaymentSchedule3[INTEREST],1,1):PaymentSchedule3[[#This Row],[INTEREST]]),"")</f>
        <v>641443.04427972122</v>
      </c>
    </row>
    <row r="113" spans="2:11" x14ac:dyDescent="0.3">
      <c r="B113" s="21">
        <f>IF(LoanIsGood,IF(ROW()-ROW(PaymentSchedule3[[#Headers],[PMT NO]])&gt;ScheduledNumberOfPayments,"",ROW()-ROW(PaymentSchedule3[[#Headers],[PMT NO]])),"")</f>
        <v>102</v>
      </c>
      <c r="C113" s="20">
        <f>IF(PaymentSchedule3[[#This Row],[PMT NO]]&lt;&gt;"",EOMONTH(LoanStartDate,ROW(PaymentSchedule3[[#This Row],[PMT NO]])-ROW(PaymentSchedule3[[#Headers],[PMT NO]])-2)+DAY(LoanStartDate),"")</f>
        <v>46722</v>
      </c>
      <c r="D113" s="19">
        <f>IF(PaymentSchedule3[[#This Row],[PMT NO]]&lt;&gt;"",IF(ROW()-ROW(PaymentSchedule3[[#Headers],[BEGINNING BALANCE]])=1,LoanAmount,INDEX(PaymentSchedule3[ENDING BALANCE],ROW()-ROW(PaymentSchedule3[[#Headers],[BEGINNING BALANCE]])-1)),"")</f>
        <v>1797207.3360840173</v>
      </c>
      <c r="E113" s="19">
        <f>IF(PaymentSchedule3[[#This Row],[PMT NO]]&lt;&gt;"",ScheduledPayment,"")</f>
        <v>8358.7693880762818</v>
      </c>
      <c r="F11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1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13" s="19">
        <f>IF(PaymentSchedule3[[#This Row],[PMT NO]]&lt;&gt;"",PaymentSchedule3[[#This Row],[TOTAL PAYMENT]]-PaymentSchedule3[[#This Row],[INTEREST]],"")</f>
        <v>2368.0782677962234</v>
      </c>
      <c r="I113" s="19">
        <f>IF(PaymentSchedule3[[#This Row],[PMT NO]]&lt;&gt;"",PaymentSchedule3[[#This Row],[BEGINNING BALANCE]]*(InterestRate/PaymentsPerYear),"")</f>
        <v>5990.6911202800584</v>
      </c>
      <c r="J11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1794839.2578162211</v>
      </c>
      <c r="K113" s="19">
        <f>IF(PaymentSchedule3[[#This Row],[PMT NO]]&lt;&gt;"",SUM(INDEX(PaymentSchedule3[INTEREST],1,1):PaymentSchedule3[[#This Row],[INTEREST]]),"")</f>
        <v>647433.73540000129</v>
      </c>
    </row>
    <row r="114" spans="2:11" x14ac:dyDescent="0.3">
      <c r="B114" s="21">
        <f>IF(LoanIsGood,IF(ROW()-ROW(PaymentSchedule3[[#Headers],[PMT NO]])&gt;ScheduledNumberOfPayments,"",ROW()-ROW(PaymentSchedule3[[#Headers],[PMT NO]])),"")</f>
        <v>103</v>
      </c>
      <c r="C114" s="20">
        <f>IF(PaymentSchedule3[[#This Row],[PMT NO]]&lt;&gt;"",EOMONTH(LoanStartDate,ROW(PaymentSchedule3[[#This Row],[PMT NO]])-ROW(PaymentSchedule3[[#Headers],[PMT NO]])-2)+DAY(LoanStartDate),"")</f>
        <v>46753</v>
      </c>
      <c r="D114" s="19">
        <f>IF(PaymentSchedule3[[#This Row],[PMT NO]]&lt;&gt;"",IF(ROW()-ROW(PaymentSchedule3[[#Headers],[BEGINNING BALANCE]])=1,LoanAmount,INDEX(PaymentSchedule3[ENDING BALANCE],ROW()-ROW(PaymentSchedule3[[#Headers],[BEGINNING BALANCE]])-1)),"")</f>
        <v>1794839.2578162211</v>
      </c>
      <c r="E114" s="19">
        <f>IF(PaymentSchedule3[[#This Row],[PMT NO]]&lt;&gt;"",ScheduledPayment,"")</f>
        <v>8358.7693880762818</v>
      </c>
      <c r="F11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1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14" s="19">
        <f>IF(PaymentSchedule3[[#This Row],[PMT NO]]&lt;&gt;"",PaymentSchedule3[[#This Row],[TOTAL PAYMENT]]-PaymentSchedule3[[#This Row],[INTEREST]],"")</f>
        <v>2375.9718620222111</v>
      </c>
      <c r="I114" s="19">
        <f>IF(PaymentSchedule3[[#This Row],[PMT NO]]&lt;&gt;"",PaymentSchedule3[[#This Row],[BEGINNING BALANCE]]*(InterestRate/PaymentsPerYear),"")</f>
        <v>5982.7975260540707</v>
      </c>
      <c r="J11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1792463.2859541988</v>
      </c>
      <c r="K114" s="19">
        <f>IF(PaymentSchedule3[[#This Row],[PMT NO]]&lt;&gt;"",SUM(INDEX(PaymentSchedule3[INTEREST],1,1):PaymentSchedule3[[#This Row],[INTEREST]]),"")</f>
        <v>653416.53292605537</v>
      </c>
    </row>
    <row r="115" spans="2:11" x14ac:dyDescent="0.3">
      <c r="B115" s="21">
        <f>IF(LoanIsGood,IF(ROW()-ROW(PaymentSchedule3[[#Headers],[PMT NO]])&gt;ScheduledNumberOfPayments,"",ROW()-ROW(PaymentSchedule3[[#Headers],[PMT NO]])),"")</f>
        <v>104</v>
      </c>
      <c r="C115" s="20">
        <f>IF(PaymentSchedule3[[#This Row],[PMT NO]]&lt;&gt;"",EOMONTH(LoanStartDate,ROW(PaymentSchedule3[[#This Row],[PMT NO]])-ROW(PaymentSchedule3[[#Headers],[PMT NO]])-2)+DAY(LoanStartDate),"")</f>
        <v>46784</v>
      </c>
      <c r="D115" s="19">
        <f>IF(PaymentSchedule3[[#This Row],[PMT NO]]&lt;&gt;"",IF(ROW()-ROW(PaymentSchedule3[[#Headers],[BEGINNING BALANCE]])=1,LoanAmount,INDEX(PaymentSchedule3[ENDING BALANCE],ROW()-ROW(PaymentSchedule3[[#Headers],[BEGINNING BALANCE]])-1)),"")</f>
        <v>1792463.2859541988</v>
      </c>
      <c r="E115" s="19">
        <f>IF(PaymentSchedule3[[#This Row],[PMT NO]]&lt;&gt;"",ScheduledPayment,"")</f>
        <v>8358.7693880762818</v>
      </c>
      <c r="F11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1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15" s="19">
        <f>IF(PaymentSchedule3[[#This Row],[PMT NO]]&lt;&gt;"",PaymentSchedule3[[#This Row],[TOTAL PAYMENT]]-PaymentSchedule3[[#This Row],[INTEREST]],"")</f>
        <v>2383.8917682289521</v>
      </c>
      <c r="I115" s="19">
        <f>IF(PaymentSchedule3[[#This Row],[PMT NO]]&lt;&gt;"",PaymentSchedule3[[#This Row],[BEGINNING BALANCE]]*(InterestRate/PaymentsPerYear),"")</f>
        <v>5974.8776198473297</v>
      </c>
      <c r="J11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1790079.3941859698</v>
      </c>
      <c r="K115" s="19">
        <f>IF(PaymentSchedule3[[#This Row],[PMT NO]]&lt;&gt;"",SUM(INDEX(PaymentSchedule3[INTEREST],1,1):PaymentSchedule3[[#This Row],[INTEREST]]),"")</f>
        <v>659391.41054590268</v>
      </c>
    </row>
    <row r="116" spans="2:11" x14ac:dyDescent="0.3">
      <c r="B116" s="21">
        <f>IF(LoanIsGood,IF(ROW()-ROW(PaymentSchedule3[[#Headers],[PMT NO]])&gt;ScheduledNumberOfPayments,"",ROW()-ROW(PaymentSchedule3[[#Headers],[PMT NO]])),"")</f>
        <v>105</v>
      </c>
      <c r="C116" s="20">
        <f>IF(PaymentSchedule3[[#This Row],[PMT NO]]&lt;&gt;"",EOMONTH(LoanStartDate,ROW(PaymentSchedule3[[#This Row],[PMT NO]])-ROW(PaymentSchedule3[[#Headers],[PMT NO]])-2)+DAY(LoanStartDate),"")</f>
        <v>46813</v>
      </c>
      <c r="D116" s="19">
        <f>IF(PaymentSchedule3[[#This Row],[PMT NO]]&lt;&gt;"",IF(ROW()-ROW(PaymentSchedule3[[#Headers],[BEGINNING BALANCE]])=1,LoanAmount,INDEX(PaymentSchedule3[ENDING BALANCE],ROW()-ROW(PaymentSchedule3[[#Headers],[BEGINNING BALANCE]])-1)),"")</f>
        <v>1790079.3941859698</v>
      </c>
      <c r="E116" s="19">
        <f>IF(PaymentSchedule3[[#This Row],[PMT NO]]&lt;&gt;"",ScheduledPayment,"")</f>
        <v>8358.7693880762818</v>
      </c>
      <c r="F11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1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16" s="19">
        <f>IF(PaymentSchedule3[[#This Row],[PMT NO]]&lt;&gt;"",PaymentSchedule3[[#This Row],[TOTAL PAYMENT]]-PaymentSchedule3[[#This Row],[INTEREST]],"")</f>
        <v>2391.8380741230485</v>
      </c>
      <c r="I116" s="19">
        <f>IF(PaymentSchedule3[[#This Row],[PMT NO]]&lt;&gt;"",PaymentSchedule3[[#This Row],[BEGINNING BALANCE]]*(InterestRate/PaymentsPerYear),"")</f>
        <v>5966.9313139532333</v>
      </c>
      <c r="J11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1787687.5561118468</v>
      </c>
      <c r="K116" s="19">
        <f>IF(PaymentSchedule3[[#This Row],[PMT NO]]&lt;&gt;"",SUM(INDEX(PaymentSchedule3[INTEREST],1,1):PaymentSchedule3[[#This Row],[INTEREST]]),"")</f>
        <v>665358.34185985592</v>
      </c>
    </row>
    <row r="117" spans="2:11" x14ac:dyDescent="0.3">
      <c r="B117" s="21">
        <f>IF(LoanIsGood,IF(ROW()-ROW(PaymentSchedule3[[#Headers],[PMT NO]])&gt;ScheduledNumberOfPayments,"",ROW()-ROW(PaymentSchedule3[[#Headers],[PMT NO]])),"")</f>
        <v>106</v>
      </c>
      <c r="C117" s="20">
        <f>IF(PaymentSchedule3[[#This Row],[PMT NO]]&lt;&gt;"",EOMONTH(LoanStartDate,ROW(PaymentSchedule3[[#This Row],[PMT NO]])-ROW(PaymentSchedule3[[#Headers],[PMT NO]])-2)+DAY(LoanStartDate),"")</f>
        <v>46844</v>
      </c>
      <c r="D117" s="19">
        <f>IF(PaymentSchedule3[[#This Row],[PMT NO]]&lt;&gt;"",IF(ROW()-ROW(PaymentSchedule3[[#Headers],[BEGINNING BALANCE]])=1,LoanAmount,INDEX(PaymentSchedule3[ENDING BALANCE],ROW()-ROW(PaymentSchedule3[[#Headers],[BEGINNING BALANCE]])-1)),"")</f>
        <v>1787687.5561118468</v>
      </c>
      <c r="E117" s="19">
        <f>IF(PaymentSchedule3[[#This Row],[PMT NO]]&lt;&gt;"",ScheduledPayment,"")</f>
        <v>8358.7693880762818</v>
      </c>
      <c r="F11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1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17" s="19">
        <f>IF(PaymentSchedule3[[#This Row],[PMT NO]]&lt;&gt;"",PaymentSchedule3[[#This Row],[TOTAL PAYMENT]]-PaymentSchedule3[[#This Row],[INTEREST]],"")</f>
        <v>2399.8108677034588</v>
      </c>
      <c r="I117" s="19">
        <f>IF(PaymentSchedule3[[#This Row],[PMT NO]]&lt;&gt;"",PaymentSchedule3[[#This Row],[BEGINNING BALANCE]]*(InterestRate/PaymentsPerYear),"")</f>
        <v>5958.9585203728229</v>
      </c>
      <c r="J11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1785287.7452441433</v>
      </c>
      <c r="K117" s="19">
        <f>IF(PaymentSchedule3[[#This Row],[PMT NO]]&lt;&gt;"",SUM(INDEX(PaymentSchedule3[INTEREST],1,1):PaymentSchedule3[[#This Row],[INTEREST]]),"")</f>
        <v>671317.30038022879</v>
      </c>
    </row>
    <row r="118" spans="2:11" x14ac:dyDescent="0.3">
      <c r="B118" s="21">
        <f>IF(LoanIsGood,IF(ROW()-ROW(PaymentSchedule3[[#Headers],[PMT NO]])&gt;ScheduledNumberOfPayments,"",ROW()-ROW(PaymentSchedule3[[#Headers],[PMT NO]])),"")</f>
        <v>107</v>
      </c>
      <c r="C118" s="20">
        <f>IF(PaymentSchedule3[[#This Row],[PMT NO]]&lt;&gt;"",EOMONTH(LoanStartDate,ROW(PaymentSchedule3[[#This Row],[PMT NO]])-ROW(PaymentSchedule3[[#Headers],[PMT NO]])-2)+DAY(LoanStartDate),"")</f>
        <v>46874</v>
      </c>
      <c r="D118" s="19">
        <f>IF(PaymentSchedule3[[#This Row],[PMT NO]]&lt;&gt;"",IF(ROW()-ROW(PaymentSchedule3[[#Headers],[BEGINNING BALANCE]])=1,LoanAmount,INDEX(PaymentSchedule3[ENDING BALANCE],ROW()-ROW(PaymentSchedule3[[#Headers],[BEGINNING BALANCE]])-1)),"")</f>
        <v>1785287.7452441433</v>
      </c>
      <c r="E118" s="19">
        <f>IF(PaymentSchedule3[[#This Row],[PMT NO]]&lt;&gt;"",ScheduledPayment,"")</f>
        <v>8358.7693880762818</v>
      </c>
      <c r="F11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1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18" s="19">
        <f>IF(PaymentSchedule3[[#This Row],[PMT NO]]&lt;&gt;"",PaymentSchedule3[[#This Row],[TOTAL PAYMENT]]-PaymentSchedule3[[#This Row],[INTEREST]],"")</f>
        <v>2407.8102372624708</v>
      </c>
      <c r="I118" s="19">
        <f>IF(PaymentSchedule3[[#This Row],[PMT NO]]&lt;&gt;"",PaymentSchedule3[[#This Row],[BEGINNING BALANCE]]*(InterestRate/PaymentsPerYear),"")</f>
        <v>5950.959150813811</v>
      </c>
      <c r="J11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1782879.9350068809</v>
      </c>
      <c r="K118" s="19">
        <f>IF(PaymentSchedule3[[#This Row],[PMT NO]]&lt;&gt;"",SUM(INDEX(PaymentSchedule3[INTEREST],1,1):PaymentSchedule3[[#This Row],[INTEREST]]),"")</f>
        <v>677268.25953104254</v>
      </c>
    </row>
    <row r="119" spans="2:11" x14ac:dyDescent="0.3">
      <c r="B119" s="21">
        <f>IF(LoanIsGood,IF(ROW()-ROW(PaymentSchedule3[[#Headers],[PMT NO]])&gt;ScheduledNumberOfPayments,"",ROW()-ROW(PaymentSchedule3[[#Headers],[PMT NO]])),"")</f>
        <v>108</v>
      </c>
      <c r="C119" s="20">
        <f>IF(PaymentSchedule3[[#This Row],[PMT NO]]&lt;&gt;"",EOMONTH(LoanStartDate,ROW(PaymentSchedule3[[#This Row],[PMT NO]])-ROW(PaymentSchedule3[[#Headers],[PMT NO]])-2)+DAY(LoanStartDate),"")</f>
        <v>46905</v>
      </c>
      <c r="D119" s="19">
        <f>IF(PaymentSchedule3[[#This Row],[PMT NO]]&lt;&gt;"",IF(ROW()-ROW(PaymentSchedule3[[#Headers],[BEGINNING BALANCE]])=1,LoanAmount,INDEX(PaymentSchedule3[ENDING BALANCE],ROW()-ROW(PaymentSchedule3[[#Headers],[BEGINNING BALANCE]])-1)),"")</f>
        <v>1782879.9350068809</v>
      </c>
      <c r="E119" s="19">
        <f>IF(PaymentSchedule3[[#This Row],[PMT NO]]&lt;&gt;"",ScheduledPayment,"")</f>
        <v>8358.7693880762818</v>
      </c>
      <c r="F11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1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19" s="19">
        <f>IF(PaymentSchedule3[[#This Row],[PMT NO]]&lt;&gt;"",PaymentSchedule3[[#This Row],[TOTAL PAYMENT]]-PaymentSchedule3[[#This Row],[INTEREST]],"")</f>
        <v>2415.8362713866782</v>
      </c>
      <c r="I119" s="19">
        <f>IF(PaymentSchedule3[[#This Row],[PMT NO]]&lt;&gt;"",PaymentSchedule3[[#This Row],[BEGINNING BALANCE]]*(InterestRate/PaymentsPerYear),"")</f>
        <v>5942.9331166896036</v>
      </c>
      <c r="J11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1780464.0987354943</v>
      </c>
      <c r="K119" s="19">
        <f>IF(PaymentSchedule3[[#This Row],[PMT NO]]&lt;&gt;"",SUM(INDEX(PaymentSchedule3[INTEREST],1,1):PaymentSchedule3[[#This Row],[INTEREST]]),"")</f>
        <v>683211.1926477321</v>
      </c>
    </row>
    <row r="120" spans="2:11" x14ac:dyDescent="0.3">
      <c r="B120" s="21">
        <f>IF(LoanIsGood,IF(ROW()-ROW(PaymentSchedule3[[#Headers],[PMT NO]])&gt;ScheduledNumberOfPayments,"",ROW()-ROW(PaymentSchedule3[[#Headers],[PMT NO]])),"")</f>
        <v>109</v>
      </c>
      <c r="C120" s="20">
        <f>IF(PaymentSchedule3[[#This Row],[PMT NO]]&lt;&gt;"",EOMONTH(LoanStartDate,ROW(PaymentSchedule3[[#This Row],[PMT NO]])-ROW(PaymentSchedule3[[#Headers],[PMT NO]])-2)+DAY(LoanStartDate),"")</f>
        <v>46935</v>
      </c>
      <c r="D120" s="19">
        <f>IF(PaymentSchedule3[[#This Row],[PMT NO]]&lt;&gt;"",IF(ROW()-ROW(PaymentSchedule3[[#Headers],[BEGINNING BALANCE]])=1,LoanAmount,INDEX(PaymentSchedule3[ENDING BALANCE],ROW()-ROW(PaymentSchedule3[[#Headers],[BEGINNING BALANCE]])-1)),"")</f>
        <v>1780464.0987354943</v>
      </c>
      <c r="E120" s="19">
        <f>IF(PaymentSchedule3[[#This Row],[PMT NO]]&lt;&gt;"",ScheduledPayment,"")</f>
        <v>8358.7693880762818</v>
      </c>
      <c r="F12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2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20" s="19">
        <f>IF(PaymentSchedule3[[#This Row],[PMT NO]]&lt;&gt;"",PaymentSchedule3[[#This Row],[TOTAL PAYMENT]]-PaymentSchedule3[[#This Row],[INTEREST]],"")</f>
        <v>2423.8890589579669</v>
      </c>
      <c r="I120" s="19">
        <f>IF(PaymentSchedule3[[#This Row],[PMT NO]]&lt;&gt;"",PaymentSchedule3[[#This Row],[BEGINNING BALANCE]]*(InterestRate/PaymentsPerYear),"")</f>
        <v>5934.8803291183149</v>
      </c>
      <c r="J12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1778040.2096765363</v>
      </c>
      <c r="K120" s="19">
        <f>IF(PaymentSchedule3[[#This Row],[PMT NO]]&lt;&gt;"",SUM(INDEX(PaymentSchedule3[INTEREST],1,1):PaymentSchedule3[[#This Row],[INTEREST]]),"")</f>
        <v>689146.07297685044</v>
      </c>
    </row>
    <row r="121" spans="2:11" x14ac:dyDescent="0.3">
      <c r="B121" s="21">
        <f>IF(LoanIsGood,IF(ROW()-ROW(PaymentSchedule3[[#Headers],[PMT NO]])&gt;ScheduledNumberOfPayments,"",ROW()-ROW(PaymentSchedule3[[#Headers],[PMT NO]])),"")</f>
        <v>110</v>
      </c>
      <c r="C121" s="20">
        <f>IF(PaymentSchedule3[[#This Row],[PMT NO]]&lt;&gt;"",EOMONTH(LoanStartDate,ROW(PaymentSchedule3[[#This Row],[PMT NO]])-ROW(PaymentSchedule3[[#Headers],[PMT NO]])-2)+DAY(LoanStartDate),"")</f>
        <v>46966</v>
      </c>
      <c r="D121" s="19">
        <f>IF(PaymentSchedule3[[#This Row],[PMT NO]]&lt;&gt;"",IF(ROW()-ROW(PaymentSchedule3[[#Headers],[BEGINNING BALANCE]])=1,LoanAmount,INDEX(PaymentSchedule3[ENDING BALANCE],ROW()-ROW(PaymentSchedule3[[#Headers],[BEGINNING BALANCE]])-1)),"")</f>
        <v>1778040.2096765363</v>
      </c>
      <c r="E121" s="19">
        <f>IF(PaymentSchedule3[[#This Row],[PMT NO]]&lt;&gt;"",ScheduledPayment,"")</f>
        <v>8358.7693880762818</v>
      </c>
      <c r="F12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2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21" s="19">
        <f>IF(PaymentSchedule3[[#This Row],[PMT NO]]&lt;&gt;"",PaymentSchedule3[[#This Row],[TOTAL PAYMENT]]-PaymentSchedule3[[#This Row],[INTEREST]],"")</f>
        <v>2431.9686891544934</v>
      </c>
      <c r="I121" s="19">
        <f>IF(PaymentSchedule3[[#This Row],[PMT NO]]&lt;&gt;"",PaymentSchedule3[[#This Row],[BEGINNING BALANCE]]*(InterestRate/PaymentsPerYear),"")</f>
        <v>5926.8006989217884</v>
      </c>
      <c r="J12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1775608.2409873817</v>
      </c>
      <c r="K121" s="19">
        <f>IF(PaymentSchedule3[[#This Row],[PMT NO]]&lt;&gt;"",SUM(INDEX(PaymentSchedule3[INTEREST],1,1):PaymentSchedule3[[#This Row],[INTEREST]]),"")</f>
        <v>695072.87367577222</v>
      </c>
    </row>
    <row r="122" spans="2:11" x14ac:dyDescent="0.3">
      <c r="B122" s="21">
        <f>IF(LoanIsGood,IF(ROW()-ROW(PaymentSchedule3[[#Headers],[PMT NO]])&gt;ScheduledNumberOfPayments,"",ROW()-ROW(PaymentSchedule3[[#Headers],[PMT NO]])),"")</f>
        <v>111</v>
      </c>
      <c r="C122" s="20">
        <f>IF(PaymentSchedule3[[#This Row],[PMT NO]]&lt;&gt;"",EOMONTH(LoanStartDate,ROW(PaymentSchedule3[[#This Row],[PMT NO]])-ROW(PaymentSchedule3[[#Headers],[PMT NO]])-2)+DAY(LoanStartDate),"")</f>
        <v>46997</v>
      </c>
      <c r="D122" s="19">
        <f>IF(PaymentSchedule3[[#This Row],[PMT NO]]&lt;&gt;"",IF(ROW()-ROW(PaymentSchedule3[[#Headers],[BEGINNING BALANCE]])=1,LoanAmount,INDEX(PaymentSchedule3[ENDING BALANCE],ROW()-ROW(PaymentSchedule3[[#Headers],[BEGINNING BALANCE]])-1)),"")</f>
        <v>1775608.2409873817</v>
      </c>
      <c r="E122" s="19">
        <f>IF(PaymentSchedule3[[#This Row],[PMT NO]]&lt;&gt;"",ScheduledPayment,"")</f>
        <v>8358.7693880762818</v>
      </c>
      <c r="F12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2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22" s="19">
        <f>IF(PaymentSchedule3[[#This Row],[PMT NO]]&lt;&gt;"",PaymentSchedule3[[#This Row],[TOTAL PAYMENT]]-PaymentSchedule3[[#This Row],[INTEREST]],"")</f>
        <v>2440.0752514516762</v>
      </c>
      <c r="I122" s="19">
        <f>IF(PaymentSchedule3[[#This Row],[PMT NO]]&lt;&gt;"",PaymentSchedule3[[#This Row],[BEGINNING BALANCE]]*(InterestRate/PaymentsPerYear),"")</f>
        <v>5918.6941366246056</v>
      </c>
      <c r="J12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1773168.16573593</v>
      </c>
      <c r="K122" s="19">
        <f>IF(PaymentSchedule3[[#This Row],[PMT NO]]&lt;&gt;"",SUM(INDEX(PaymentSchedule3[INTEREST],1,1):PaymentSchedule3[[#This Row],[INTEREST]]),"")</f>
        <v>700991.5678123968</v>
      </c>
    </row>
    <row r="123" spans="2:11" x14ac:dyDescent="0.3">
      <c r="B123" s="21">
        <f>IF(LoanIsGood,IF(ROW()-ROW(PaymentSchedule3[[#Headers],[PMT NO]])&gt;ScheduledNumberOfPayments,"",ROW()-ROW(PaymentSchedule3[[#Headers],[PMT NO]])),"")</f>
        <v>112</v>
      </c>
      <c r="C123" s="20">
        <f>IF(PaymentSchedule3[[#This Row],[PMT NO]]&lt;&gt;"",EOMONTH(LoanStartDate,ROW(PaymentSchedule3[[#This Row],[PMT NO]])-ROW(PaymentSchedule3[[#Headers],[PMT NO]])-2)+DAY(LoanStartDate),"")</f>
        <v>47027</v>
      </c>
      <c r="D123" s="19">
        <f>IF(PaymentSchedule3[[#This Row],[PMT NO]]&lt;&gt;"",IF(ROW()-ROW(PaymentSchedule3[[#Headers],[BEGINNING BALANCE]])=1,LoanAmount,INDEX(PaymentSchedule3[ENDING BALANCE],ROW()-ROW(PaymentSchedule3[[#Headers],[BEGINNING BALANCE]])-1)),"")</f>
        <v>1773168.16573593</v>
      </c>
      <c r="E123" s="19">
        <f>IF(PaymentSchedule3[[#This Row],[PMT NO]]&lt;&gt;"",ScheduledPayment,"")</f>
        <v>8358.7693880762818</v>
      </c>
      <c r="F12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2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23" s="19">
        <f>IF(PaymentSchedule3[[#This Row],[PMT NO]]&lt;&gt;"",PaymentSchedule3[[#This Row],[TOTAL PAYMENT]]-PaymentSchedule3[[#This Row],[INTEREST]],"")</f>
        <v>2448.2088356231816</v>
      </c>
      <c r="I123" s="19">
        <f>IF(PaymentSchedule3[[#This Row],[PMT NO]]&lt;&gt;"",PaymentSchedule3[[#This Row],[BEGINNING BALANCE]]*(InterestRate/PaymentsPerYear),"")</f>
        <v>5910.5605524531002</v>
      </c>
      <c r="J12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1770719.9569003067</v>
      </c>
      <c r="K123" s="19">
        <f>IF(PaymentSchedule3[[#This Row],[PMT NO]]&lt;&gt;"",SUM(INDEX(PaymentSchedule3[INTEREST],1,1):PaymentSchedule3[[#This Row],[INTEREST]]),"")</f>
        <v>706902.12836484995</v>
      </c>
    </row>
    <row r="124" spans="2:11" x14ac:dyDescent="0.3">
      <c r="B124" s="21">
        <f>IF(LoanIsGood,IF(ROW()-ROW(PaymentSchedule3[[#Headers],[PMT NO]])&gt;ScheduledNumberOfPayments,"",ROW()-ROW(PaymentSchedule3[[#Headers],[PMT NO]])),"")</f>
        <v>113</v>
      </c>
      <c r="C124" s="20">
        <f>IF(PaymentSchedule3[[#This Row],[PMT NO]]&lt;&gt;"",EOMONTH(LoanStartDate,ROW(PaymentSchedule3[[#This Row],[PMT NO]])-ROW(PaymentSchedule3[[#Headers],[PMT NO]])-2)+DAY(LoanStartDate),"")</f>
        <v>47058</v>
      </c>
      <c r="D124" s="19">
        <f>IF(PaymentSchedule3[[#This Row],[PMT NO]]&lt;&gt;"",IF(ROW()-ROW(PaymentSchedule3[[#Headers],[BEGINNING BALANCE]])=1,LoanAmount,INDEX(PaymentSchedule3[ENDING BALANCE],ROW()-ROW(PaymentSchedule3[[#Headers],[BEGINNING BALANCE]])-1)),"")</f>
        <v>1770719.9569003067</v>
      </c>
      <c r="E124" s="19">
        <f>IF(PaymentSchedule3[[#This Row],[PMT NO]]&lt;&gt;"",ScheduledPayment,"")</f>
        <v>8358.7693880762818</v>
      </c>
      <c r="F12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2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24" s="19">
        <f>IF(PaymentSchedule3[[#This Row],[PMT NO]]&lt;&gt;"",PaymentSchedule3[[#This Row],[TOTAL PAYMENT]]-PaymentSchedule3[[#This Row],[INTEREST]],"")</f>
        <v>2456.3695317419251</v>
      </c>
      <c r="I124" s="19">
        <f>IF(PaymentSchedule3[[#This Row],[PMT NO]]&lt;&gt;"",PaymentSchedule3[[#This Row],[BEGINNING BALANCE]]*(InterestRate/PaymentsPerYear),"")</f>
        <v>5902.3998563343566</v>
      </c>
      <c r="J12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1768263.5873685649</v>
      </c>
      <c r="K124" s="19">
        <f>IF(PaymentSchedule3[[#This Row],[PMT NO]]&lt;&gt;"",SUM(INDEX(PaymentSchedule3[INTEREST],1,1):PaymentSchedule3[[#This Row],[INTEREST]]),"")</f>
        <v>712804.52822118427</v>
      </c>
    </row>
    <row r="125" spans="2:11" x14ac:dyDescent="0.3">
      <c r="B125" s="21">
        <f>IF(LoanIsGood,IF(ROW()-ROW(PaymentSchedule3[[#Headers],[PMT NO]])&gt;ScheduledNumberOfPayments,"",ROW()-ROW(PaymentSchedule3[[#Headers],[PMT NO]])),"")</f>
        <v>114</v>
      </c>
      <c r="C125" s="20">
        <f>IF(PaymentSchedule3[[#This Row],[PMT NO]]&lt;&gt;"",EOMONTH(LoanStartDate,ROW(PaymentSchedule3[[#This Row],[PMT NO]])-ROW(PaymentSchedule3[[#Headers],[PMT NO]])-2)+DAY(LoanStartDate),"")</f>
        <v>47088</v>
      </c>
      <c r="D125" s="19">
        <f>IF(PaymentSchedule3[[#This Row],[PMT NO]]&lt;&gt;"",IF(ROW()-ROW(PaymentSchedule3[[#Headers],[BEGINNING BALANCE]])=1,LoanAmount,INDEX(PaymentSchedule3[ENDING BALANCE],ROW()-ROW(PaymentSchedule3[[#Headers],[BEGINNING BALANCE]])-1)),"")</f>
        <v>1768263.5873685649</v>
      </c>
      <c r="E125" s="19">
        <f>IF(PaymentSchedule3[[#This Row],[PMT NO]]&lt;&gt;"",ScheduledPayment,"")</f>
        <v>8358.7693880762818</v>
      </c>
      <c r="F12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2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25" s="19">
        <f>IF(PaymentSchedule3[[#This Row],[PMT NO]]&lt;&gt;"",PaymentSchedule3[[#This Row],[TOTAL PAYMENT]]-PaymentSchedule3[[#This Row],[INTEREST]],"")</f>
        <v>2464.5574301810648</v>
      </c>
      <c r="I125" s="19">
        <f>IF(PaymentSchedule3[[#This Row],[PMT NO]]&lt;&gt;"",PaymentSchedule3[[#This Row],[BEGINNING BALANCE]]*(InterestRate/PaymentsPerYear),"")</f>
        <v>5894.211957895217</v>
      </c>
      <c r="J12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1765799.029938384</v>
      </c>
      <c r="K125" s="19">
        <f>IF(PaymentSchedule3[[#This Row],[PMT NO]]&lt;&gt;"",SUM(INDEX(PaymentSchedule3[INTEREST],1,1):PaymentSchedule3[[#This Row],[INTEREST]]),"")</f>
        <v>718698.74017907947</v>
      </c>
    </row>
    <row r="126" spans="2:11" x14ac:dyDescent="0.3">
      <c r="B126" s="21">
        <f>IF(LoanIsGood,IF(ROW()-ROW(PaymentSchedule3[[#Headers],[PMT NO]])&gt;ScheduledNumberOfPayments,"",ROW()-ROW(PaymentSchedule3[[#Headers],[PMT NO]])),"")</f>
        <v>115</v>
      </c>
      <c r="C126" s="20">
        <f>IF(PaymentSchedule3[[#This Row],[PMT NO]]&lt;&gt;"",EOMONTH(LoanStartDate,ROW(PaymentSchedule3[[#This Row],[PMT NO]])-ROW(PaymentSchedule3[[#Headers],[PMT NO]])-2)+DAY(LoanStartDate),"")</f>
        <v>47119</v>
      </c>
      <c r="D126" s="19">
        <f>IF(PaymentSchedule3[[#This Row],[PMT NO]]&lt;&gt;"",IF(ROW()-ROW(PaymentSchedule3[[#Headers],[BEGINNING BALANCE]])=1,LoanAmount,INDEX(PaymentSchedule3[ENDING BALANCE],ROW()-ROW(PaymentSchedule3[[#Headers],[BEGINNING BALANCE]])-1)),"")</f>
        <v>1765799.029938384</v>
      </c>
      <c r="E126" s="19">
        <f>IF(PaymentSchedule3[[#This Row],[PMT NO]]&lt;&gt;"",ScheduledPayment,"")</f>
        <v>8358.7693880762818</v>
      </c>
      <c r="F12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2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26" s="19">
        <f>IF(PaymentSchedule3[[#This Row],[PMT NO]]&lt;&gt;"",PaymentSchedule3[[#This Row],[TOTAL PAYMENT]]-PaymentSchedule3[[#This Row],[INTEREST]],"")</f>
        <v>2472.7726216150013</v>
      </c>
      <c r="I126" s="19">
        <f>IF(PaymentSchedule3[[#This Row],[PMT NO]]&lt;&gt;"",PaymentSchedule3[[#This Row],[BEGINNING BALANCE]]*(InterestRate/PaymentsPerYear),"")</f>
        <v>5885.9967664612805</v>
      </c>
      <c r="J12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1763326.2573167689</v>
      </c>
      <c r="K126" s="19">
        <f>IF(PaymentSchedule3[[#This Row],[PMT NO]]&lt;&gt;"",SUM(INDEX(PaymentSchedule3[INTEREST],1,1):PaymentSchedule3[[#This Row],[INTEREST]]),"")</f>
        <v>724584.73694554076</v>
      </c>
    </row>
    <row r="127" spans="2:11" x14ac:dyDescent="0.3">
      <c r="B127" s="21">
        <f>IF(LoanIsGood,IF(ROW()-ROW(PaymentSchedule3[[#Headers],[PMT NO]])&gt;ScheduledNumberOfPayments,"",ROW()-ROW(PaymentSchedule3[[#Headers],[PMT NO]])),"")</f>
        <v>116</v>
      </c>
      <c r="C127" s="20">
        <f>IF(PaymentSchedule3[[#This Row],[PMT NO]]&lt;&gt;"",EOMONTH(LoanStartDate,ROW(PaymentSchedule3[[#This Row],[PMT NO]])-ROW(PaymentSchedule3[[#Headers],[PMT NO]])-2)+DAY(LoanStartDate),"")</f>
        <v>47150</v>
      </c>
      <c r="D127" s="19">
        <f>IF(PaymentSchedule3[[#This Row],[PMT NO]]&lt;&gt;"",IF(ROW()-ROW(PaymentSchedule3[[#Headers],[BEGINNING BALANCE]])=1,LoanAmount,INDEX(PaymentSchedule3[ENDING BALANCE],ROW()-ROW(PaymentSchedule3[[#Headers],[BEGINNING BALANCE]])-1)),"")</f>
        <v>1763326.2573167689</v>
      </c>
      <c r="E127" s="19">
        <f>IF(PaymentSchedule3[[#This Row],[PMT NO]]&lt;&gt;"",ScheduledPayment,"")</f>
        <v>8358.7693880762818</v>
      </c>
      <c r="F12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2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27" s="19">
        <f>IF(PaymentSchedule3[[#This Row],[PMT NO]]&lt;&gt;"",PaymentSchedule3[[#This Row],[TOTAL PAYMENT]]-PaymentSchedule3[[#This Row],[INTEREST]],"")</f>
        <v>2481.0151970203851</v>
      </c>
      <c r="I127" s="19">
        <f>IF(PaymentSchedule3[[#This Row],[PMT NO]]&lt;&gt;"",PaymentSchedule3[[#This Row],[BEGINNING BALANCE]]*(InterestRate/PaymentsPerYear),"")</f>
        <v>5877.7541910558966</v>
      </c>
      <c r="J12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1760845.2421197484</v>
      </c>
      <c r="K127" s="19">
        <f>IF(PaymentSchedule3[[#This Row],[PMT NO]]&lt;&gt;"",SUM(INDEX(PaymentSchedule3[INTEREST],1,1):PaymentSchedule3[[#This Row],[INTEREST]]),"")</f>
        <v>730462.49113659665</v>
      </c>
    </row>
    <row r="128" spans="2:11" x14ac:dyDescent="0.3">
      <c r="B128" s="21">
        <f>IF(LoanIsGood,IF(ROW()-ROW(PaymentSchedule3[[#Headers],[PMT NO]])&gt;ScheduledNumberOfPayments,"",ROW()-ROW(PaymentSchedule3[[#Headers],[PMT NO]])),"")</f>
        <v>117</v>
      </c>
      <c r="C128" s="20">
        <f>IF(PaymentSchedule3[[#This Row],[PMT NO]]&lt;&gt;"",EOMONTH(LoanStartDate,ROW(PaymentSchedule3[[#This Row],[PMT NO]])-ROW(PaymentSchedule3[[#Headers],[PMT NO]])-2)+DAY(LoanStartDate),"")</f>
        <v>47178</v>
      </c>
      <c r="D128" s="19">
        <f>IF(PaymentSchedule3[[#This Row],[PMT NO]]&lt;&gt;"",IF(ROW()-ROW(PaymentSchedule3[[#Headers],[BEGINNING BALANCE]])=1,LoanAmount,INDEX(PaymentSchedule3[ENDING BALANCE],ROW()-ROW(PaymentSchedule3[[#Headers],[BEGINNING BALANCE]])-1)),"")</f>
        <v>1760845.2421197484</v>
      </c>
      <c r="E128" s="19">
        <f>IF(PaymentSchedule3[[#This Row],[PMT NO]]&lt;&gt;"",ScheduledPayment,"")</f>
        <v>8358.7693880762818</v>
      </c>
      <c r="F12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2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28" s="19">
        <f>IF(PaymentSchedule3[[#This Row],[PMT NO]]&lt;&gt;"",PaymentSchedule3[[#This Row],[TOTAL PAYMENT]]-PaymentSchedule3[[#This Row],[INTEREST]],"")</f>
        <v>2489.2852476771204</v>
      </c>
      <c r="I128" s="19">
        <f>IF(PaymentSchedule3[[#This Row],[PMT NO]]&lt;&gt;"",PaymentSchedule3[[#This Row],[BEGINNING BALANCE]]*(InterestRate/PaymentsPerYear),"")</f>
        <v>5869.4841403991613</v>
      </c>
      <c r="J12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1758355.9568720714</v>
      </c>
      <c r="K128" s="19">
        <f>IF(PaymentSchedule3[[#This Row],[PMT NO]]&lt;&gt;"",SUM(INDEX(PaymentSchedule3[INTEREST],1,1):PaymentSchedule3[[#This Row],[INTEREST]]),"")</f>
        <v>736331.9752769958</v>
      </c>
    </row>
    <row r="129" spans="2:11" x14ac:dyDescent="0.3">
      <c r="B129" s="21">
        <f>IF(LoanIsGood,IF(ROW()-ROW(PaymentSchedule3[[#Headers],[PMT NO]])&gt;ScheduledNumberOfPayments,"",ROW()-ROW(PaymentSchedule3[[#Headers],[PMT NO]])),"")</f>
        <v>118</v>
      </c>
      <c r="C129" s="20">
        <f>IF(PaymentSchedule3[[#This Row],[PMT NO]]&lt;&gt;"",EOMONTH(LoanStartDate,ROW(PaymentSchedule3[[#This Row],[PMT NO]])-ROW(PaymentSchedule3[[#Headers],[PMT NO]])-2)+DAY(LoanStartDate),"")</f>
        <v>47209</v>
      </c>
      <c r="D129" s="19">
        <f>IF(PaymentSchedule3[[#This Row],[PMT NO]]&lt;&gt;"",IF(ROW()-ROW(PaymentSchedule3[[#Headers],[BEGINNING BALANCE]])=1,LoanAmount,INDEX(PaymentSchedule3[ENDING BALANCE],ROW()-ROW(PaymentSchedule3[[#Headers],[BEGINNING BALANCE]])-1)),"")</f>
        <v>1758355.9568720714</v>
      </c>
      <c r="E129" s="19">
        <f>IF(PaymentSchedule3[[#This Row],[PMT NO]]&lt;&gt;"",ScheduledPayment,"")</f>
        <v>8358.7693880762818</v>
      </c>
      <c r="F12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2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29" s="19">
        <f>IF(PaymentSchedule3[[#This Row],[PMT NO]]&lt;&gt;"",PaymentSchedule3[[#This Row],[TOTAL PAYMENT]]-PaymentSchedule3[[#This Row],[INTEREST]],"")</f>
        <v>2497.5828651693764</v>
      </c>
      <c r="I129" s="19">
        <f>IF(PaymentSchedule3[[#This Row],[PMT NO]]&lt;&gt;"",PaymentSchedule3[[#This Row],[BEGINNING BALANCE]]*(InterestRate/PaymentsPerYear),"")</f>
        <v>5861.1865229069053</v>
      </c>
      <c r="J12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1755858.3740069021</v>
      </c>
      <c r="K129" s="19">
        <f>IF(PaymentSchedule3[[#This Row],[PMT NO]]&lt;&gt;"",SUM(INDEX(PaymentSchedule3[INTEREST],1,1):PaymentSchedule3[[#This Row],[INTEREST]]),"")</f>
        <v>742193.16179990268</v>
      </c>
    </row>
    <row r="130" spans="2:11" x14ac:dyDescent="0.3">
      <c r="B130" s="21">
        <f>IF(LoanIsGood,IF(ROW()-ROW(PaymentSchedule3[[#Headers],[PMT NO]])&gt;ScheduledNumberOfPayments,"",ROW()-ROW(PaymentSchedule3[[#Headers],[PMT NO]])),"")</f>
        <v>119</v>
      </c>
      <c r="C130" s="20">
        <f>IF(PaymentSchedule3[[#This Row],[PMT NO]]&lt;&gt;"",EOMONTH(LoanStartDate,ROW(PaymentSchedule3[[#This Row],[PMT NO]])-ROW(PaymentSchedule3[[#Headers],[PMT NO]])-2)+DAY(LoanStartDate),"")</f>
        <v>47239</v>
      </c>
      <c r="D130" s="19">
        <f>IF(PaymentSchedule3[[#This Row],[PMT NO]]&lt;&gt;"",IF(ROW()-ROW(PaymentSchedule3[[#Headers],[BEGINNING BALANCE]])=1,LoanAmount,INDEX(PaymentSchedule3[ENDING BALANCE],ROW()-ROW(PaymentSchedule3[[#Headers],[BEGINNING BALANCE]])-1)),"")</f>
        <v>1755858.3740069021</v>
      </c>
      <c r="E130" s="19">
        <f>IF(PaymentSchedule3[[#This Row],[PMT NO]]&lt;&gt;"",ScheduledPayment,"")</f>
        <v>8358.7693880762818</v>
      </c>
      <c r="F13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3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30" s="19">
        <f>IF(PaymentSchedule3[[#This Row],[PMT NO]]&lt;&gt;"",PaymentSchedule3[[#This Row],[TOTAL PAYMENT]]-PaymentSchedule3[[#This Row],[INTEREST]],"")</f>
        <v>2505.9081413866079</v>
      </c>
      <c r="I130" s="19">
        <f>IF(PaymentSchedule3[[#This Row],[PMT NO]]&lt;&gt;"",PaymentSchedule3[[#This Row],[BEGINNING BALANCE]]*(InterestRate/PaymentsPerYear),"")</f>
        <v>5852.8612466896739</v>
      </c>
      <c r="J13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1753352.4658655154</v>
      </c>
      <c r="K130" s="19">
        <f>IF(PaymentSchedule3[[#This Row],[PMT NO]]&lt;&gt;"",SUM(INDEX(PaymentSchedule3[INTEREST],1,1):PaymentSchedule3[[#This Row],[INTEREST]]),"")</f>
        <v>748046.02304659237</v>
      </c>
    </row>
    <row r="131" spans="2:11" x14ac:dyDescent="0.3">
      <c r="B131" s="21">
        <f>IF(LoanIsGood,IF(ROW()-ROW(PaymentSchedule3[[#Headers],[PMT NO]])&gt;ScheduledNumberOfPayments,"",ROW()-ROW(PaymentSchedule3[[#Headers],[PMT NO]])),"")</f>
        <v>120</v>
      </c>
      <c r="C131" s="20">
        <f>IF(PaymentSchedule3[[#This Row],[PMT NO]]&lt;&gt;"",EOMONTH(LoanStartDate,ROW(PaymentSchedule3[[#This Row],[PMT NO]])-ROW(PaymentSchedule3[[#Headers],[PMT NO]])-2)+DAY(LoanStartDate),"")</f>
        <v>47270</v>
      </c>
      <c r="D131" s="19">
        <f>IF(PaymentSchedule3[[#This Row],[PMT NO]]&lt;&gt;"",IF(ROW()-ROW(PaymentSchedule3[[#Headers],[BEGINNING BALANCE]])=1,LoanAmount,INDEX(PaymentSchedule3[ENDING BALANCE],ROW()-ROW(PaymentSchedule3[[#Headers],[BEGINNING BALANCE]])-1)),"")</f>
        <v>1753352.4658655154</v>
      </c>
      <c r="E131" s="19">
        <f>IF(PaymentSchedule3[[#This Row],[PMT NO]]&lt;&gt;"",ScheduledPayment,"")</f>
        <v>8358.7693880762818</v>
      </c>
      <c r="F13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3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31" s="19">
        <f>IF(PaymentSchedule3[[#This Row],[PMT NO]]&lt;&gt;"",PaymentSchedule3[[#This Row],[TOTAL PAYMENT]]-PaymentSchedule3[[#This Row],[INTEREST]],"")</f>
        <v>2514.2611685245638</v>
      </c>
      <c r="I131" s="19">
        <f>IF(PaymentSchedule3[[#This Row],[PMT NO]]&lt;&gt;"",PaymentSchedule3[[#This Row],[BEGINNING BALANCE]]*(InterestRate/PaymentsPerYear),"")</f>
        <v>5844.508219551718</v>
      </c>
      <c r="J13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1750838.2046969908</v>
      </c>
      <c r="K131" s="19">
        <f>IF(PaymentSchedule3[[#This Row],[PMT NO]]&lt;&gt;"",SUM(INDEX(PaymentSchedule3[INTEREST],1,1):PaymentSchedule3[[#This Row],[INTEREST]]),"")</f>
        <v>753890.53126614413</v>
      </c>
    </row>
    <row r="132" spans="2:11" x14ac:dyDescent="0.3">
      <c r="B132" s="21">
        <f>IF(LoanIsGood,IF(ROW()-ROW(PaymentSchedule3[[#Headers],[PMT NO]])&gt;ScheduledNumberOfPayments,"",ROW()-ROW(PaymentSchedule3[[#Headers],[PMT NO]])),"")</f>
        <v>121</v>
      </c>
      <c r="C132" s="20">
        <f>IF(PaymentSchedule3[[#This Row],[PMT NO]]&lt;&gt;"",EOMONTH(LoanStartDate,ROW(PaymentSchedule3[[#This Row],[PMT NO]])-ROW(PaymentSchedule3[[#Headers],[PMT NO]])-2)+DAY(LoanStartDate),"")</f>
        <v>47300</v>
      </c>
      <c r="D132" s="19">
        <f>IF(PaymentSchedule3[[#This Row],[PMT NO]]&lt;&gt;"",IF(ROW()-ROW(PaymentSchedule3[[#Headers],[BEGINNING BALANCE]])=1,LoanAmount,INDEX(PaymentSchedule3[ENDING BALANCE],ROW()-ROW(PaymentSchedule3[[#Headers],[BEGINNING BALANCE]])-1)),"")</f>
        <v>1750838.2046969908</v>
      </c>
      <c r="E132" s="19">
        <f>IF(PaymentSchedule3[[#This Row],[PMT NO]]&lt;&gt;"",ScheduledPayment,"")</f>
        <v>8358.7693880762818</v>
      </c>
      <c r="F13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3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32" s="19">
        <f>IF(PaymentSchedule3[[#This Row],[PMT NO]]&lt;&gt;"",PaymentSchedule3[[#This Row],[TOTAL PAYMENT]]-PaymentSchedule3[[#This Row],[INTEREST]],"")</f>
        <v>2522.6420390863123</v>
      </c>
      <c r="I132" s="19">
        <f>IF(PaymentSchedule3[[#This Row],[PMT NO]]&lt;&gt;"",PaymentSchedule3[[#This Row],[BEGINNING BALANCE]]*(InterestRate/PaymentsPerYear),"")</f>
        <v>5836.1273489899695</v>
      </c>
      <c r="J13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1748315.5626579046</v>
      </c>
      <c r="K132" s="19">
        <f>IF(PaymentSchedule3[[#This Row],[PMT NO]]&lt;&gt;"",SUM(INDEX(PaymentSchedule3[INTEREST],1,1):PaymentSchedule3[[#This Row],[INTEREST]]),"")</f>
        <v>759726.65861513407</v>
      </c>
    </row>
    <row r="133" spans="2:11" x14ac:dyDescent="0.3">
      <c r="B133" s="21">
        <f>IF(LoanIsGood,IF(ROW()-ROW(PaymentSchedule3[[#Headers],[PMT NO]])&gt;ScheduledNumberOfPayments,"",ROW()-ROW(PaymentSchedule3[[#Headers],[PMT NO]])),"")</f>
        <v>122</v>
      </c>
      <c r="C133" s="20">
        <f>IF(PaymentSchedule3[[#This Row],[PMT NO]]&lt;&gt;"",EOMONTH(LoanStartDate,ROW(PaymentSchedule3[[#This Row],[PMT NO]])-ROW(PaymentSchedule3[[#Headers],[PMT NO]])-2)+DAY(LoanStartDate),"")</f>
        <v>47331</v>
      </c>
      <c r="D133" s="19">
        <f>IF(PaymentSchedule3[[#This Row],[PMT NO]]&lt;&gt;"",IF(ROW()-ROW(PaymentSchedule3[[#Headers],[BEGINNING BALANCE]])=1,LoanAmount,INDEX(PaymentSchedule3[ENDING BALANCE],ROW()-ROW(PaymentSchedule3[[#Headers],[BEGINNING BALANCE]])-1)),"")</f>
        <v>1748315.5626579046</v>
      </c>
      <c r="E133" s="19">
        <f>IF(PaymentSchedule3[[#This Row],[PMT NO]]&lt;&gt;"",ScheduledPayment,"")</f>
        <v>8358.7693880762818</v>
      </c>
      <c r="F13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3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33" s="19">
        <f>IF(PaymentSchedule3[[#This Row],[PMT NO]]&lt;&gt;"",PaymentSchedule3[[#This Row],[TOTAL PAYMENT]]-PaymentSchedule3[[#This Row],[INTEREST]],"")</f>
        <v>2531.0508458832664</v>
      </c>
      <c r="I133" s="19">
        <f>IF(PaymentSchedule3[[#This Row],[PMT NO]]&lt;&gt;"",PaymentSchedule3[[#This Row],[BEGINNING BALANCE]]*(InterestRate/PaymentsPerYear),"")</f>
        <v>5827.7185421930153</v>
      </c>
      <c r="J13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1745784.5118120213</v>
      </c>
      <c r="K133" s="19">
        <f>IF(PaymentSchedule3[[#This Row],[PMT NO]]&lt;&gt;"",SUM(INDEX(PaymentSchedule3[INTEREST],1,1):PaymentSchedule3[[#This Row],[INTEREST]]),"")</f>
        <v>765554.37715732714</v>
      </c>
    </row>
    <row r="134" spans="2:11" x14ac:dyDescent="0.3">
      <c r="B134" s="21">
        <f>IF(LoanIsGood,IF(ROW()-ROW(PaymentSchedule3[[#Headers],[PMT NO]])&gt;ScheduledNumberOfPayments,"",ROW()-ROW(PaymentSchedule3[[#Headers],[PMT NO]])),"")</f>
        <v>123</v>
      </c>
      <c r="C134" s="20">
        <f>IF(PaymentSchedule3[[#This Row],[PMT NO]]&lt;&gt;"",EOMONTH(LoanStartDate,ROW(PaymentSchedule3[[#This Row],[PMT NO]])-ROW(PaymentSchedule3[[#Headers],[PMT NO]])-2)+DAY(LoanStartDate),"")</f>
        <v>47362</v>
      </c>
      <c r="D134" s="19">
        <f>IF(PaymentSchedule3[[#This Row],[PMT NO]]&lt;&gt;"",IF(ROW()-ROW(PaymentSchedule3[[#Headers],[BEGINNING BALANCE]])=1,LoanAmount,INDEX(PaymentSchedule3[ENDING BALANCE],ROW()-ROW(PaymentSchedule3[[#Headers],[BEGINNING BALANCE]])-1)),"")</f>
        <v>1745784.5118120213</v>
      </c>
      <c r="E134" s="19">
        <f>IF(PaymentSchedule3[[#This Row],[PMT NO]]&lt;&gt;"",ScheduledPayment,"")</f>
        <v>8358.7693880762818</v>
      </c>
      <c r="F13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3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34" s="19">
        <f>IF(PaymentSchedule3[[#This Row],[PMT NO]]&lt;&gt;"",PaymentSchedule3[[#This Row],[TOTAL PAYMENT]]-PaymentSchedule3[[#This Row],[INTEREST]],"")</f>
        <v>2539.4876820362106</v>
      </c>
      <c r="I134" s="19">
        <f>IF(PaymentSchedule3[[#This Row],[PMT NO]]&lt;&gt;"",PaymentSchedule3[[#This Row],[BEGINNING BALANCE]]*(InterestRate/PaymentsPerYear),"")</f>
        <v>5819.2817060400712</v>
      </c>
      <c r="J13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1743245.0241299851</v>
      </c>
      <c r="K134" s="19">
        <f>IF(PaymentSchedule3[[#This Row],[PMT NO]]&lt;&gt;"",SUM(INDEX(PaymentSchedule3[INTEREST],1,1):PaymentSchedule3[[#This Row],[INTEREST]]),"")</f>
        <v>771373.65886336716</v>
      </c>
    </row>
    <row r="135" spans="2:11" x14ac:dyDescent="0.3">
      <c r="B135" s="21">
        <f>IF(LoanIsGood,IF(ROW()-ROW(PaymentSchedule3[[#Headers],[PMT NO]])&gt;ScheduledNumberOfPayments,"",ROW()-ROW(PaymentSchedule3[[#Headers],[PMT NO]])),"")</f>
        <v>124</v>
      </c>
      <c r="C135" s="20">
        <f>IF(PaymentSchedule3[[#This Row],[PMT NO]]&lt;&gt;"",EOMONTH(LoanStartDate,ROW(PaymentSchedule3[[#This Row],[PMT NO]])-ROW(PaymentSchedule3[[#Headers],[PMT NO]])-2)+DAY(LoanStartDate),"")</f>
        <v>47392</v>
      </c>
      <c r="D135" s="19">
        <f>IF(PaymentSchedule3[[#This Row],[PMT NO]]&lt;&gt;"",IF(ROW()-ROW(PaymentSchedule3[[#Headers],[BEGINNING BALANCE]])=1,LoanAmount,INDEX(PaymentSchedule3[ENDING BALANCE],ROW()-ROW(PaymentSchedule3[[#Headers],[BEGINNING BALANCE]])-1)),"")</f>
        <v>1743245.0241299851</v>
      </c>
      <c r="E135" s="19">
        <f>IF(PaymentSchedule3[[#This Row],[PMT NO]]&lt;&gt;"",ScheduledPayment,"")</f>
        <v>8358.7693880762818</v>
      </c>
      <c r="F13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3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35" s="19">
        <f>IF(PaymentSchedule3[[#This Row],[PMT NO]]&lt;&gt;"",PaymentSchedule3[[#This Row],[TOTAL PAYMENT]]-PaymentSchedule3[[#This Row],[INTEREST]],"")</f>
        <v>2547.9526409763312</v>
      </c>
      <c r="I135" s="19">
        <f>IF(PaymentSchedule3[[#This Row],[PMT NO]]&lt;&gt;"",PaymentSchedule3[[#This Row],[BEGINNING BALANCE]]*(InterestRate/PaymentsPerYear),"")</f>
        <v>5810.8167470999506</v>
      </c>
      <c r="J13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1740697.0714890088</v>
      </c>
      <c r="K135" s="19">
        <f>IF(PaymentSchedule3[[#This Row],[PMT NO]]&lt;&gt;"",SUM(INDEX(PaymentSchedule3[INTEREST],1,1):PaymentSchedule3[[#This Row],[INTEREST]]),"")</f>
        <v>777184.47561046714</v>
      </c>
    </row>
    <row r="136" spans="2:11" x14ac:dyDescent="0.3">
      <c r="B136" s="21">
        <f>IF(LoanIsGood,IF(ROW()-ROW(PaymentSchedule3[[#Headers],[PMT NO]])&gt;ScheduledNumberOfPayments,"",ROW()-ROW(PaymentSchedule3[[#Headers],[PMT NO]])),"")</f>
        <v>125</v>
      </c>
      <c r="C136" s="20">
        <f>IF(PaymentSchedule3[[#This Row],[PMT NO]]&lt;&gt;"",EOMONTH(LoanStartDate,ROW(PaymentSchedule3[[#This Row],[PMT NO]])-ROW(PaymentSchedule3[[#Headers],[PMT NO]])-2)+DAY(LoanStartDate),"")</f>
        <v>47423</v>
      </c>
      <c r="D136" s="19">
        <f>IF(PaymentSchedule3[[#This Row],[PMT NO]]&lt;&gt;"",IF(ROW()-ROW(PaymentSchedule3[[#Headers],[BEGINNING BALANCE]])=1,LoanAmount,INDEX(PaymentSchedule3[ENDING BALANCE],ROW()-ROW(PaymentSchedule3[[#Headers],[BEGINNING BALANCE]])-1)),"")</f>
        <v>1740697.0714890088</v>
      </c>
      <c r="E136" s="19">
        <f>IF(PaymentSchedule3[[#This Row],[PMT NO]]&lt;&gt;"",ScheduledPayment,"")</f>
        <v>8358.7693880762818</v>
      </c>
      <c r="F13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3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36" s="19">
        <f>IF(PaymentSchedule3[[#This Row],[PMT NO]]&lt;&gt;"",PaymentSchedule3[[#This Row],[TOTAL PAYMENT]]-PaymentSchedule3[[#This Row],[INTEREST]],"")</f>
        <v>2556.4458164462521</v>
      </c>
      <c r="I136" s="19">
        <f>IF(PaymentSchedule3[[#This Row],[PMT NO]]&lt;&gt;"",PaymentSchedule3[[#This Row],[BEGINNING BALANCE]]*(InterestRate/PaymentsPerYear),"")</f>
        <v>5802.3235716300296</v>
      </c>
      <c r="J13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1738140.6256725625</v>
      </c>
      <c r="K136" s="19">
        <f>IF(PaymentSchedule3[[#This Row],[PMT NO]]&lt;&gt;"",SUM(INDEX(PaymentSchedule3[INTEREST],1,1):PaymentSchedule3[[#This Row],[INTEREST]]),"")</f>
        <v>782986.79918209719</v>
      </c>
    </row>
    <row r="137" spans="2:11" x14ac:dyDescent="0.3">
      <c r="B137" s="21">
        <f>IF(LoanIsGood,IF(ROW()-ROW(PaymentSchedule3[[#Headers],[PMT NO]])&gt;ScheduledNumberOfPayments,"",ROW()-ROW(PaymentSchedule3[[#Headers],[PMT NO]])),"")</f>
        <v>126</v>
      </c>
      <c r="C137" s="20">
        <f>IF(PaymentSchedule3[[#This Row],[PMT NO]]&lt;&gt;"",EOMONTH(LoanStartDate,ROW(PaymentSchedule3[[#This Row],[PMT NO]])-ROW(PaymentSchedule3[[#Headers],[PMT NO]])-2)+DAY(LoanStartDate),"")</f>
        <v>47453</v>
      </c>
      <c r="D137" s="19">
        <f>IF(PaymentSchedule3[[#This Row],[PMT NO]]&lt;&gt;"",IF(ROW()-ROW(PaymentSchedule3[[#Headers],[BEGINNING BALANCE]])=1,LoanAmount,INDEX(PaymentSchedule3[ENDING BALANCE],ROW()-ROW(PaymentSchedule3[[#Headers],[BEGINNING BALANCE]])-1)),"")</f>
        <v>1738140.6256725625</v>
      </c>
      <c r="E137" s="19">
        <f>IF(PaymentSchedule3[[#This Row],[PMT NO]]&lt;&gt;"",ScheduledPayment,"")</f>
        <v>8358.7693880762818</v>
      </c>
      <c r="F13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3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37" s="19">
        <f>IF(PaymentSchedule3[[#This Row],[PMT NO]]&lt;&gt;"",PaymentSchedule3[[#This Row],[TOTAL PAYMENT]]-PaymentSchedule3[[#This Row],[INTEREST]],"")</f>
        <v>2564.9673025010734</v>
      </c>
      <c r="I137" s="19">
        <f>IF(PaymentSchedule3[[#This Row],[PMT NO]]&lt;&gt;"",PaymentSchedule3[[#This Row],[BEGINNING BALANCE]]*(InterestRate/PaymentsPerYear),"")</f>
        <v>5793.8020855752084</v>
      </c>
      <c r="J13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1735575.6583700615</v>
      </c>
      <c r="K137" s="19">
        <f>IF(PaymentSchedule3[[#This Row],[PMT NO]]&lt;&gt;"",SUM(INDEX(PaymentSchedule3[INTEREST],1,1):PaymentSchedule3[[#This Row],[INTEREST]]),"")</f>
        <v>788780.60126767238</v>
      </c>
    </row>
    <row r="138" spans="2:11" x14ac:dyDescent="0.3">
      <c r="B138" s="21">
        <f>IF(LoanIsGood,IF(ROW()-ROW(PaymentSchedule3[[#Headers],[PMT NO]])&gt;ScheduledNumberOfPayments,"",ROW()-ROW(PaymentSchedule3[[#Headers],[PMT NO]])),"")</f>
        <v>127</v>
      </c>
      <c r="C138" s="20">
        <f>IF(PaymentSchedule3[[#This Row],[PMT NO]]&lt;&gt;"",EOMONTH(LoanStartDate,ROW(PaymentSchedule3[[#This Row],[PMT NO]])-ROW(PaymentSchedule3[[#Headers],[PMT NO]])-2)+DAY(LoanStartDate),"")</f>
        <v>47484</v>
      </c>
      <c r="D138" s="19">
        <f>IF(PaymentSchedule3[[#This Row],[PMT NO]]&lt;&gt;"",IF(ROW()-ROW(PaymentSchedule3[[#Headers],[BEGINNING BALANCE]])=1,LoanAmount,INDEX(PaymentSchedule3[ENDING BALANCE],ROW()-ROW(PaymentSchedule3[[#Headers],[BEGINNING BALANCE]])-1)),"")</f>
        <v>1735575.6583700615</v>
      </c>
      <c r="E138" s="19">
        <f>IF(PaymentSchedule3[[#This Row],[PMT NO]]&lt;&gt;"",ScheduledPayment,"")</f>
        <v>8358.7693880762818</v>
      </c>
      <c r="F13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3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38" s="19">
        <f>IF(PaymentSchedule3[[#This Row],[PMT NO]]&lt;&gt;"",PaymentSchedule3[[#This Row],[TOTAL PAYMENT]]-PaymentSchedule3[[#This Row],[INTEREST]],"")</f>
        <v>2573.5171935094095</v>
      </c>
      <c r="I138" s="19">
        <f>IF(PaymentSchedule3[[#This Row],[PMT NO]]&lt;&gt;"",PaymentSchedule3[[#This Row],[BEGINNING BALANCE]]*(InterestRate/PaymentsPerYear),"")</f>
        <v>5785.2521945668723</v>
      </c>
      <c r="J13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1733002.141176552</v>
      </c>
      <c r="K138" s="19">
        <f>IF(PaymentSchedule3[[#This Row],[PMT NO]]&lt;&gt;"",SUM(INDEX(PaymentSchedule3[INTEREST],1,1):PaymentSchedule3[[#This Row],[INTEREST]]),"")</f>
        <v>794565.85346223926</v>
      </c>
    </row>
    <row r="139" spans="2:11" x14ac:dyDescent="0.3">
      <c r="B139" s="21">
        <f>IF(LoanIsGood,IF(ROW()-ROW(PaymentSchedule3[[#Headers],[PMT NO]])&gt;ScheduledNumberOfPayments,"",ROW()-ROW(PaymentSchedule3[[#Headers],[PMT NO]])),"")</f>
        <v>128</v>
      </c>
      <c r="C139" s="20">
        <f>IF(PaymentSchedule3[[#This Row],[PMT NO]]&lt;&gt;"",EOMONTH(LoanStartDate,ROW(PaymentSchedule3[[#This Row],[PMT NO]])-ROW(PaymentSchedule3[[#Headers],[PMT NO]])-2)+DAY(LoanStartDate),"")</f>
        <v>47515</v>
      </c>
      <c r="D139" s="19">
        <f>IF(PaymentSchedule3[[#This Row],[PMT NO]]&lt;&gt;"",IF(ROW()-ROW(PaymentSchedule3[[#Headers],[BEGINNING BALANCE]])=1,LoanAmount,INDEX(PaymentSchedule3[ENDING BALANCE],ROW()-ROW(PaymentSchedule3[[#Headers],[BEGINNING BALANCE]])-1)),"")</f>
        <v>1733002.141176552</v>
      </c>
      <c r="E139" s="19">
        <f>IF(PaymentSchedule3[[#This Row],[PMT NO]]&lt;&gt;"",ScheduledPayment,"")</f>
        <v>8358.7693880762818</v>
      </c>
      <c r="F13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3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39" s="19">
        <f>IF(PaymentSchedule3[[#This Row],[PMT NO]]&lt;&gt;"",PaymentSchedule3[[#This Row],[TOTAL PAYMENT]]-PaymentSchedule3[[#This Row],[INTEREST]],"")</f>
        <v>2582.095584154441</v>
      </c>
      <c r="I139" s="19">
        <f>IF(PaymentSchedule3[[#This Row],[PMT NO]]&lt;&gt;"",PaymentSchedule3[[#This Row],[BEGINNING BALANCE]]*(InterestRate/PaymentsPerYear),"")</f>
        <v>5776.6738039218408</v>
      </c>
      <c r="J13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1730420.0455923977</v>
      </c>
      <c r="K139" s="19">
        <f>IF(PaymentSchedule3[[#This Row],[PMT NO]]&lt;&gt;"",SUM(INDEX(PaymentSchedule3[INTEREST],1,1):PaymentSchedule3[[#This Row],[INTEREST]]),"")</f>
        <v>800342.52726616105</v>
      </c>
    </row>
    <row r="140" spans="2:11" x14ac:dyDescent="0.3">
      <c r="B140" s="21">
        <f>IF(LoanIsGood,IF(ROW()-ROW(PaymentSchedule3[[#Headers],[PMT NO]])&gt;ScheduledNumberOfPayments,"",ROW()-ROW(PaymentSchedule3[[#Headers],[PMT NO]])),"")</f>
        <v>129</v>
      </c>
      <c r="C140" s="20">
        <f>IF(PaymentSchedule3[[#This Row],[PMT NO]]&lt;&gt;"",EOMONTH(LoanStartDate,ROW(PaymentSchedule3[[#This Row],[PMT NO]])-ROW(PaymentSchedule3[[#Headers],[PMT NO]])-2)+DAY(LoanStartDate),"")</f>
        <v>47543</v>
      </c>
      <c r="D140" s="19">
        <f>IF(PaymentSchedule3[[#This Row],[PMT NO]]&lt;&gt;"",IF(ROW()-ROW(PaymentSchedule3[[#Headers],[BEGINNING BALANCE]])=1,LoanAmount,INDEX(PaymentSchedule3[ENDING BALANCE],ROW()-ROW(PaymentSchedule3[[#Headers],[BEGINNING BALANCE]])-1)),"")</f>
        <v>1730420.0455923977</v>
      </c>
      <c r="E140" s="19">
        <f>IF(PaymentSchedule3[[#This Row],[PMT NO]]&lt;&gt;"",ScheduledPayment,"")</f>
        <v>8358.7693880762818</v>
      </c>
      <c r="F14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4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40" s="19">
        <f>IF(PaymentSchedule3[[#This Row],[PMT NO]]&lt;&gt;"",PaymentSchedule3[[#This Row],[TOTAL PAYMENT]]-PaymentSchedule3[[#This Row],[INTEREST]],"")</f>
        <v>2590.7025694349559</v>
      </c>
      <c r="I140" s="19">
        <f>IF(PaymentSchedule3[[#This Row],[PMT NO]]&lt;&gt;"",PaymentSchedule3[[#This Row],[BEGINNING BALANCE]]*(InterestRate/PaymentsPerYear),"")</f>
        <v>5768.0668186413259</v>
      </c>
      <c r="J14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1727829.3430229628</v>
      </c>
      <c r="K140" s="19">
        <f>IF(PaymentSchedule3[[#This Row],[PMT NO]]&lt;&gt;"",SUM(INDEX(PaymentSchedule3[INTEREST],1,1):PaymentSchedule3[[#This Row],[INTEREST]]),"")</f>
        <v>806110.59408480243</v>
      </c>
    </row>
    <row r="141" spans="2:11" x14ac:dyDescent="0.3">
      <c r="B141" s="21">
        <f>IF(LoanIsGood,IF(ROW()-ROW(PaymentSchedule3[[#Headers],[PMT NO]])&gt;ScheduledNumberOfPayments,"",ROW()-ROW(PaymentSchedule3[[#Headers],[PMT NO]])),"")</f>
        <v>130</v>
      </c>
      <c r="C141" s="20">
        <f>IF(PaymentSchedule3[[#This Row],[PMT NO]]&lt;&gt;"",EOMONTH(LoanStartDate,ROW(PaymentSchedule3[[#This Row],[PMT NO]])-ROW(PaymentSchedule3[[#Headers],[PMT NO]])-2)+DAY(LoanStartDate),"")</f>
        <v>47574</v>
      </c>
      <c r="D141" s="19">
        <f>IF(PaymentSchedule3[[#This Row],[PMT NO]]&lt;&gt;"",IF(ROW()-ROW(PaymentSchedule3[[#Headers],[BEGINNING BALANCE]])=1,LoanAmount,INDEX(PaymentSchedule3[ENDING BALANCE],ROW()-ROW(PaymentSchedule3[[#Headers],[BEGINNING BALANCE]])-1)),"")</f>
        <v>1727829.3430229628</v>
      </c>
      <c r="E141" s="19">
        <f>IF(PaymentSchedule3[[#This Row],[PMT NO]]&lt;&gt;"",ScheduledPayment,"")</f>
        <v>8358.7693880762818</v>
      </c>
      <c r="F14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4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41" s="19">
        <f>IF(PaymentSchedule3[[#This Row],[PMT NO]]&lt;&gt;"",PaymentSchedule3[[#This Row],[TOTAL PAYMENT]]-PaymentSchedule3[[#This Row],[INTEREST]],"")</f>
        <v>2599.3382446664054</v>
      </c>
      <c r="I141" s="19">
        <f>IF(PaymentSchedule3[[#This Row],[PMT NO]]&lt;&gt;"",PaymentSchedule3[[#This Row],[BEGINNING BALANCE]]*(InterestRate/PaymentsPerYear),"")</f>
        <v>5759.4311434098763</v>
      </c>
      <c r="J14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1725230.0047782965</v>
      </c>
      <c r="K141" s="19">
        <f>IF(PaymentSchedule3[[#This Row],[PMT NO]]&lt;&gt;"",SUM(INDEX(PaymentSchedule3[INTEREST],1,1):PaymentSchedule3[[#This Row],[INTEREST]]),"")</f>
        <v>811870.02522821235</v>
      </c>
    </row>
    <row r="142" spans="2:11" x14ac:dyDescent="0.3">
      <c r="B142" s="21">
        <f>IF(LoanIsGood,IF(ROW()-ROW(PaymentSchedule3[[#Headers],[PMT NO]])&gt;ScheduledNumberOfPayments,"",ROW()-ROW(PaymentSchedule3[[#Headers],[PMT NO]])),"")</f>
        <v>131</v>
      </c>
      <c r="C142" s="20">
        <f>IF(PaymentSchedule3[[#This Row],[PMT NO]]&lt;&gt;"",EOMONTH(LoanStartDate,ROW(PaymentSchedule3[[#This Row],[PMT NO]])-ROW(PaymentSchedule3[[#Headers],[PMT NO]])-2)+DAY(LoanStartDate),"")</f>
        <v>47604</v>
      </c>
      <c r="D142" s="19">
        <f>IF(PaymentSchedule3[[#This Row],[PMT NO]]&lt;&gt;"",IF(ROW()-ROW(PaymentSchedule3[[#Headers],[BEGINNING BALANCE]])=1,LoanAmount,INDEX(PaymentSchedule3[ENDING BALANCE],ROW()-ROW(PaymentSchedule3[[#Headers],[BEGINNING BALANCE]])-1)),"")</f>
        <v>1725230.0047782965</v>
      </c>
      <c r="E142" s="19">
        <f>IF(PaymentSchedule3[[#This Row],[PMT NO]]&lt;&gt;"",ScheduledPayment,"")</f>
        <v>8358.7693880762818</v>
      </c>
      <c r="F14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4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42" s="19">
        <f>IF(PaymentSchedule3[[#This Row],[PMT NO]]&lt;&gt;"",PaymentSchedule3[[#This Row],[TOTAL PAYMENT]]-PaymentSchedule3[[#This Row],[INTEREST]],"")</f>
        <v>2608.0027054819602</v>
      </c>
      <c r="I142" s="19">
        <f>IF(PaymentSchedule3[[#This Row],[PMT NO]]&lt;&gt;"",PaymentSchedule3[[#This Row],[BEGINNING BALANCE]]*(InterestRate/PaymentsPerYear),"")</f>
        <v>5750.7666825943215</v>
      </c>
      <c r="J14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1722622.0020728144</v>
      </c>
      <c r="K142" s="19">
        <f>IF(PaymentSchedule3[[#This Row],[PMT NO]]&lt;&gt;"",SUM(INDEX(PaymentSchedule3[INTEREST],1,1):PaymentSchedule3[[#This Row],[INTEREST]]),"")</f>
        <v>817620.79191080667</v>
      </c>
    </row>
    <row r="143" spans="2:11" x14ac:dyDescent="0.3">
      <c r="B143" s="21">
        <f>IF(LoanIsGood,IF(ROW()-ROW(PaymentSchedule3[[#Headers],[PMT NO]])&gt;ScheduledNumberOfPayments,"",ROW()-ROW(PaymentSchedule3[[#Headers],[PMT NO]])),"")</f>
        <v>132</v>
      </c>
      <c r="C143" s="20">
        <f>IF(PaymentSchedule3[[#This Row],[PMT NO]]&lt;&gt;"",EOMONTH(LoanStartDate,ROW(PaymentSchedule3[[#This Row],[PMT NO]])-ROW(PaymentSchedule3[[#Headers],[PMT NO]])-2)+DAY(LoanStartDate),"")</f>
        <v>47635</v>
      </c>
      <c r="D143" s="19">
        <f>IF(PaymentSchedule3[[#This Row],[PMT NO]]&lt;&gt;"",IF(ROW()-ROW(PaymentSchedule3[[#Headers],[BEGINNING BALANCE]])=1,LoanAmount,INDEX(PaymentSchedule3[ENDING BALANCE],ROW()-ROW(PaymentSchedule3[[#Headers],[BEGINNING BALANCE]])-1)),"")</f>
        <v>1722622.0020728144</v>
      </c>
      <c r="E143" s="19">
        <f>IF(PaymentSchedule3[[#This Row],[PMT NO]]&lt;&gt;"",ScheduledPayment,"")</f>
        <v>8358.7693880762818</v>
      </c>
      <c r="F14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4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43" s="19">
        <f>IF(PaymentSchedule3[[#This Row],[PMT NO]]&lt;&gt;"",PaymentSchedule3[[#This Row],[TOTAL PAYMENT]]-PaymentSchedule3[[#This Row],[INTEREST]],"")</f>
        <v>2616.6960478335668</v>
      </c>
      <c r="I143" s="19">
        <f>IF(PaymentSchedule3[[#This Row],[PMT NO]]&lt;&gt;"",PaymentSchedule3[[#This Row],[BEGINNING BALANCE]]*(InterestRate/PaymentsPerYear),"")</f>
        <v>5742.0733402427149</v>
      </c>
      <c r="J14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1720005.3060249807</v>
      </c>
      <c r="K143" s="19">
        <f>IF(PaymentSchedule3[[#This Row],[PMT NO]]&lt;&gt;"",SUM(INDEX(PaymentSchedule3[INTEREST],1,1):PaymentSchedule3[[#This Row],[INTEREST]]),"")</f>
        <v>823362.8652510494</v>
      </c>
    </row>
    <row r="144" spans="2:11" x14ac:dyDescent="0.3">
      <c r="B144" s="21">
        <f>IF(LoanIsGood,IF(ROW()-ROW(PaymentSchedule3[[#Headers],[PMT NO]])&gt;ScheduledNumberOfPayments,"",ROW()-ROW(PaymentSchedule3[[#Headers],[PMT NO]])),"")</f>
        <v>133</v>
      </c>
      <c r="C144" s="20">
        <f>IF(PaymentSchedule3[[#This Row],[PMT NO]]&lt;&gt;"",EOMONTH(LoanStartDate,ROW(PaymentSchedule3[[#This Row],[PMT NO]])-ROW(PaymentSchedule3[[#Headers],[PMT NO]])-2)+DAY(LoanStartDate),"")</f>
        <v>47665</v>
      </c>
      <c r="D144" s="19">
        <f>IF(PaymentSchedule3[[#This Row],[PMT NO]]&lt;&gt;"",IF(ROW()-ROW(PaymentSchedule3[[#Headers],[BEGINNING BALANCE]])=1,LoanAmount,INDEX(PaymentSchedule3[ENDING BALANCE],ROW()-ROW(PaymentSchedule3[[#Headers],[BEGINNING BALANCE]])-1)),"")</f>
        <v>1720005.3060249807</v>
      </c>
      <c r="E144" s="19">
        <f>IF(PaymentSchedule3[[#This Row],[PMT NO]]&lt;&gt;"",ScheduledPayment,"")</f>
        <v>8358.7693880762818</v>
      </c>
      <c r="F14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4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44" s="19">
        <f>IF(PaymentSchedule3[[#This Row],[PMT NO]]&lt;&gt;"",PaymentSchedule3[[#This Row],[TOTAL PAYMENT]]-PaymentSchedule3[[#This Row],[INTEREST]],"")</f>
        <v>2625.418367993012</v>
      </c>
      <c r="I144" s="19">
        <f>IF(PaymentSchedule3[[#This Row],[PMT NO]]&lt;&gt;"",PaymentSchedule3[[#This Row],[BEGINNING BALANCE]]*(InterestRate/PaymentsPerYear),"")</f>
        <v>5733.3510200832698</v>
      </c>
      <c r="J14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1717379.8876569876</v>
      </c>
      <c r="K144" s="19">
        <f>IF(PaymentSchedule3[[#This Row],[PMT NO]]&lt;&gt;"",SUM(INDEX(PaymentSchedule3[INTEREST],1,1):PaymentSchedule3[[#This Row],[INTEREST]]),"")</f>
        <v>829096.2162711327</v>
      </c>
    </row>
    <row r="145" spans="2:11" x14ac:dyDescent="0.3">
      <c r="B145" s="21">
        <f>IF(LoanIsGood,IF(ROW()-ROW(PaymentSchedule3[[#Headers],[PMT NO]])&gt;ScheduledNumberOfPayments,"",ROW()-ROW(PaymentSchedule3[[#Headers],[PMT NO]])),"")</f>
        <v>134</v>
      </c>
      <c r="C145" s="20">
        <f>IF(PaymentSchedule3[[#This Row],[PMT NO]]&lt;&gt;"",EOMONTH(LoanStartDate,ROW(PaymentSchedule3[[#This Row],[PMT NO]])-ROW(PaymentSchedule3[[#Headers],[PMT NO]])-2)+DAY(LoanStartDate),"")</f>
        <v>47696</v>
      </c>
      <c r="D145" s="19">
        <f>IF(PaymentSchedule3[[#This Row],[PMT NO]]&lt;&gt;"",IF(ROW()-ROW(PaymentSchedule3[[#Headers],[BEGINNING BALANCE]])=1,LoanAmount,INDEX(PaymentSchedule3[ENDING BALANCE],ROW()-ROW(PaymentSchedule3[[#Headers],[BEGINNING BALANCE]])-1)),"")</f>
        <v>1717379.8876569876</v>
      </c>
      <c r="E145" s="19">
        <f>IF(PaymentSchedule3[[#This Row],[PMT NO]]&lt;&gt;"",ScheduledPayment,"")</f>
        <v>8358.7693880762818</v>
      </c>
      <c r="F14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4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45" s="19">
        <f>IF(PaymentSchedule3[[#This Row],[PMT NO]]&lt;&gt;"",PaymentSchedule3[[#This Row],[TOTAL PAYMENT]]-PaymentSchedule3[[#This Row],[INTEREST]],"")</f>
        <v>2634.1697625529896</v>
      </c>
      <c r="I145" s="19">
        <f>IF(PaymentSchedule3[[#This Row],[PMT NO]]&lt;&gt;"",PaymentSchedule3[[#This Row],[BEGINNING BALANCE]]*(InterestRate/PaymentsPerYear),"")</f>
        <v>5724.5996255232922</v>
      </c>
      <c r="J14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1714745.7178944347</v>
      </c>
      <c r="K145" s="19">
        <f>IF(PaymentSchedule3[[#This Row],[PMT NO]]&lt;&gt;"",SUM(INDEX(PaymentSchedule3[INTEREST],1,1):PaymentSchedule3[[#This Row],[INTEREST]]),"")</f>
        <v>834820.81589665601</v>
      </c>
    </row>
    <row r="146" spans="2:11" x14ac:dyDescent="0.3">
      <c r="B146" s="21">
        <f>IF(LoanIsGood,IF(ROW()-ROW(PaymentSchedule3[[#Headers],[PMT NO]])&gt;ScheduledNumberOfPayments,"",ROW()-ROW(PaymentSchedule3[[#Headers],[PMT NO]])),"")</f>
        <v>135</v>
      </c>
      <c r="C146" s="20">
        <f>IF(PaymentSchedule3[[#This Row],[PMT NO]]&lt;&gt;"",EOMONTH(LoanStartDate,ROW(PaymentSchedule3[[#This Row],[PMT NO]])-ROW(PaymentSchedule3[[#Headers],[PMT NO]])-2)+DAY(LoanStartDate),"")</f>
        <v>47727</v>
      </c>
      <c r="D146" s="19">
        <f>IF(PaymentSchedule3[[#This Row],[PMT NO]]&lt;&gt;"",IF(ROW()-ROW(PaymentSchedule3[[#Headers],[BEGINNING BALANCE]])=1,LoanAmount,INDEX(PaymentSchedule3[ENDING BALANCE],ROW()-ROW(PaymentSchedule3[[#Headers],[BEGINNING BALANCE]])-1)),"")</f>
        <v>1714745.7178944347</v>
      </c>
      <c r="E146" s="19">
        <f>IF(PaymentSchedule3[[#This Row],[PMT NO]]&lt;&gt;"",ScheduledPayment,"")</f>
        <v>8358.7693880762818</v>
      </c>
      <c r="F14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4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46" s="19">
        <f>IF(PaymentSchedule3[[#This Row],[PMT NO]]&lt;&gt;"",PaymentSchedule3[[#This Row],[TOTAL PAYMENT]]-PaymentSchedule3[[#This Row],[INTEREST]],"")</f>
        <v>2642.9503284281654</v>
      </c>
      <c r="I146" s="19">
        <f>IF(PaymentSchedule3[[#This Row],[PMT NO]]&lt;&gt;"",PaymentSchedule3[[#This Row],[BEGINNING BALANCE]]*(InterestRate/PaymentsPerYear),"")</f>
        <v>5715.8190596481163</v>
      </c>
      <c r="J14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1712102.7675660066</v>
      </c>
      <c r="K146" s="19">
        <f>IF(PaymentSchedule3[[#This Row],[PMT NO]]&lt;&gt;"",SUM(INDEX(PaymentSchedule3[INTEREST],1,1):PaymentSchedule3[[#This Row],[INTEREST]]),"")</f>
        <v>840536.6349563041</v>
      </c>
    </row>
    <row r="147" spans="2:11" x14ac:dyDescent="0.3">
      <c r="B147" s="21">
        <f>IF(LoanIsGood,IF(ROW()-ROW(PaymentSchedule3[[#Headers],[PMT NO]])&gt;ScheduledNumberOfPayments,"",ROW()-ROW(PaymentSchedule3[[#Headers],[PMT NO]])),"")</f>
        <v>136</v>
      </c>
      <c r="C147" s="20">
        <f>IF(PaymentSchedule3[[#This Row],[PMT NO]]&lt;&gt;"",EOMONTH(LoanStartDate,ROW(PaymentSchedule3[[#This Row],[PMT NO]])-ROW(PaymentSchedule3[[#Headers],[PMT NO]])-2)+DAY(LoanStartDate),"")</f>
        <v>47757</v>
      </c>
      <c r="D147" s="19">
        <f>IF(PaymentSchedule3[[#This Row],[PMT NO]]&lt;&gt;"",IF(ROW()-ROW(PaymentSchedule3[[#Headers],[BEGINNING BALANCE]])=1,LoanAmount,INDEX(PaymentSchedule3[ENDING BALANCE],ROW()-ROW(PaymentSchedule3[[#Headers],[BEGINNING BALANCE]])-1)),"")</f>
        <v>1712102.7675660066</v>
      </c>
      <c r="E147" s="19">
        <f>IF(PaymentSchedule3[[#This Row],[PMT NO]]&lt;&gt;"",ScheduledPayment,"")</f>
        <v>8358.7693880762818</v>
      </c>
      <c r="F14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4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47" s="19">
        <f>IF(PaymentSchedule3[[#This Row],[PMT NO]]&lt;&gt;"",PaymentSchedule3[[#This Row],[TOTAL PAYMENT]]-PaymentSchedule3[[#This Row],[INTEREST]],"")</f>
        <v>2651.7601628562597</v>
      </c>
      <c r="I147" s="19">
        <f>IF(PaymentSchedule3[[#This Row],[PMT NO]]&lt;&gt;"",PaymentSchedule3[[#This Row],[BEGINNING BALANCE]]*(InterestRate/PaymentsPerYear),"")</f>
        <v>5707.009225220022</v>
      </c>
      <c r="J14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1709451.0074031504</v>
      </c>
      <c r="K147" s="19">
        <f>IF(PaymentSchedule3[[#This Row],[PMT NO]]&lt;&gt;"",SUM(INDEX(PaymentSchedule3[INTEREST],1,1):PaymentSchedule3[[#This Row],[INTEREST]]),"")</f>
        <v>846243.64418152417</v>
      </c>
    </row>
    <row r="148" spans="2:11" x14ac:dyDescent="0.3">
      <c r="B148" s="21">
        <f>IF(LoanIsGood,IF(ROW()-ROW(PaymentSchedule3[[#Headers],[PMT NO]])&gt;ScheduledNumberOfPayments,"",ROW()-ROW(PaymentSchedule3[[#Headers],[PMT NO]])),"")</f>
        <v>137</v>
      </c>
      <c r="C148" s="20">
        <f>IF(PaymentSchedule3[[#This Row],[PMT NO]]&lt;&gt;"",EOMONTH(LoanStartDate,ROW(PaymentSchedule3[[#This Row],[PMT NO]])-ROW(PaymentSchedule3[[#Headers],[PMT NO]])-2)+DAY(LoanStartDate),"")</f>
        <v>47788</v>
      </c>
      <c r="D148" s="19">
        <f>IF(PaymentSchedule3[[#This Row],[PMT NO]]&lt;&gt;"",IF(ROW()-ROW(PaymentSchedule3[[#Headers],[BEGINNING BALANCE]])=1,LoanAmount,INDEX(PaymentSchedule3[ENDING BALANCE],ROW()-ROW(PaymentSchedule3[[#Headers],[BEGINNING BALANCE]])-1)),"")</f>
        <v>1709451.0074031504</v>
      </c>
      <c r="E148" s="19">
        <f>IF(PaymentSchedule3[[#This Row],[PMT NO]]&lt;&gt;"",ScheduledPayment,"")</f>
        <v>8358.7693880762818</v>
      </c>
      <c r="F14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4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48" s="19">
        <f>IF(PaymentSchedule3[[#This Row],[PMT NO]]&lt;&gt;"",PaymentSchedule3[[#This Row],[TOTAL PAYMENT]]-PaymentSchedule3[[#This Row],[INTEREST]],"")</f>
        <v>2660.5993633991129</v>
      </c>
      <c r="I148" s="19">
        <f>IF(PaymentSchedule3[[#This Row],[PMT NO]]&lt;&gt;"",PaymentSchedule3[[#This Row],[BEGINNING BALANCE]]*(InterestRate/PaymentsPerYear),"")</f>
        <v>5698.1700246771688</v>
      </c>
      <c r="J14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1706790.4080397512</v>
      </c>
      <c r="K148" s="19">
        <f>IF(PaymentSchedule3[[#This Row],[PMT NO]]&lt;&gt;"",SUM(INDEX(PaymentSchedule3[INTEREST],1,1):PaymentSchedule3[[#This Row],[INTEREST]]),"")</f>
        <v>851941.81420620135</v>
      </c>
    </row>
    <row r="149" spans="2:11" x14ac:dyDescent="0.3">
      <c r="B149" s="21">
        <f>IF(LoanIsGood,IF(ROW()-ROW(PaymentSchedule3[[#Headers],[PMT NO]])&gt;ScheduledNumberOfPayments,"",ROW()-ROW(PaymentSchedule3[[#Headers],[PMT NO]])),"")</f>
        <v>138</v>
      </c>
      <c r="C149" s="20">
        <f>IF(PaymentSchedule3[[#This Row],[PMT NO]]&lt;&gt;"",EOMONTH(LoanStartDate,ROW(PaymentSchedule3[[#This Row],[PMT NO]])-ROW(PaymentSchedule3[[#Headers],[PMT NO]])-2)+DAY(LoanStartDate),"")</f>
        <v>47818</v>
      </c>
      <c r="D149" s="19">
        <f>IF(PaymentSchedule3[[#This Row],[PMT NO]]&lt;&gt;"",IF(ROW()-ROW(PaymentSchedule3[[#Headers],[BEGINNING BALANCE]])=1,LoanAmount,INDEX(PaymentSchedule3[ENDING BALANCE],ROW()-ROW(PaymentSchedule3[[#Headers],[BEGINNING BALANCE]])-1)),"")</f>
        <v>1706790.4080397512</v>
      </c>
      <c r="E149" s="19">
        <f>IF(PaymentSchedule3[[#This Row],[PMT NO]]&lt;&gt;"",ScheduledPayment,"")</f>
        <v>8358.7693880762818</v>
      </c>
      <c r="F14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4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49" s="19">
        <f>IF(PaymentSchedule3[[#This Row],[PMT NO]]&lt;&gt;"",PaymentSchedule3[[#This Row],[TOTAL PAYMENT]]-PaymentSchedule3[[#This Row],[INTEREST]],"")</f>
        <v>2669.4680279437771</v>
      </c>
      <c r="I149" s="19">
        <f>IF(PaymentSchedule3[[#This Row],[PMT NO]]&lt;&gt;"",PaymentSchedule3[[#This Row],[BEGINNING BALANCE]]*(InterestRate/PaymentsPerYear),"")</f>
        <v>5689.3013601325047</v>
      </c>
      <c r="J14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1704120.9400118075</v>
      </c>
      <c r="K149" s="19">
        <f>IF(PaymentSchedule3[[#This Row],[PMT NO]]&lt;&gt;"",SUM(INDEX(PaymentSchedule3[INTEREST],1,1):PaymentSchedule3[[#This Row],[INTEREST]]),"")</f>
        <v>857631.11556633387</v>
      </c>
    </row>
    <row r="150" spans="2:11" x14ac:dyDescent="0.3">
      <c r="B150" s="21">
        <f>IF(LoanIsGood,IF(ROW()-ROW(PaymentSchedule3[[#Headers],[PMT NO]])&gt;ScheduledNumberOfPayments,"",ROW()-ROW(PaymentSchedule3[[#Headers],[PMT NO]])),"")</f>
        <v>139</v>
      </c>
      <c r="C150" s="20">
        <f>IF(PaymentSchedule3[[#This Row],[PMT NO]]&lt;&gt;"",EOMONTH(LoanStartDate,ROW(PaymentSchedule3[[#This Row],[PMT NO]])-ROW(PaymentSchedule3[[#Headers],[PMT NO]])-2)+DAY(LoanStartDate),"")</f>
        <v>47849</v>
      </c>
      <c r="D150" s="19">
        <f>IF(PaymentSchedule3[[#This Row],[PMT NO]]&lt;&gt;"",IF(ROW()-ROW(PaymentSchedule3[[#Headers],[BEGINNING BALANCE]])=1,LoanAmount,INDEX(PaymentSchedule3[ENDING BALANCE],ROW()-ROW(PaymentSchedule3[[#Headers],[BEGINNING BALANCE]])-1)),"")</f>
        <v>1704120.9400118075</v>
      </c>
      <c r="E150" s="19">
        <f>IF(PaymentSchedule3[[#This Row],[PMT NO]]&lt;&gt;"",ScheduledPayment,"")</f>
        <v>8358.7693880762818</v>
      </c>
      <c r="F15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5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50" s="19">
        <f>IF(PaymentSchedule3[[#This Row],[PMT NO]]&lt;&gt;"",PaymentSchedule3[[#This Row],[TOTAL PAYMENT]]-PaymentSchedule3[[#This Row],[INTEREST]],"")</f>
        <v>2678.3662547035901</v>
      </c>
      <c r="I150" s="19">
        <f>IF(PaymentSchedule3[[#This Row],[PMT NO]]&lt;&gt;"",PaymentSchedule3[[#This Row],[BEGINNING BALANCE]]*(InterestRate/PaymentsPerYear),"")</f>
        <v>5680.4031333726916</v>
      </c>
      <c r="J15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1701442.5737571039</v>
      </c>
      <c r="K150" s="19">
        <f>IF(PaymentSchedule3[[#This Row],[PMT NO]]&lt;&gt;"",SUM(INDEX(PaymentSchedule3[INTEREST],1,1):PaymentSchedule3[[#This Row],[INTEREST]]),"")</f>
        <v>863311.51869970653</v>
      </c>
    </row>
    <row r="151" spans="2:11" x14ac:dyDescent="0.3">
      <c r="B151" s="21">
        <f>IF(LoanIsGood,IF(ROW()-ROW(PaymentSchedule3[[#Headers],[PMT NO]])&gt;ScheduledNumberOfPayments,"",ROW()-ROW(PaymentSchedule3[[#Headers],[PMT NO]])),"")</f>
        <v>140</v>
      </c>
      <c r="C151" s="20">
        <f>IF(PaymentSchedule3[[#This Row],[PMT NO]]&lt;&gt;"",EOMONTH(LoanStartDate,ROW(PaymentSchedule3[[#This Row],[PMT NO]])-ROW(PaymentSchedule3[[#Headers],[PMT NO]])-2)+DAY(LoanStartDate),"")</f>
        <v>47880</v>
      </c>
      <c r="D151" s="19">
        <f>IF(PaymentSchedule3[[#This Row],[PMT NO]]&lt;&gt;"",IF(ROW()-ROW(PaymentSchedule3[[#Headers],[BEGINNING BALANCE]])=1,LoanAmount,INDEX(PaymentSchedule3[ENDING BALANCE],ROW()-ROW(PaymentSchedule3[[#Headers],[BEGINNING BALANCE]])-1)),"")</f>
        <v>1701442.5737571039</v>
      </c>
      <c r="E151" s="19">
        <f>IF(PaymentSchedule3[[#This Row],[PMT NO]]&lt;&gt;"",ScheduledPayment,"")</f>
        <v>8358.7693880762818</v>
      </c>
      <c r="F15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5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51" s="19">
        <f>IF(PaymentSchedule3[[#This Row],[PMT NO]]&lt;&gt;"",PaymentSchedule3[[#This Row],[TOTAL PAYMENT]]-PaymentSchedule3[[#This Row],[INTEREST]],"")</f>
        <v>2687.2941422192689</v>
      </c>
      <c r="I151" s="19">
        <f>IF(PaymentSchedule3[[#This Row],[PMT NO]]&lt;&gt;"",PaymentSchedule3[[#This Row],[BEGINNING BALANCE]]*(InterestRate/PaymentsPerYear),"")</f>
        <v>5671.4752458570129</v>
      </c>
      <c r="J15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1698755.2796148846</v>
      </c>
      <c r="K151" s="19">
        <f>IF(PaymentSchedule3[[#This Row],[PMT NO]]&lt;&gt;"",SUM(INDEX(PaymentSchedule3[INTEREST],1,1):PaymentSchedule3[[#This Row],[INTEREST]]),"")</f>
        <v>868982.99394556356</v>
      </c>
    </row>
    <row r="152" spans="2:11" x14ac:dyDescent="0.3">
      <c r="B152" s="21">
        <f>IF(LoanIsGood,IF(ROW()-ROW(PaymentSchedule3[[#Headers],[PMT NO]])&gt;ScheduledNumberOfPayments,"",ROW()-ROW(PaymentSchedule3[[#Headers],[PMT NO]])),"")</f>
        <v>141</v>
      </c>
      <c r="C152" s="20">
        <f>IF(PaymentSchedule3[[#This Row],[PMT NO]]&lt;&gt;"",EOMONTH(LoanStartDate,ROW(PaymentSchedule3[[#This Row],[PMT NO]])-ROW(PaymentSchedule3[[#Headers],[PMT NO]])-2)+DAY(LoanStartDate),"")</f>
        <v>47908</v>
      </c>
      <c r="D152" s="19">
        <f>IF(PaymentSchedule3[[#This Row],[PMT NO]]&lt;&gt;"",IF(ROW()-ROW(PaymentSchedule3[[#Headers],[BEGINNING BALANCE]])=1,LoanAmount,INDEX(PaymentSchedule3[ENDING BALANCE],ROW()-ROW(PaymentSchedule3[[#Headers],[BEGINNING BALANCE]])-1)),"")</f>
        <v>1698755.2796148846</v>
      </c>
      <c r="E152" s="19">
        <f>IF(PaymentSchedule3[[#This Row],[PMT NO]]&lt;&gt;"",ScheduledPayment,"")</f>
        <v>8358.7693880762818</v>
      </c>
      <c r="F15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5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52" s="19">
        <f>IF(PaymentSchedule3[[#This Row],[PMT NO]]&lt;&gt;"",PaymentSchedule3[[#This Row],[TOTAL PAYMENT]]-PaymentSchedule3[[#This Row],[INTEREST]],"")</f>
        <v>2696.2517893599988</v>
      </c>
      <c r="I152" s="19">
        <f>IF(PaymentSchedule3[[#This Row],[PMT NO]]&lt;&gt;"",PaymentSchedule3[[#This Row],[BEGINNING BALANCE]]*(InterestRate/PaymentsPerYear),"")</f>
        <v>5662.5175987162829</v>
      </c>
      <c r="J15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1696059.0278255246</v>
      </c>
      <c r="K152" s="19">
        <f>IF(PaymentSchedule3[[#This Row],[PMT NO]]&lt;&gt;"",SUM(INDEX(PaymentSchedule3[INTEREST],1,1):PaymentSchedule3[[#This Row],[INTEREST]]),"")</f>
        <v>874645.51154427987</v>
      </c>
    </row>
    <row r="153" spans="2:11" x14ac:dyDescent="0.3">
      <c r="B153" s="21">
        <f>IF(LoanIsGood,IF(ROW()-ROW(PaymentSchedule3[[#Headers],[PMT NO]])&gt;ScheduledNumberOfPayments,"",ROW()-ROW(PaymentSchedule3[[#Headers],[PMT NO]])),"")</f>
        <v>142</v>
      </c>
      <c r="C153" s="20">
        <f>IF(PaymentSchedule3[[#This Row],[PMT NO]]&lt;&gt;"",EOMONTH(LoanStartDate,ROW(PaymentSchedule3[[#This Row],[PMT NO]])-ROW(PaymentSchedule3[[#Headers],[PMT NO]])-2)+DAY(LoanStartDate),"")</f>
        <v>47939</v>
      </c>
      <c r="D153" s="19">
        <f>IF(PaymentSchedule3[[#This Row],[PMT NO]]&lt;&gt;"",IF(ROW()-ROW(PaymentSchedule3[[#Headers],[BEGINNING BALANCE]])=1,LoanAmount,INDEX(PaymentSchedule3[ENDING BALANCE],ROW()-ROW(PaymentSchedule3[[#Headers],[BEGINNING BALANCE]])-1)),"")</f>
        <v>1696059.0278255246</v>
      </c>
      <c r="E153" s="19">
        <f>IF(PaymentSchedule3[[#This Row],[PMT NO]]&lt;&gt;"",ScheduledPayment,"")</f>
        <v>8358.7693880762818</v>
      </c>
      <c r="F15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5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53" s="19">
        <f>IF(PaymentSchedule3[[#This Row],[PMT NO]]&lt;&gt;"",PaymentSchedule3[[#This Row],[TOTAL PAYMENT]]-PaymentSchedule3[[#This Row],[INTEREST]],"")</f>
        <v>2705.2392953245326</v>
      </c>
      <c r="I153" s="19">
        <f>IF(PaymentSchedule3[[#This Row],[PMT NO]]&lt;&gt;"",PaymentSchedule3[[#This Row],[BEGINNING BALANCE]]*(InterestRate/PaymentsPerYear),"")</f>
        <v>5653.5300927517492</v>
      </c>
      <c r="J15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1693353.7885302</v>
      </c>
      <c r="K153" s="19">
        <f>IF(PaymentSchedule3[[#This Row],[PMT NO]]&lt;&gt;"",SUM(INDEX(PaymentSchedule3[INTEREST],1,1):PaymentSchedule3[[#This Row],[INTEREST]]),"")</f>
        <v>880299.04163703159</v>
      </c>
    </row>
    <row r="154" spans="2:11" x14ac:dyDescent="0.3">
      <c r="B154" s="21">
        <f>IF(LoanIsGood,IF(ROW()-ROW(PaymentSchedule3[[#Headers],[PMT NO]])&gt;ScheduledNumberOfPayments,"",ROW()-ROW(PaymentSchedule3[[#Headers],[PMT NO]])),"")</f>
        <v>143</v>
      </c>
      <c r="C154" s="20">
        <f>IF(PaymentSchedule3[[#This Row],[PMT NO]]&lt;&gt;"",EOMONTH(LoanStartDate,ROW(PaymentSchedule3[[#This Row],[PMT NO]])-ROW(PaymentSchedule3[[#Headers],[PMT NO]])-2)+DAY(LoanStartDate),"")</f>
        <v>47969</v>
      </c>
      <c r="D154" s="19">
        <f>IF(PaymentSchedule3[[#This Row],[PMT NO]]&lt;&gt;"",IF(ROW()-ROW(PaymentSchedule3[[#Headers],[BEGINNING BALANCE]])=1,LoanAmount,INDEX(PaymentSchedule3[ENDING BALANCE],ROW()-ROW(PaymentSchedule3[[#Headers],[BEGINNING BALANCE]])-1)),"")</f>
        <v>1693353.7885302</v>
      </c>
      <c r="E154" s="19">
        <f>IF(PaymentSchedule3[[#This Row],[PMT NO]]&lt;&gt;"",ScheduledPayment,"")</f>
        <v>8358.7693880762818</v>
      </c>
      <c r="F15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5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54" s="19">
        <f>IF(PaymentSchedule3[[#This Row],[PMT NO]]&lt;&gt;"",PaymentSchedule3[[#This Row],[TOTAL PAYMENT]]-PaymentSchedule3[[#This Row],[INTEREST]],"")</f>
        <v>2714.2567596422814</v>
      </c>
      <c r="I154" s="19">
        <f>IF(PaymentSchedule3[[#This Row],[PMT NO]]&lt;&gt;"",PaymentSchedule3[[#This Row],[BEGINNING BALANCE]]*(InterestRate/PaymentsPerYear),"")</f>
        <v>5644.5126284340004</v>
      </c>
      <c r="J15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1690639.5317705576</v>
      </c>
      <c r="K154" s="19">
        <f>IF(PaymentSchedule3[[#This Row],[PMT NO]]&lt;&gt;"",SUM(INDEX(PaymentSchedule3[INTEREST],1,1):PaymentSchedule3[[#This Row],[INTEREST]]),"")</f>
        <v>885943.55426546559</v>
      </c>
    </row>
    <row r="155" spans="2:11" x14ac:dyDescent="0.3">
      <c r="B155" s="21">
        <f>IF(LoanIsGood,IF(ROW()-ROW(PaymentSchedule3[[#Headers],[PMT NO]])&gt;ScheduledNumberOfPayments,"",ROW()-ROW(PaymentSchedule3[[#Headers],[PMT NO]])),"")</f>
        <v>144</v>
      </c>
      <c r="C155" s="20">
        <f>IF(PaymentSchedule3[[#This Row],[PMT NO]]&lt;&gt;"",EOMONTH(LoanStartDate,ROW(PaymentSchedule3[[#This Row],[PMT NO]])-ROW(PaymentSchedule3[[#Headers],[PMT NO]])-2)+DAY(LoanStartDate),"")</f>
        <v>48000</v>
      </c>
      <c r="D155" s="19">
        <f>IF(PaymentSchedule3[[#This Row],[PMT NO]]&lt;&gt;"",IF(ROW()-ROW(PaymentSchedule3[[#Headers],[BEGINNING BALANCE]])=1,LoanAmount,INDEX(PaymentSchedule3[ENDING BALANCE],ROW()-ROW(PaymentSchedule3[[#Headers],[BEGINNING BALANCE]])-1)),"")</f>
        <v>1690639.5317705576</v>
      </c>
      <c r="E155" s="19">
        <f>IF(PaymentSchedule3[[#This Row],[PMT NO]]&lt;&gt;"",ScheduledPayment,"")</f>
        <v>8358.7693880762818</v>
      </c>
      <c r="F15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5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55" s="19">
        <f>IF(PaymentSchedule3[[#This Row],[PMT NO]]&lt;&gt;"",PaymentSchedule3[[#This Row],[TOTAL PAYMENT]]-PaymentSchedule3[[#This Row],[INTEREST]],"")</f>
        <v>2723.304282174423</v>
      </c>
      <c r="I155" s="19">
        <f>IF(PaymentSchedule3[[#This Row],[PMT NO]]&lt;&gt;"",PaymentSchedule3[[#This Row],[BEGINNING BALANCE]]*(InterestRate/PaymentsPerYear),"")</f>
        <v>5635.4651059018588</v>
      </c>
      <c r="J15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1687916.2274883832</v>
      </c>
      <c r="K155" s="19">
        <f>IF(PaymentSchedule3[[#This Row],[PMT NO]]&lt;&gt;"",SUM(INDEX(PaymentSchedule3[INTEREST],1,1):PaymentSchedule3[[#This Row],[INTEREST]]),"")</f>
        <v>891579.01937136741</v>
      </c>
    </row>
    <row r="156" spans="2:11" x14ac:dyDescent="0.3">
      <c r="B156" s="21">
        <f>IF(LoanIsGood,IF(ROW()-ROW(PaymentSchedule3[[#Headers],[PMT NO]])&gt;ScheduledNumberOfPayments,"",ROW()-ROW(PaymentSchedule3[[#Headers],[PMT NO]])),"")</f>
        <v>145</v>
      </c>
      <c r="C156" s="20">
        <f>IF(PaymentSchedule3[[#This Row],[PMT NO]]&lt;&gt;"",EOMONTH(LoanStartDate,ROW(PaymentSchedule3[[#This Row],[PMT NO]])-ROW(PaymentSchedule3[[#Headers],[PMT NO]])-2)+DAY(LoanStartDate),"")</f>
        <v>48030</v>
      </c>
      <c r="D156" s="19">
        <f>IF(PaymentSchedule3[[#This Row],[PMT NO]]&lt;&gt;"",IF(ROW()-ROW(PaymentSchedule3[[#Headers],[BEGINNING BALANCE]])=1,LoanAmount,INDEX(PaymentSchedule3[ENDING BALANCE],ROW()-ROW(PaymentSchedule3[[#Headers],[BEGINNING BALANCE]])-1)),"")</f>
        <v>1687916.2274883832</v>
      </c>
      <c r="E156" s="19">
        <f>IF(PaymentSchedule3[[#This Row],[PMT NO]]&lt;&gt;"",ScheduledPayment,"")</f>
        <v>8358.7693880762818</v>
      </c>
      <c r="F15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5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56" s="19">
        <f>IF(PaymentSchedule3[[#This Row],[PMT NO]]&lt;&gt;"",PaymentSchedule3[[#This Row],[TOTAL PAYMENT]]-PaymentSchedule3[[#This Row],[INTEREST]],"")</f>
        <v>2732.3819631150045</v>
      </c>
      <c r="I156" s="19">
        <f>IF(PaymentSchedule3[[#This Row],[PMT NO]]&lt;&gt;"",PaymentSchedule3[[#This Row],[BEGINNING BALANCE]]*(InterestRate/PaymentsPerYear),"")</f>
        <v>5626.3874249612772</v>
      </c>
      <c r="J15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1685183.8455252682</v>
      </c>
      <c r="K156" s="19">
        <f>IF(PaymentSchedule3[[#This Row],[PMT NO]]&lt;&gt;"",SUM(INDEX(PaymentSchedule3[INTEREST],1,1):PaymentSchedule3[[#This Row],[INTEREST]]),"")</f>
        <v>897205.40679632872</v>
      </c>
    </row>
    <row r="157" spans="2:11" x14ac:dyDescent="0.3">
      <c r="B157" s="21">
        <f>IF(LoanIsGood,IF(ROW()-ROW(PaymentSchedule3[[#Headers],[PMT NO]])&gt;ScheduledNumberOfPayments,"",ROW()-ROW(PaymentSchedule3[[#Headers],[PMT NO]])),"")</f>
        <v>146</v>
      </c>
      <c r="C157" s="20">
        <f>IF(PaymentSchedule3[[#This Row],[PMT NO]]&lt;&gt;"",EOMONTH(LoanStartDate,ROW(PaymentSchedule3[[#This Row],[PMT NO]])-ROW(PaymentSchedule3[[#Headers],[PMT NO]])-2)+DAY(LoanStartDate),"")</f>
        <v>48061</v>
      </c>
      <c r="D157" s="19">
        <f>IF(PaymentSchedule3[[#This Row],[PMT NO]]&lt;&gt;"",IF(ROW()-ROW(PaymentSchedule3[[#Headers],[BEGINNING BALANCE]])=1,LoanAmount,INDEX(PaymentSchedule3[ENDING BALANCE],ROW()-ROW(PaymentSchedule3[[#Headers],[BEGINNING BALANCE]])-1)),"")</f>
        <v>1685183.8455252682</v>
      </c>
      <c r="E157" s="19">
        <f>IF(PaymentSchedule3[[#This Row],[PMT NO]]&lt;&gt;"",ScheduledPayment,"")</f>
        <v>8358.7693880762818</v>
      </c>
      <c r="F15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5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57" s="19">
        <f>IF(PaymentSchedule3[[#This Row],[PMT NO]]&lt;&gt;"",PaymentSchedule3[[#This Row],[TOTAL PAYMENT]]-PaymentSchedule3[[#This Row],[INTEREST]],"")</f>
        <v>2741.4899029920543</v>
      </c>
      <c r="I157" s="19">
        <f>IF(PaymentSchedule3[[#This Row],[PMT NO]]&lt;&gt;"",PaymentSchedule3[[#This Row],[BEGINNING BALANCE]]*(InterestRate/PaymentsPerYear),"")</f>
        <v>5617.2794850842274</v>
      </c>
      <c r="J15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1682442.3556222762</v>
      </c>
      <c r="K157" s="19">
        <f>IF(PaymentSchedule3[[#This Row],[PMT NO]]&lt;&gt;"",SUM(INDEX(PaymentSchedule3[INTEREST],1,1):PaymentSchedule3[[#This Row],[INTEREST]]),"")</f>
        <v>902822.68628141296</v>
      </c>
    </row>
    <row r="158" spans="2:11" x14ac:dyDescent="0.3">
      <c r="B158" s="21">
        <f>IF(LoanIsGood,IF(ROW()-ROW(PaymentSchedule3[[#Headers],[PMT NO]])&gt;ScheduledNumberOfPayments,"",ROW()-ROW(PaymentSchedule3[[#Headers],[PMT NO]])),"")</f>
        <v>147</v>
      </c>
      <c r="C158" s="20">
        <f>IF(PaymentSchedule3[[#This Row],[PMT NO]]&lt;&gt;"",EOMONTH(LoanStartDate,ROW(PaymentSchedule3[[#This Row],[PMT NO]])-ROW(PaymentSchedule3[[#Headers],[PMT NO]])-2)+DAY(LoanStartDate),"")</f>
        <v>48092</v>
      </c>
      <c r="D158" s="19">
        <f>IF(PaymentSchedule3[[#This Row],[PMT NO]]&lt;&gt;"",IF(ROW()-ROW(PaymentSchedule3[[#Headers],[BEGINNING BALANCE]])=1,LoanAmount,INDEX(PaymentSchedule3[ENDING BALANCE],ROW()-ROW(PaymentSchedule3[[#Headers],[BEGINNING BALANCE]])-1)),"")</f>
        <v>1682442.3556222762</v>
      </c>
      <c r="E158" s="19">
        <f>IF(PaymentSchedule3[[#This Row],[PMT NO]]&lt;&gt;"",ScheduledPayment,"")</f>
        <v>8358.7693880762818</v>
      </c>
      <c r="F15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5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58" s="19">
        <f>IF(PaymentSchedule3[[#This Row],[PMT NO]]&lt;&gt;"",PaymentSchedule3[[#This Row],[TOTAL PAYMENT]]-PaymentSchedule3[[#This Row],[INTEREST]],"")</f>
        <v>2750.628202668694</v>
      </c>
      <c r="I158" s="19">
        <f>IF(PaymentSchedule3[[#This Row],[PMT NO]]&lt;&gt;"",PaymentSchedule3[[#This Row],[BEGINNING BALANCE]]*(InterestRate/PaymentsPerYear),"")</f>
        <v>5608.1411854075877</v>
      </c>
      <c r="J15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1679691.7274196076</v>
      </c>
      <c r="K158" s="19">
        <f>IF(PaymentSchedule3[[#This Row],[PMT NO]]&lt;&gt;"",SUM(INDEX(PaymentSchedule3[INTEREST],1,1):PaymentSchedule3[[#This Row],[INTEREST]]),"")</f>
        <v>908430.8274668206</v>
      </c>
    </row>
    <row r="159" spans="2:11" x14ac:dyDescent="0.3">
      <c r="B159" s="21">
        <f>IF(LoanIsGood,IF(ROW()-ROW(PaymentSchedule3[[#Headers],[PMT NO]])&gt;ScheduledNumberOfPayments,"",ROW()-ROW(PaymentSchedule3[[#Headers],[PMT NO]])),"")</f>
        <v>148</v>
      </c>
      <c r="C159" s="20">
        <f>IF(PaymentSchedule3[[#This Row],[PMT NO]]&lt;&gt;"",EOMONTH(LoanStartDate,ROW(PaymentSchedule3[[#This Row],[PMT NO]])-ROW(PaymentSchedule3[[#Headers],[PMT NO]])-2)+DAY(LoanStartDate),"")</f>
        <v>48122</v>
      </c>
      <c r="D159" s="19">
        <f>IF(PaymentSchedule3[[#This Row],[PMT NO]]&lt;&gt;"",IF(ROW()-ROW(PaymentSchedule3[[#Headers],[BEGINNING BALANCE]])=1,LoanAmount,INDEX(PaymentSchedule3[ENDING BALANCE],ROW()-ROW(PaymentSchedule3[[#Headers],[BEGINNING BALANCE]])-1)),"")</f>
        <v>1679691.7274196076</v>
      </c>
      <c r="E159" s="19">
        <f>IF(PaymentSchedule3[[#This Row],[PMT NO]]&lt;&gt;"",ScheduledPayment,"")</f>
        <v>8358.7693880762818</v>
      </c>
      <c r="F15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5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59" s="19">
        <f>IF(PaymentSchedule3[[#This Row],[PMT NO]]&lt;&gt;"",PaymentSchedule3[[#This Row],[TOTAL PAYMENT]]-PaymentSchedule3[[#This Row],[INTEREST]],"")</f>
        <v>2759.7969633442563</v>
      </c>
      <c r="I159" s="19">
        <f>IF(PaymentSchedule3[[#This Row],[PMT NO]]&lt;&gt;"",PaymentSchedule3[[#This Row],[BEGINNING BALANCE]]*(InterestRate/PaymentsPerYear),"")</f>
        <v>5598.9724247320255</v>
      </c>
      <c r="J15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1676931.9304562632</v>
      </c>
      <c r="K159" s="19">
        <f>IF(PaymentSchedule3[[#This Row],[PMT NO]]&lt;&gt;"",SUM(INDEX(PaymentSchedule3[INTEREST],1,1):PaymentSchedule3[[#This Row],[INTEREST]]),"")</f>
        <v>914029.79989155266</v>
      </c>
    </row>
    <row r="160" spans="2:11" x14ac:dyDescent="0.3">
      <c r="B160" s="21">
        <f>IF(LoanIsGood,IF(ROW()-ROW(PaymentSchedule3[[#Headers],[PMT NO]])&gt;ScheduledNumberOfPayments,"",ROW()-ROW(PaymentSchedule3[[#Headers],[PMT NO]])),"")</f>
        <v>149</v>
      </c>
      <c r="C160" s="20">
        <f>IF(PaymentSchedule3[[#This Row],[PMT NO]]&lt;&gt;"",EOMONTH(LoanStartDate,ROW(PaymentSchedule3[[#This Row],[PMT NO]])-ROW(PaymentSchedule3[[#Headers],[PMT NO]])-2)+DAY(LoanStartDate),"")</f>
        <v>48153</v>
      </c>
      <c r="D160" s="19">
        <f>IF(PaymentSchedule3[[#This Row],[PMT NO]]&lt;&gt;"",IF(ROW()-ROW(PaymentSchedule3[[#Headers],[BEGINNING BALANCE]])=1,LoanAmount,INDEX(PaymentSchedule3[ENDING BALANCE],ROW()-ROW(PaymentSchedule3[[#Headers],[BEGINNING BALANCE]])-1)),"")</f>
        <v>1676931.9304562632</v>
      </c>
      <c r="E160" s="19">
        <f>IF(PaymentSchedule3[[#This Row],[PMT NO]]&lt;&gt;"",ScheduledPayment,"")</f>
        <v>8358.7693880762818</v>
      </c>
      <c r="F16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6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60" s="19">
        <f>IF(PaymentSchedule3[[#This Row],[PMT NO]]&lt;&gt;"",PaymentSchedule3[[#This Row],[TOTAL PAYMENT]]-PaymentSchedule3[[#This Row],[INTEREST]],"")</f>
        <v>2768.9962865554035</v>
      </c>
      <c r="I160" s="19">
        <f>IF(PaymentSchedule3[[#This Row],[PMT NO]]&lt;&gt;"",PaymentSchedule3[[#This Row],[BEGINNING BALANCE]]*(InterestRate/PaymentsPerYear),"")</f>
        <v>5589.7731015208783</v>
      </c>
      <c r="J16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1674162.9341697078</v>
      </c>
      <c r="K160" s="19">
        <f>IF(PaymentSchedule3[[#This Row],[PMT NO]]&lt;&gt;"",SUM(INDEX(PaymentSchedule3[INTEREST],1,1):PaymentSchedule3[[#This Row],[INTEREST]]),"")</f>
        <v>919619.5729930735</v>
      </c>
    </row>
    <row r="161" spans="2:11" x14ac:dyDescent="0.3">
      <c r="B161" s="21">
        <f>IF(LoanIsGood,IF(ROW()-ROW(PaymentSchedule3[[#Headers],[PMT NO]])&gt;ScheduledNumberOfPayments,"",ROW()-ROW(PaymentSchedule3[[#Headers],[PMT NO]])),"")</f>
        <v>150</v>
      </c>
      <c r="C161" s="20">
        <f>IF(PaymentSchedule3[[#This Row],[PMT NO]]&lt;&gt;"",EOMONTH(LoanStartDate,ROW(PaymentSchedule3[[#This Row],[PMT NO]])-ROW(PaymentSchedule3[[#Headers],[PMT NO]])-2)+DAY(LoanStartDate),"")</f>
        <v>48183</v>
      </c>
      <c r="D161" s="19">
        <f>IF(PaymentSchedule3[[#This Row],[PMT NO]]&lt;&gt;"",IF(ROW()-ROW(PaymentSchedule3[[#Headers],[BEGINNING BALANCE]])=1,LoanAmount,INDEX(PaymentSchedule3[ENDING BALANCE],ROW()-ROW(PaymentSchedule3[[#Headers],[BEGINNING BALANCE]])-1)),"")</f>
        <v>1674162.9341697078</v>
      </c>
      <c r="E161" s="19">
        <f>IF(PaymentSchedule3[[#This Row],[PMT NO]]&lt;&gt;"",ScheduledPayment,"")</f>
        <v>8358.7693880762818</v>
      </c>
      <c r="F16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6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61" s="19">
        <f>IF(PaymentSchedule3[[#This Row],[PMT NO]]&lt;&gt;"",PaymentSchedule3[[#This Row],[TOTAL PAYMENT]]-PaymentSchedule3[[#This Row],[INTEREST]],"")</f>
        <v>2778.2262741772556</v>
      </c>
      <c r="I161" s="19">
        <f>IF(PaymentSchedule3[[#This Row],[PMT NO]]&lt;&gt;"",PaymentSchedule3[[#This Row],[BEGINNING BALANCE]]*(InterestRate/PaymentsPerYear),"")</f>
        <v>5580.5431138990261</v>
      </c>
      <c r="J16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1671384.7078955306</v>
      </c>
      <c r="K161" s="19">
        <f>IF(PaymentSchedule3[[#This Row],[PMT NO]]&lt;&gt;"",SUM(INDEX(PaymentSchedule3[INTEREST],1,1):PaymentSchedule3[[#This Row],[INTEREST]]),"")</f>
        <v>925200.11610697256</v>
      </c>
    </row>
    <row r="162" spans="2:11" x14ac:dyDescent="0.3">
      <c r="B162" s="21">
        <f>IF(LoanIsGood,IF(ROW()-ROW(PaymentSchedule3[[#Headers],[PMT NO]])&gt;ScheduledNumberOfPayments,"",ROW()-ROW(PaymentSchedule3[[#Headers],[PMT NO]])),"")</f>
        <v>151</v>
      </c>
      <c r="C162" s="20">
        <f>IF(PaymentSchedule3[[#This Row],[PMT NO]]&lt;&gt;"",EOMONTH(LoanStartDate,ROW(PaymentSchedule3[[#This Row],[PMT NO]])-ROW(PaymentSchedule3[[#Headers],[PMT NO]])-2)+DAY(LoanStartDate),"")</f>
        <v>48214</v>
      </c>
      <c r="D162" s="19">
        <f>IF(PaymentSchedule3[[#This Row],[PMT NO]]&lt;&gt;"",IF(ROW()-ROW(PaymentSchedule3[[#Headers],[BEGINNING BALANCE]])=1,LoanAmount,INDEX(PaymentSchedule3[ENDING BALANCE],ROW()-ROW(PaymentSchedule3[[#Headers],[BEGINNING BALANCE]])-1)),"")</f>
        <v>1671384.7078955306</v>
      </c>
      <c r="E162" s="19">
        <f>IF(PaymentSchedule3[[#This Row],[PMT NO]]&lt;&gt;"",ScheduledPayment,"")</f>
        <v>8358.7693880762818</v>
      </c>
      <c r="F16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6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62" s="19">
        <f>IF(PaymentSchedule3[[#This Row],[PMT NO]]&lt;&gt;"",PaymentSchedule3[[#This Row],[TOTAL PAYMENT]]-PaymentSchedule3[[#This Row],[INTEREST]],"")</f>
        <v>2787.4870284245126</v>
      </c>
      <c r="I162" s="19">
        <f>IF(PaymentSchedule3[[#This Row],[PMT NO]]&lt;&gt;"",PaymentSchedule3[[#This Row],[BEGINNING BALANCE]]*(InterestRate/PaymentsPerYear),"")</f>
        <v>5571.2823596517692</v>
      </c>
      <c r="J16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1668597.220867106</v>
      </c>
      <c r="K162" s="19">
        <f>IF(PaymentSchedule3[[#This Row],[PMT NO]]&lt;&gt;"",SUM(INDEX(PaymentSchedule3[INTEREST],1,1):PaymentSchedule3[[#This Row],[INTEREST]]),"")</f>
        <v>930771.39846662432</v>
      </c>
    </row>
    <row r="163" spans="2:11" x14ac:dyDescent="0.3">
      <c r="B163" s="21">
        <f>IF(LoanIsGood,IF(ROW()-ROW(PaymentSchedule3[[#Headers],[PMT NO]])&gt;ScheduledNumberOfPayments,"",ROW()-ROW(PaymentSchedule3[[#Headers],[PMT NO]])),"")</f>
        <v>152</v>
      </c>
      <c r="C163" s="20">
        <f>IF(PaymentSchedule3[[#This Row],[PMT NO]]&lt;&gt;"",EOMONTH(LoanStartDate,ROW(PaymentSchedule3[[#This Row],[PMT NO]])-ROW(PaymentSchedule3[[#Headers],[PMT NO]])-2)+DAY(LoanStartDate),"")</f>
        <v>48245</v>
      </c>
      <c r="D163" s="19">
        <f>IF(PaymentSchedule3[[#This Row],[PMT NO]]&lt;&gt;"",IF(ROW()-ROW(PaymentSchedule3[[#Headers],[BEGINNING BALANCE]])=1,LoanAmount,INDEX(PaymentSchedule3[ENDING BALANCE],ROW()-ROW(PaymentSchedule3[[#Headers],[BEGINNING BALANCE]])-1)),"")</f>
        <v>1668597.220867106</v>
      </c>
      <c r="E163" s="19">
        <f>IF(PaymentSchedule3[[#This Row],[PMT NO]]&lt;&gt;"",ScheduledPayment,"")</f>
        <v>8358.7693880762818</v>
      </c>
      <c r="F16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6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63" s="19">
        <f>IF(PaymentSchedule3[[#This Row],[PMT NO]]&lt;&gt;"",PaymentSchedule3[[#This Row],[TOTAL PAYMENT]]-PaymentSchedule3[[#This Row],[INTEREST]],"")</f>
        <v>2796.7786518525945</v>
      </c>
      <c r="I163" s="19">
        <f>IF(PaymentSchedule3[[#This Row],[PMT NO]]&lt;&gt;"",PaymentSchedule3[[#This Row],[BEGINNING BALANCE]]*(InterestRate/PaymentsPerYear),"")</f>
        <v>5561.9907362236872</v>
      </c>
      <c r="J16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1665800.4422152534</v>
      </c>
      <c r="K163" s="19">
        <f>IF(PaymentSchedule3[[#This Row],[PMT NO]]&lt;&gt;"",SUM(INDEX(PaymentSchedule3[INTEREST],1,1):PaymentSchedule3[[#This Row],[INTEREST]]),"")</f>
        <v>936333.38920284796</v>
      </c>
    </row>
    <row r="164" spans="2:11" x14ac:dyDescent="0.3">
      <c r="B164" s="21">
        <f>IF(LoanIsGood,IF(ROW()-ROW(PaymentSchedule3[[#Headers],[PMT NO]])&gt;ScheduledNumberOfPayments,"",ROW()-ROW(PaymentSchedule3[[#Headers],[PMT NO]])),"")</f>
        <v>153</v>
      </c>
      <c r="C164" s="20">
        <f>IF(PaymentSchedule3[[#This Row],[PMT NO]]&lt;&gt;"",EOMONTH(LoanStartDate,ROW(PaymentSchedule3[[#This Row],[PMT NO]])-ROW(PaymentSchedule3[[#Headers],[PMT NO]])-2)+DAY(LoanStartDate),"")</f>
        <v>48274</v>
      </c>
      <c r="D164" s="19">
        <f>IF(PaymentSchedule3[[#This Row],[PMT NO]]&lt;&gt;"",IF(ROW()-ROW(PaymentSchedule3[[#Headers],[BEGINNING BALANCE]])=1,LoanAmount,INDEX(PaymentSchedule3[ENDING BALANCE],ROW()-ROW(PaymentSchedule3[[#Headers],[BEGINNING BALANCE]])-1)),"")</f>
        <v>1665800.4422152534</v>
      </c>
      <c r="E164" s="19">
        <f>IF(PaymentSchedule3[[#This Row],[PMT NO]]&lt;&gt;"",ScheduledPayment,"")</f>
        <v>8358.7693880762818</v>
      </c>
      <c r="F16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6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64" s="19">
        <f>IF(PaymentSchedule3[[#This Row],[PMT NO]]&lt;&gt;"",PaymentSchedule3[[#This Row],[TOTAL PAYMENT]]-PaymentSchedule3[[#This Row],[INTEREST]],"")</f>
        <v>2806.1012473587698</v>
      </c>
      <c r="I164" s="19">
        <f>IF(PaymentSchedule3[[#This Row],[PMT NO]]&lt;&gt;"",PaymentSchedule3[[#This Row],[BEGINNING BALANCE]]*(InterestRate/PaymentsPerYear),"")</f>
        <v>5552.668140717512</v>
      </c>
      <c r="J16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1662994.3409678945</v>
      </c>
      <c r="K164" s="19">
        <f>IF(PaymentSchedule3[[#This Row],[PMT NO]]&lt;&gt;"",SUM(INDEX(PaymentSchedule3[INTEREST],1,1):PaymentSchedule3[[#This Row],[INTEREST]]),"")</f>
        <v>941886.05734356551</v>
      </c>
    </row>
    <row r="165" spans="2:11" x14ac:dyDescent="0.3">
      <c r="B165" s="21">
        <f>IF(LoanIsGood,IF(ROW()-ROW(PaymentSchedule3[[#Headers],[PMT NO]])&gt;ScheduledNumberOfPayments,"",ROW()-ROW(PaymentSchedule3[[#Headers],[PMT NO]])),"")</f>
        <v>154</v>
      </c>
      <c r="C165" s="20">
        <f>IF(PaymentSchedule3[[#This Row],[PMT NO]]&lt;&gt;"",EOMONTH(LoanStartDate,ROW(PaymentSchedule3[[#This Row],[PMT NO]])-ROW(PaymentSchedule3[[#Headers],[PMT NO]])-2)+DAY(LoanStartDate),"")</f>
        <v>48305</v>
      </c>
      <c r="D165" s="19">
        <f>IF(PaymentSchedule3[[#This Row],[PMT NO]]&lt;&gt;"",IF(ROW()-ROW(PaymentSchedule3[[#Headers],[BEGINNING BALANCE]])=1,LoanAmount,INDEX(PaymentSchedule3[ENDING BALANCE],ROW()-ROW(PaymentSchedule3[[#Headers],[BEGINNING BALANCE]])-1)),"")</f>
        <v>1662994.3409678945</v>
      </c>
      <c r="E165" s="19">
        <f>IF(PaymentSchedule3[[#This Row],[PMT NO]]&lt;&gt;"",ScheduledPayment,"")</f>
        <v>8358.7693880762818</v>
      </c>
      <c r="F16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6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65" s="19">
        <f>IF(PaymentSchedule3[[#This Row],[PMT NO]]&lt;&gt;"",PaymentSchedule3[[#This Row],[TOTAL PAYMENT]]-PaymentSchedule3[[#This Row],[INTEREST]],"")</f>
        <v>2815.4549181832999</v>
      </c>
      <c r="I165" s="19">
        <f>IF(PaymentSchedule3[[#This Row],[PMT NO]]&lt;&gt;"",PaymentSchedule3[[#This Row],[BEGINNING BALANCE]]*(InterestRate/PaymentsPerYear),"")</f>
        <v>5543.3144698929818</v>
      </c>
      <c r="J16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1660178.8860497111</v>
      </c>
      <c r="K165" s="19">
        <f>IF(PaymentSchedule3[[#This Row],[PMT NO]]&lt;&gt;"",SUM(INDEX(PaymentSchedule3[INTEREST],1,1):PaymentSchedule3[[#This Row],[INTEREST]]),"")</f>
        <v>947429.37181345851</v>
      </c>
    </row>
    <row r="166" spans="2:11" x14ac:dyDescent="0.3">
      <c r="B166" s="21">
        <f>IF(LoanIsGood,IF(ROW()-ROW(PaymentSchedule3[[#Headers],[PMT NO]])&gt;ScheduledNumberOfPayments,"",ROW()-ROW(PaymentSchedule3[[#Headers],[PMT NO]])),"")</f>
        <v>155</v>
      </c>
      <c r="C166" s="20">
        <f>IF(PaymentSchedule3[[#This Row],[PMT NO]]&lt;&gt;"",EOMONTH(LoanStartDate,ROW(PaymentSchedule3[[#This Row],[PMT NO]])-ROW(PaymentSchedule3[[#Headers],[PMT NO]])-2)+DAY(LoanStartDate),"")</f>
        <v>48335</v>
      </c>
      <c r="D166" s="19">
        <f>IF(PaymentSchedule3[[#This Row],[PMT NO]]&lt;&gt;"",IF(ROW()-ROW(PaymentSchedule3[[#Headers],[BEGINNING BALANCE]])=1,LoanAmount,INDEX(PaymentSchedule3[ENDING BALANCE],ROW()-ROW(PaymentSchedule3[[#Headers],[BEGINNING BALANCE]])-1)),"")</f>
        <v>1660178.8860497111</v>
      </c>
      <c r="E166" s="19">
        <f>IF(PaymentSchedule3[[#This Row],[PMT NO]]&lt;&gt;"",ScheduledPayment,"")</f>
        <v>8358.7693880762818</v>
      </c>
      <c r="F16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6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66" s="19">
        <f>IF(PaymentSchedule3[[#This Row],[PMT NO]]&lt;&gt;"",PaymentSchedule3[[#This Row],[TOTAL PAYMENT]]-PaymentSchedule3[[#This Row],[INTEREST]],"")</f>
        <v>2824.8397679105774</v>
      </c>
      <c r="I166" s="19">
        <f>IF(PaymentSchedule3[[#This Row],[PMT NO]]&lt;&gt;"",PaymentSchedule3[[#This Row],[BEGINNING BALANCE]]*(InterestRate/PaymentsPerYear),"")</f>
        <v>5533.9296201657044</v>
      </c>
      <c r="J16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1657354.0462818006</v>
      </c>
      <c r="K166" s="19">
        <f>IF(PaymentSchedule3[[#This Row],[PMT NO]]&lt;&gt;"",SUM(INDEX(PaymentSchedule3[INTEREST],1,1):PaymentSchedule3[[#This Row],[INTEREST]]),"")</f>
        <v>952963.30143362423</v>
      </c>
    </row>
    <row r="167" spans="2:11" x14ac:dyDescent="0.3">
      <c r="B167" s="21">
        <f>IF(LoanIsGood,IF(ROW()-ROW(PaymentSchedule3[[#Headers],[PMT NO]])&gt;ScheduledNumberOfPayments,"",ROW()-ROW(PaymentSchedule3[[#Headers],[PMT NO]])),"")</f>
        <v>156</v>
      </c>
      <c r="C167" s="20">
        <f>IF(PaymentSchedule3[[#This Row],[PMT NO]]&lt;&gt;"",EOMONTH(LoanStartDate,ROW(PaymentSchedule3[[#This Row],[PMT NO]])-ROW(PaymentSchedule3[[#Headers],[PMT NO]])-2)+DAY(LoanStartDate),"")</f>
        <v>48366</v>
      </c>
      <c r="D167" s="19">
        <f>IF(PaymentSchedule3[[#This Row],[PMT NO]]&lt;&gt;"",IF(ROW()-ROW(PaymentSchedule3[[#Headers],[BEGINNING BALANCE]])=1,LoanAmount,INDEX(PaymentSchedule3[ENDING BALANCE],ROW()-ROW(PaymentSchedule3[[#Headers],[BEGINNING BALANCE]])-1)),"")</f>
        <v>1657354.0462818006</v>
      </c>
      <c r="E167" s="19">
        <f>IF(PaymentSchedule3[[#This Row],[PMT NO]]&lt;&gt;"",ScheduledPayment,"")</f>
        <v>8358.7693880762818</v>
      </c>
      <c r="F16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6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67" s="19">
        <f>IF(PaymentSchedule3[[#This Row],[PMT NO]]&lt;&gt;"",PaymentSchedule3[[#This Row],[TOTAL PAYMENT]]-PaymentSchedule3[[#This Row],[INTEREST]],"")</f>
        <v>2834.2559004702798</v>
      </c>
      <c r="I167" s="19">
        <f>IF(PaymentSchedule3[[#This Row],[PMT NO]]&lt;&gt;"",PaymentSchedule3[[#This Row],[BEGINNING BALANCE]]*(InterestRate/PaymentsPerYear),"")</f>
        <v>5524.5134876060019</v>
      </c>
      <c r="J16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1654519.7903813303</v>
      </c>
      <c r="K167" s="19">
        <f>IF(PaymentSchedule3[[#This Row],[PMT NO]]&lt;&gt;"",SUM(INDEX(PaymentSchedule3[INTEREST],1,1):PaymentSchedule3[[#This Row],[INTEREST]]),"")</f>
        <v>958487.81492123019</v>
      </c>
    </row>
    <row r="168" spans="2:11" x14ac:dyDescent="0.3">
      <c r="B168" s="21">
        <f>IF(LoanIsGood,IF(ROW()-ROW(PaymentSchedule3[[#Headers],[PMT NO]])&gt;ScheduledNumberOfPayments,"",ROW()-ROW(PaymentSchedule3[[#Headers],[PMT NO]])),"")</f>
        <v>157</v>
      </c>
      <c r="C168" s="20">
        <f>IF(PaymentSchedule3[[#This Row],[PMT NO]]&lt;&gt;"",EOMONTH(LoanStartDate,ROW(PaymentSchedule3[[#This Row],[PMT NO]])-ROW(PaymentSchedule3[[#Headers],[PMT NO]])-2)+DAY(LoanStartDate),"")</f>
        <v>48396</v>
      </c>
      <c r="D168" s="19">
        <f>IF(PaymentSchedule3[[#This Row],[PMT NO]]&lt;&gt;"",IF(ROW()-ROW(PaymentSchedule3[[#Headers],[BEGINNING BALANCE]])=1,LoanAmount,INDEX(PaymentSchedule3[ENDING BALANCE],ROW()-ROW(PaymentSchedule3[[#Headers],[BEGINNING BALANCE]])-1)),"")</f>
        <v>1654519.7903813303</v>
      </c>
      <c r="E168" s="19">
        <f>IF(PaymentSchedule3[[#This Row],[PMT NO]]&lt;&gt;"",ScheduledPayment,"")</f>
        <v>8358.7693880762818</v>
      </c>
      <c r="F16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6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68" s="19">
        <f>IF(PaymentSchedule3[[#This Row],[PMT NO]]&lt;&gt;"",PaymentSchedule3[[#This Row],[TOTAL PAYMENT]]-PaymentSchedule3[[#This Row],[INTEREST]],"")</f>
        <v>2843.703420138514</v>
      </c>
      <c r="I168" s="19">
        <f>IF(PaymentSchedule3[[#This Row],[PMT NO]]&lt;&gt;"",PaymentSchedule3[[#This Row],[BEGINNING BALANCE]]*(InterestRate/PaymentsPerYear),"")</f>
        <v>5515.0659679377677</v>
      </c>
      <c r="J16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1651676.0869611918</v>
      </c>
      <c r="K168" s="19">
        <f>IF(PaymentSchedule3[[#This Row],[PMT NO]]&lt;&gt;"",SUM(INDEX(PaymentSchedule3[INTEREST],1,1):PaymentSchedule3[[#This Row],[INTEREST]]),"")</f>
        <v>964002.88088916801</v>
      </c>
    </row>
    <row r="169" spans="2:11" x14ac:dyDescent="0.3">
      <c r="B169" s="21">
        <f>IF(LoanIsGood,IF(ROW()-ROW(PaymentSchedule3[[#Headers],[PMT NO]])&gt;ScheduledNumberOfPayments,"",ROW()-ROW(PaymentSchedule3[[#Headers],[PMT NO]])),"")</f>
        <v>158</v>
      </c>
      <c r="C169" s="20">
        <f>IF(PaymentSchedule3[[#This Row],[PMT NO]]&lt;&gt;"",EOMONTH(LoanStartDate,ROW(PaymentSchedule3[[#This Row],[PMT NO]])-ROW(PaymentSchedule3[[#Headers],[PMT NO]])-2)+DAY(LoanStartDate),"")</f>
        <v>48427</v>
      </c>
      <c r="D169" s="19">
        <f>IF(PaymentSchedule3[[#This Row],[PMT NO]]&lt;&gt;"",IF(ROW()-ROW(PaymentSchedule3[[#Headers],[BEGINNING BALANCE]])=1,LoanAmount,INDEX(PaymentSchedule3[ENDING BALANCE],ROW()-ROW(PaymentSchedule3[[#Headers],[BEGINNING BALANCE]])-1)),"")</f>
        <v>1651676.0869611918</v>
      </c>
      <c r="E169" s="19">
        <f>IF(PaymentSchedule3[[#This Row],[PMT NO]]&lt;&gt;"",ScheduledPayment,"")</f>
        <v>8358.7693880762818</v>
      </c>
      <c r="F16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6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69" s="19">
        <f>IF(PaymentSchedule3[[#This Row],[PMT NO]]&lt;&gt;"",PaymentSchedule3[[#This Row],[TOTAL PAYMENT]]-PaymentSchedule3[[#This Row],[INTEREST]],"")</f>
        <v>2853.1824315389749</v>
      </c>
      <c r="I169" s="19">
        <f>IF(PaymentSchedule3[[#This Row],[PMT NO]]&lt;&gt;"",PaymentSchedule3[[#This Row],[BEGINNING BALANCE]]*(InterestRate/PaymentsPerYear),"")</f>
        <v>5505.5869565373068</v>
      </c>
      <c r="J16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1648822.9045296528</v>
      </c>
      <c r="K169" s="19">
        <f>IF(PaymentSchedule3[[#This Row],[PMT NO]]&lt;&gt;"",SUM(INDEX(PaymentSchedule3[INTEREST],1,1):PaymentSchedule3[[#This Row],[INTEREST]]),"")</f>
        <v>969508.46784570534</v>
      </c>
    </row>
    <row r="170" spans="2:11" x14ac:dyDescent="0.3">
      <c r="B170" s="21">
        <f>IF(LoanIsGood,IF(ROW()-ROW(PaymentSchedule3[[#Headers],[PMT NO]])&gt;ScheduledNumberOfPayments,"",ROW()-ROW(PaymentSchedule3[[#Headers],[PMT NO]])),"")</f>
        <v>159</v>
      </c>
      <c r="C170" s="20">
        <f>IF(PaymentSchedule3[[#This Row],[PMT NO]]&lt;&gt;"",EOMONTH(LoanStartDate,ROW(PaymentSchedule3[[#This Row],[PMT NO]])-ROW(PaymentSchedule3[[#Headers],[PMT NO]])-2)+DAY(LoanStartDate),"")</f>
        <v>48458</v>
      </c>
      <c r="D170" s="19">
        <f>IF(PaymentSchedule3[[#This Row],[PMT NO]]&lt;&gt;"",IF(ROW()-ROW(PaymentSchedule3[[#Headers],[BEGINNING BALANCE]])=1,LoanAmount,INDEX(PaymentSchedule3[ENDING BALANCE],ROW()-ROW(PaymentSchedule3[[#Headers],[BEGINNING BALANCE]])-1)),"")</f>
        <v>1648822.9045296528</v>
      </c>
      <c r="E170" s="19">
        <f>IF(PaymentSchedule3[[#This Row],[PMT NO]]&lt;&gt;"",ScheduledPayment,"")</f>
        <v>8358.7693880762818</v>
      </c>
      <c r="F17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7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70" s="19">
        <f>IF(PaymentSchedule3[[#This Row],[PMT NO]]&lt;&gt;"",PaymentSchedule3[[#This Row],[TOTAL PAYMENT]]-PaymentSchedule3[[#This Row],[INTEREST]],"")</f>
        <v>2862.6930396441057</v>
      </c>
      <c r="I170" s="19">
        <f>IF(PaymentSchedule3[[#This Row],[PMT NO]]&lt;&gt;"",PaymentSchedule3[[#This Row],[BEGINNING BALANCE]]*(InterestRate/PaymentsPerYear),"")</f>
        <v>5496.076348432176</v>
      </c>
      <c r="J17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1645960.2114900087</v>
      </c>
      <c r="K170" s="19">
        <f>IF(PaymentSchedule3[[#This Row],[PMT NO]]&lt;&gt;"",SUM(INDEX(PaymentSchedule3[INTEREST],1,1):PaymentSchedule3[[#This Row],[INTEREST]]),"")</f>
        <v>975004.54419413756</v>
      </c>
    </row>
    <row r="171" spans="2:11" x14ac:dyDescent="0.3">
      <c r="B171" s="21">
        <f>IF(LoanIsGood,IF(ROW()-ROW(PaymentSchedule3[[#Headers],[PMT NO]])&gt;ScheduledNumberOfPayments,"",ROW()-ROW(PaymentSchedule3[[#Headers],[PMT NO]])),"")</f>
        <v>160</v>
      </c>
      <c r="C171" s="20">
        <f>IF(PaymentSchedule3[[#This Row],[PMT NO]]&lt;&gt;"",EOMONTH(LoanStartDate,ROW(PaymentSchedule3[[#This Row],[PMT NO]])-ROW(PaymentSchedule3[[#Headers],[PMT NO]])-2)+DAY(LoanStartDate),"")</f>
        <v>48488</v>
      </c>
      <c r="D171" s="19">
        <f>IF(PaymentSchedule3[[#This Row],[PMT NO]]&lt;&gt;"",IF(ROW()-ROW(PaymentSchedule3[[#Headers],[BEGINNING BALANCE]])=1,LoanAmount,INDEX(PaymentSchedule3[ENDING BALANCE],ROW()-ROW(PaymentSchedule3[[#Headers],[BEGINNING BALANCE]])-1)),"")</f>
        <v>1645960.2114900087</v>
      </c>
      <c r="E171" s="19">
        <f>IF(PaymentSchedule3[[#This Row],[PMT NO]]&lt;&gt;"",ScheduledPayment,"")</f>
        <v>8358.7693880762818</v>
      </c>
      <c r="F17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7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71" s="19">
        <f>IF(PaymentSchedule3[[#This Row],[PMT NO]]&lt;&gt;"",PaymentSchedule3[[#This Row],[TOTAL PAYMENT]]-PaymentSchedule3[[#This Row],[INTEREST]],"")</f>
        <v>2872.2353497762524</v>
      </c>
      <c r="I171" s="19">
        <f>IF(PaymentSchedule3[[#This Row],[PMT NO]]&lt;&gt;"",PaymentSchedule3[[#This Row],[BEGINNING BALANCE]]*(InterestRate/PaymentsPerYear),"")</f>
        <v>5486.5340383000294</v>
      </c>
      <c r="J17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1643087.9761402325</v>
      </c>
      <c r="K171" s="19">
        <f>IF(PaymentSchedule3[[#This Row],[PMT NO]]&lt;&gt;"",SUM(INDEX(PaymentSchedule3[INTEREST],1,1):PaymentSchedule3[[#This Row],[INTEREST]]),"")</f>
        <v>980491.07823243761</v>
      </c>
    </row>
    <row r="172" spans="2:11" x14ac:dyDescent="0.3">
      <c r="B172" s="21">
        <f>IF(LoanIsGood,IF(ROW()-ROW(PaymentSchedule3[[#Headers],[PMT NO]])&gt;ScheduledNumberOfPayments,"",ROW()-ROW(PaymentSchedule3[[#Headers],[PMT NO]])),"")</f>
        <v>161</v>
      </c>
      <c r="C172" s="20">
        <f>IF(PaymentSchedule3[[#This Row],[PMT NO]]&lt;&gt;"",EOMONTH(LoanStartDate,ROW(PaymentSchedule3[[#This Row],[PMT NO]])-ROW(PaymentSchedule3[[#Headers],[PMT NO]])-2)+DAY(LoanStartDate),"")</f>
        <v>48519</v>
      </c>
      <c r="D172" s="19">
        <f>IF(PaymentSchedule3[[#This Row],[PMT NO]]&lt;&gt;"",IF(ROW()-ROW(PaymentSchedule3[[#Headers],[BEGINNING BALANCE]])=1,LoanAmount,INDEX(PaymentSchedule3[ENDING BALANCE],ROW()-ROW(PaymentSchedule3[[#Headers],[BEGINNING BALANCE]])-1)),"")</f>
        <v>1643087.9761402325</v>
      </c>
      <c r="E172" s="19">
        <f>IF(PaymentSchedule3[[#This Row],[PMT NO]]&lt;&gt;"",ScheduledPayment,"")</f>
        <v>8358.7693880762818</v>
      </c>
      <c r="F17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7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72" s="19">
        <f>IF(PaymentSchedule3[[#This Row],[PMT NO]]&lt;&gt;"",PaymentSchedule3[[#This Row],[TOTAL PAYMENT]]-PaymentSchedule3[[#This Row],[INTEREST]],"")</f>
        <v>2881.8094676088394</v>
      </c>
      <c r="I172" s="19">
        <f>IF(PaymentSchedule3[[#This Row],[PMT NO]]&lt;&gt;"",PaymentSchedule3[[#This Row],[BEGINNING BALANCE]]*(InterestRate/PaymentsPerYear),"")</f>
        <v>5476.9599204674423</v>
      </c>
      <c r="J17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1640206.1666726237</v>
      </c>
      <c r="K172" s="19">
        <f>IF(PaymentSchedule3[[#This Row],[PMT NO]]&lt;&gt;"",SUM(INDEX(PaymentSchedule3[INTEREST],1,1):PaymentSchedule3[[#This Row],[INTEREST]]),"")</f>
        <v>985968.03815290506</v>
      </c>
    </row>
    <row r="173" spans="2:11" x14ac:dyDescent="0.3">
      <c r="B173" s="21">
        <f>IF(LoanIsGood,IF(ROW()-ROW(PaymentSchedule3[[#Headers],[PMT NO]])&gt;ScheduledNumberOfPayments,"",ROW()-ROW(PaymentSchedule3[[#Headers],[PMT NO]])),"")</f>
        <v>162</v>
      </c>
      <c r="C173" s="20">
        <f>IF(PaymentSchedule3[[#This Row],[PMT NO]]&lt;&gt;"",EOMONTH(LoanStartDate,ROW(PaymentSchedule3[[#This Row],[PMT NO]])-ROW(PaymentSchedule3[[#Headers],[PMT NO]])-2)+DAY(LoanStartDate),"")</f>
        <v>48549</v>
      </c>
      <c r="D173" s="19">
        <f>IF(PaymentSchedule3[[#This Row],[PMT NO]]&lt;&gt;"",IF(ROW()-ROW(PaymentSchedule3[[#Headers],[BEGINNING BALANCE]])=1,LoanAmount,INDEX(PaymentSchedule3[ENDING BALANCE],ROW()-ROW(PaymentSchedule3[[#Headers],[BEGINNING BALANCE]])-1)),"")</f>
        <v>1640206.1666726237</v>
      </c>
      <c r="E173" s="19">
        <f>IF(PaymentSchedule3[[#This Row],[PMT NO]]&lt;&gt;"",ScheduledPayment,"")</f>
        <v>8358.7693880762818</v>
      </c>
      <c r="F17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7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73" s="19">
        <f>IF(PaymentSchedule3[[#This Row],[PMT NO]]&lt;&gt;"",PaymentSchedule3[[#This Row],[TOTAL PAYMENT]]-PaymentSchedule3[[#This Row],[INTEREST]],"")</f>
        <v>2891.4154991675359</v>
      </c>
      <c r="I173" s="19">
        <f>IF(PaymentSchedule3[[#This Row],[PMT NO]]&lt;&gt;"",PaymentSchedule3[[#This Row],[BEGINNING BALANCE]]*(InterestRate/PaymentsPerYear),"")</f>
        <v>5467.3538889087458</v>
      </c>
      <c r="J17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1637314.7511734562</v>
      </c>
      <c r="K173" s="19">
        <f>IF(PaymentSchedule3[[#This Row],[PMT NO]]&lt;&gt;"",SUM(INDEX(PaymentSchedule3[INTEREST],1,1):PaymentSchedule3[[#This Row],[INTEREST]]),"")</f>
        <v>991435.39204181382</v>
      </c>
    </row>
    <row r="174" spans="2:11" x14ac:dyDescent="0.3">
      <c r="B174" s="21">
        <f>IF(LoanIsGood,IF(ROW()-ROW(PaymentSchedule3[[#Headers],[PMT NO]])&gt;ScheduledNumberOfPayments,"",ROW()-ROW(PaymentSchedule3[[#Headers],[PMT NO]])),"")</f>
        <v>163</v>
      </c>
      <c r="C174" s="20">
        <f>IF(PaymentSchedule3[[#This Row],[PMT NO]]&lt;&gt;"",EOMONTH(LoanStartDate,ROW(PaymentSchedule3[[#This Row],[PMT NO]])-ROW(PaymentSchedule3[[#Headers],[PMT NO]])-2)+DAY(LoanStartDate),"")</f>
        <v>48580</v>
      </c>
      <c r="D174" s="19">
        <f>IF(PaymentSchedule3[[#This Row],[PMT NO]]&lt;&gt;"",IF(ROW()-ROW(PaymentSchedule3[[#Headers],[BEGINNING BALANCE]])=1,LoanAmount,INDEX(PaymentSchedule3[ENDING BALANCE],ROW()-ROW(PaymentSchedule3[[#Headers],[BEGINNING BALANCE]])-1)),"")</f>
        <v>1637314.7511734562</v>
      </c>
      <c r="E174" s="19">
        <f>IF(PaymentSchedule3[[#This Row],[PMT NO]]&lt;&gt;"",ScheduledPayment,"")</f>
        <v>8358.7693880762818</v>
      </c>
      <c r="F17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7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74" s="19">
        <f>IF(PaymentSchedule3[[#This Row],[PMT NO]]&lt;&gt;"",PaymentSchedule3[[#This Row],[TOTAL PAYMENT]]-PaymentSchedule3[[#This Row],[INTEREST]],"")</f>
        <v>2901.0535508314279</v>
      </c>
      <c r="I174" s="19">
        <f>IF(PaymentSchedule3[[#This Row],[PMT NO]]&lt;&gt;"",PaymentSchedule3[[#This Row],[BEGINNING BALANCE]]*(InterestRate/PaymentsPerYear),"")</f>
        <v>5457.7158372448539</v>
      </c>
      <c r="J17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1634413.6976226247</v>
      </c>
      <c r="K174" s="19">
        <f>IF(PaymentSchedule3[[#This Row],[PMT NO]]&lt;&gt;"",SUM(INDEX(PaymentSchedule3[INTEREST],1,1):PaymentSchedule3[[#This Row],[INTEREST]]),"")</f>
        <v>996893.10787905869</v>
      </c>
    </row>
    <row r="175" spans="2:11" x14ac:dyDescent="0.3">
      <c r="B175" s="21">
        <f>IF(LoanIsGood,IF(ROW()-ROW(PaymentSchedule3[[#Headers],[PMT NO]])&gt;ScheduledNumberOfPayments,"",ROW()-ROW(PaymentSchedule3[[#Headers],[PMT NO]])),"")</f>
        <v>164</v>
      </c>
      <c r="C175" s="20">
        <f>IF(PaymentSchedule3[[#This Row],[PMT NO]]&lt;&gt;"",EOMONTH(LoanStartDate,ROW(PaymentSchedule3[[#This Row],[PMT NO]])-ROW(PaymentSchedule3[[#Headers],[PMT NO]])-2)+DAY(LoanStartDate),"")</f>
        <v>48611</v>
      </c>
      <c r="D175" s="19">
        <f>IF(PaymentSchedule3[[#This Row],[PMT NO]]&lt;&gt;"",IF(ROW()-ROW(PaymentSchedule3[[#Headers],[BEGINNING BALANCE]])=1,LoanAmount,INDEX(PaymentSchedule3[ENDING BALANCE],ROW()-ROW(PaymentSchedule3[[#Headers],[BEGINNING BALANCE]])-1)),"")</f>
        <v>1634413.6976226247</v>
      </c>
      <c r="E175" s="19">
        <f>IF(PaymentSchedule3[[#This Row],[PMT NO]]&lt;&gt;"",ScheduledPayment,"")</f>
        <v>8358.7693880762818</v>
      </c>
      <c r="F17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7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75" s="19">
        <f>IF(PaymentSchedule3[[#This Row],[PMT NO]]&lt;&gt;"",PaymentSchedule3[[#This Row],[TOTAL PAYMENT]]-PaymentSchedule3[[#This Row],[INTEREST]],"")</f>
        <v>2910.7237293341987</v>
      </c>
      <c r="I175" s="19">
        <f>IF(PaymentSchedule3[[#This Row],[PMT NO]]&lt;&gt;"",PaymentSchedule3[[#This Row],[BEGINNING BALANCE]]*(InterestRate/PaymentsPerYear),"")</f>
        <v>5448.0456587420831</v>
      </c>
      <c r="J17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1631502.9738932904</v>
      </c>
      <c r="K175" s="19">
        <f>IF(PaymentSchedule3[[#This Row],[PMT NO]]&lt;&gt;"",SUM(INDEX(PaymentSchedule3[INTEREST],1,1):PaymentSchedule3[[#This Row],[INTEREST]]),"")</f>
        <v>1002341.1535378008</v>
      </c>
    </row>
    <row r="176" spans="2:11" x14ac:dyDescent="0.3">
      <c r="B176" s="21">
        <f>IF(LoanIsGood,IF(ROW()-ROW(PaymentSchedule3[[#Headers],[PMT NO]])&gt;ScheduledNumberOfPayments,"",ROW()-ROW(PaymentSchedule3[[#Headers],[PMT NO]])),"")</f>
        <v>165</v>
      </c>
      <c r="C176" s="20">
        <f>IF(PaymentSchedule3[[#This Row],[PMT NO]]&lt;&gt;"",EOMONTH(LoanStartDate,ROW(PaymentSchedule3[[#This Row],[PMT NO]])-ROW(PaymentSchedule3[[#Headers],[PMT NO]])-2)+DAY(LoanStartDate),"")</f>
        <v>48639</v>
      </c>
      <c r="D176" s="19">
        <f>IF(PaymentSchedule3[[#This Row],[PMT NO]]&lt;&gt;"",IF(ROW()-ROW(PaymentSchedule3[[#Headers],[BEGINNING BALANCE]])=1,LoanAmount,INDEX(PaymentSchedule3[ENDING BALANCE],ROW()-ROW(PaymentSchedule3[[#Headers],[BEGINNING BALANCE]])-1)),"")</f>
        <v>1631502.9738932904</v>
      </c>
      <c r="E176" s="19">
        <f>IF(PaymentSchedule3[[#This Row],[PMT NO]]&lt;&gt;"",ScheduledPayment,"")</f>
        <v>8358.7693880762818</v>
      </c>
      <c r="F17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7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76" s="19">
        <f>IF(PaymentSchedule3[[#This Row],[PMT NO]]&lt;&gt;"",PaymentSchedule3[[#This Row],[TOTAL PAYMENT]]-PaymentSchedule3[[#This Row],[INTEREST]],"")</f>
        <v>2920.4261417653133</v>
      </c>
      <c r="I176" s="19">
        <f>IF(PaymentSchedule3[[#This Row],[PMT NO]]&lt;&gt;"",PaymentSchedule3[[#This Row],[BEGINNING BALANCE]]*(InterestRate/PaymentsPerYear),"")</f>
        <v>5438.3432463109684</v>
      </c>
      <c r="J17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1628582.5477515252</v>
      </c>
      <c r="K176" s="19">
        <f>IF(PaymentSchedule3[[#This Row],[PMT NO]]&lt;&gt;"",SUM(INDEX(PaymentSchedule3[INTEREST],1,1):PaymentSchedule3[[#This Row],[INTEREST]]),"")</f>
        <v>1007779.4967841117</v>
      </c>
    </row>
    <row r="177" spans="2:11" x14ac:dyDescent="0.3">
      <c r="B177" s="21">
        <f>IF(LoanIsGood,IF(ROW()-ROW(PaymentSchedule3[[#Headers],[PMT NO]])&gt;ScheduledNumberOfPayments,"",ROW()-ROW(PaymentSchedule3[[#Headers],[PMT NO]])),"")</f>
        <v>166</v>
      </c>
      <c r="C177" s="20">
        <f>IF(PaymentSchedule3[[#This Row],[PMT NO]]&lt;&gt;"",EOMONTH(LoanStartDate,ROW(PaymentSchedule3[[#This Row],[PMT NO]])-ROW(PaymentSchedule3[[#Headers],[PMT NO]])-2)+DAY(LoanStartDate),"")</f>
        <v>48670</v>
      </c>
      <c r="D177" s="19">
        <f>IF(PaymentSchedule3[[#This Row],[PMT NO]]&lt;&gt;"",IF(ROW()-ROW(PaymentSchedule3[[#Headers],[BEGINNING BALANCE]])=1,LoanAmount,INDEX(PaymentSchedule3[ENDING BALANCE],ROW()-ROW(PaymentSchedule3[[#Headers],[BEGINNING BALANCE]])-1)),"")</f>
        <v>1628582.5477515252</v>
      </c>
      <c r="E177" s="19">
        <f>IF(PaymentSchedule3[[#This Row],[PMT NO]]&lt;&gt;"",ScheduledPayment,"")</f>
        <v>8358.7693880762818</v>
      </c>
      <c r="F17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7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77" s="19">
        <f>IF(PaymentSchedule3[[#This Row],[PMT NO]]&lt;&gt;"",PaymentSchedule3[[#This Row],[TOTAL PAYMENT]]-PaymentSchedule3[[#This Row],[INTEREST]],"")</f>
        <v>2930.1608955711972</v>
      </c>
      <c r="I177" s="19">
        <f>IF(PaymentSchedule3[[#This Row],[PMT NO]]&lt;&gt;"",PaymentSchedule3[[#This Row],[BEGINNING BALANCE]]*(InterestRate/PaymentsPerYear),"")</f>
        <v>5428.6084925050845</v>
      </c>
      <c r="J17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1625652.3868559541</v>
      </c>
      <c r="K177" s="19">
        <f>IF(PaymentSchedule3[[#This Row],[PMT NO]]&lt;&gt;"",SUM(INDEX(PaymentSchedule3[INTEREST],1,1):PaymentSchedule3[[#This Row],[INTEREST]]),"")</f>
        <v>1013208.1052766168</v>
      </c>
    </row>
    <row r="178" spans="2:11" x14ac:dyDescent="0.3">
      <c r="B178" s="21">
        <f>IF(LoanIsGood,IF(ROW()-ROW(PaymentSchedule3[[#Headers],[PMT NO]])&gt;ScheduledNumberOfPayments,"",ROW()-ROW(PaymentSchedule3[[#Headers],[PMT NO]])),"")</f>
        <v>167</v>
      </c>
      <c r="C178" s="20">
        <f>IF(PaymentSchedule3[[#This Row],[PMT NO]]&lt;&gt;"",EOMONTH(LoanStartDate,ROW(PaymentSchedule3[[#This Row],[PMT NO]])-ROW(PaymentSchedule3[[#Headers],[PMT NO]])-2)+DAY(LoanStartDate),"")</f>
        <v>48700</v>
      </c>
      <c r="D178" s="19">
        <f>IF(PaymentSchedule3[[#This Row],[PMT NO]]&lt;&gt;"",IF(ROW()-ROW(PaymentSchedule3[[#Headers],[BEGINNING BALANCE]])=1,LoanAmount,INDEX(PaymentSchedule3[ENDING BALANCE],ROW()-ROW(PaymentSchedule3[[#Headers],[BEGINNING BALANCE]])-1)),"")</f>
        <v>1625652.3868559541</v>
      </c>
      <c r="E178" s="19">
        <f>IF(PaymentSchedule3[[#This Row],[PMT NO]]&lt;&gt;"",ScheduledPayment,"")</f>
        <v>8358.7693880762818</v>
      </c>
      <c r="F17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7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78" s="19">
        <f>IF(PaymentSchedule3[[#This Row],[PMT NO]]&lt;&gt;"",PaymentSchedule3[[#This Row],[TOTAL PAYMENT]]-PaymentSchedule3[[#This Row],[INTEREST]],"")</f>
        <v>2939.9280985564346</v>
      </c>
      <c r="I178" s="19">
        <f>IF(PaymentSchedule3[[#This Row],[PMT NO]]&lt;&gt;"",PaymentSchedule3[[#This Row],[BEGINNING BALANCE]]*(InterestRate/PaymentsPerYear),"")</f>
        <v>5418.8412895198471</v>
      </c>
      <c r="J17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1622712.4587573977</v>
      </c>
      <c r="K178" s="19">
        <f>IF(PaymentSchedule3[[#This Row],[PMT NO]]&lt;&gt;"",SUM(INDEX(PaymentSchedule3[INTEREST],1,1):PaymentSchedule3[[#This Row],[INTEREST]]),"")</f>
        <v>1018626.9465661366</v>
      </c>
    </row>
    <row r="179" spans="2:11" x14ac:dyDescent="0.3">
      <c r="B179" s="21">
        <f>IF(LoanIsGood,IF(ROW()-ROW(PaymentSchedule3[[#Headers],[PMT NO]])&gt;ScheduledNumberOfPayments,"",ROW()-ROW(PaymentSchedule3[[#Headers],[PMT NO]])),"")</f>
        <v>168</v>
      </c>
      <c r="C179" s="20">
        <f>IF(PaymentSchedule3[[#This Row],[PMT NO]]&lt;&gt;"",EOMONTH(LoanStartDate,ROW(PaymentSchedule3[[#This Row],[PMT NO]])-ROW(PaymentSchedule3[[#Headers],[PMT NO]])-2)+DAY(LoanStartDate),"")</f>
        <v>48731</v>
      </c>
      <c r="D179" s="19">
        <f>IF(PaymentSchedule3[[#This Row],[PMT NO]]&lt;&gt;"",IF(ROW()-ROW(PaymentSchedule3[[#Headers],[BEGINNING BALANCE]])=1,LoanAmount,INDEX(PaymentSchedule3[ENDING BALANCE],ROW()-ROW(PaymentSchedule3[[#Headers],[BEGINNING BALANCE]])-1)),"")</f>
        <v>1622712.4587573977</v>
      </c>
      <c r="E179" s="19">
        <f>IF(PaymentSchedule3[[#This Row],[PMT NO]]&lt;&gt;"",ScheduledPayment,"")</f>
        <v>8358.7693880762818</v>
      </c>
      <c r="F17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7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79" s="19">
        <f>IF(PaymentSchedule3[[#This Row],[PMT NO]]&lt;&gt;"",PaymentSchedule3[[#This Row],[TOTAL PAYMENT]]-PaymentSchedule3[[#This Row],[INTEREST]],"")</f>
        <v>2949.7278588849558</v>
      </c>
      <c r="I179" s="19">
        <f>IF(PaymentSchedule3[[#This Row],[PMT NO]]&lt;&gt;"",PaymentSchedule3[[#This Row],[BEGINNING BALANCE]]*(InterestRate/PaymentsPerYear),"")</f>
        <v>5409.0415291913259</v>
      </c>
      <c r="J17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1619762.7308985128</v>
      </c>
      <c r="K179" s="19">
        <f>IF(PaymentSchedule3[[#This Row],[PMT NO]]&lt;&gt;"",SUM(INDEX(PaymentSchedule3[INTEREST],1,1):PaymentSchedule3[[#This Row],[INTEREST]]),"")</f>
        <v>1024035.9880953279</v>
      </c>
    </row>
    <row r="180" spans="2:11" x14ac:dyDescent="0.3">
      <c r="B180" s="21">
        <f>IF(LoanIsGood,IF(ROW()-ROW(PaymentSchedule3[[#Headers],[PMT NO]])&gt;ScheduledNumberOfPayments,"",ROW()-ROW(PaymentSchedule3[[#Headers],[PMT NO]])),"")</f>
        <v>169</v>
      </c>
      <c r="C180" s="20">
        <f>IF(PaymentSchedule3[[#This Row],[PMT NO]]&lt;&gt;"",EOMONTH(LoanStartDate,ROW(PaymentSchedule3[[#This Row],[PMT NO]])-ROW(PaymentSchedule3[[#Headers],[PMT NO]])-2)+DAY(LoanStartDate),"")</f>
        <v>48761</v>
      </c>
      <c r="D180" s="19">
        <f>IF(PaymentSchedule3[[#This Row],[PMT NO]]&lt;&gt;"",IF(ROW()-ROW(PaymentSchedule3[[#Headers],[BEGINNING BALANCE]])=1,LoanAmount,INDEX(PaymentSchedule3[ENDING BALANCE],ROW()-ROW(PaymentSchedule3[[#Headers],[BEGINNING BALANCE]])-1)),"")</f>
        <v>1619762.7308985128</v>
      </c>
      <c r="E180" s="19">
        <f>IF(PaymentSchedule3[[#This Row],[PMT NO]]&lt;&gt;"",ScheduledPayment,"")</f>
        <v>8358.7693880762818</v>
      </c>
      <c r="F18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8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80" s="19">
        <f>IF(PaymentSchedule3[[#This Row],[PMT NO]]&lt;&gt;"",PaymentSchedule3[[#This Row],[TOTAL PAYMENT]]-PaymentSchedule3[[#This Row],[INTEREST]],"")</f>
        <v>2959.5602850812393</v>
      </c>
      <c r="I180" s="19">
        <f>IF(PaymentSchedule3[[#This Row],[PMT NO]]&lt;&gt;"",PaymentSchedule3[[#This Row],[BEGINNING BALANCE]]*(InterestRate/PaymentsPerYear),"")</f>
        <v>5399.2091029950425</v>
      </c>
      <c r="J18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1616803.1706134316</v>
      </c>
      <c r="K180" s="19">
        <f>IF(PaymentSchedule3[[#This Row],[PMT NO]]&lt;&gt;"",SUM(INDEX(PaymentSchedule3[INTEREST],1,1):PaymentSchedule3[[#This Row],[INTEREST]]),"")</f>
        <v>1029435.1971983229</v>
      </c>
    </row>
    <row r="181" spans="2:11" x14ac:dyDescent="0.3">
      <c r="B181" s="21">
        <f>IF(LoanIsGood,IF(ROW()-ROW(PaymentSchedule3[[#Headers],[PMT NO]])&gt;ScheduledNumberOfPayments,"",ROW()-ROW(PaymentSchedule3[[#Headers],[PMT NO]])),"")</f>
        <v>170</v>
      </c>
      <c r="C181" s="20">
        <f>IF(PaymentSchedule3[[#This Row],[PMT NO]]&lt;&gt;"",EOMONTH(LoanStartDate,ROW(PaymentSchedule3[[#This Row],[PMT NO]])-ROW(PaymentSchedule3[[#Headers],[PMT NO]])-2)+DAY(LoanStartDate),"")</f>
        <v>48792</v>
      </c>
      <c r="D181" s="19">
        <f>IF(PaymentSchedule3[[#This Row],[PMT NO]]&lt;&gt;"",IF(ROW()-ROW(PaymentSchedule3[[#Headers],[BEGINNING BALANCE]])=1,LoanAmount,INDEX(PaymentSchedule3[ENDING BALANCE],ROW()-ROW(PaymentSchedule3[[#Headers],[BEGINNING BALANCE]])-1)),"")</f>
        <v>1616803.1706134316</v>
      </c>
      <c r="E181" s="19">
        <f>IF(PaymentSchedule3[[#This Row],[PMT NO]]&lt;&gt;"",ScheduledPayment,"")</f>
        <v>8358.7693880762818</v>
      </c>
      <c r="F18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8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81" s="19">
        <f>IF(PaymentSchedule3[[#This Row],[PMT NO]]&lt;&gt;"",PaymentSchedule3[[#This Row],[TOTAL PAYMENT]]-PaymentSchedule3[[#This Row],[INTEREST]],"")</f>
        <v>2969.4254860315095</v>
      </c>
      <c r="I181" s="19">
        <f>IF(PaymentSchedule3[[#This Row],[PMT NO]]&lt;&gt;"",PaymentSchedule3[[#This Row],[BEGINNING BALANCE]]*(InterestRate/PaymentsPerYear),"")</f>
        <v>5389.3439020447722</v>
      </c>
      <c r="J18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1613833.7451274002</v>
      </c>
      <c r="K181" s="19">
        <f>IF(PaymentSchedule3[[#This Row],[PMT NO]]&lt;&gt;"",SUM(INDEX(PaymentSchedule3[INTEREST],1,1):PaymentSchedule3[[#This Row],[INTEREST]]),"")</f>
        <v>1034824.5411003677</v>
      </c>
    </row>
    <row r="182" spans="2:11" x14ac:dyDescent="0.3">
      <c r="B182" s="21">
        <f>IF(LoanIsGood,IF(ROW()-ROW(PaymentSchedule3[[#Headers],[PMT NO]])&gt;ScheduledNumberOfPayments,"",ROW()-ROW(PaymentSchedule3[[#Headers],[PMT NO]])),"")</f>
        <v>171</v>
      </c>
      <c r="C182" s="20">
        <f>IF(PaymentSchedule3[[#This Row],[PMT NO]]&lt;&gt;"",EOMONTH(LoanStartDate,ROW(PaymentSchedule3[[#This Row],[PMT NO]])-ROW(PaymentSchedule3[[#Headers],[PMT NO]])-2)+DAY(LoanStartDate),"")</f>
        <v>48823</v>
      </c>
      <c r="D182" s="19">
        <f>IF(PaymentSchedule3[[#This Row],[PMT NO]]&lt;&gt;"",IF(ROW()-ROW(PaymentSchedule3[[#Headers],[BEGINNING BALANCE]])=1,LoanAmount,INDEX(PaymentSchedule3[ENDING BALANCE],ROW()-ROW(PaymentSchedule3[[#Headers],[BEGINNING BALANCE]])-1)),"")</f>
        <v>1613833.7451274002</v>
      </c>
      <c r="E182" s="19">
        <f>IF(PaymentSchedule3[[#This Row],[PMT NO]]&lt;&gt;"",ScheduledPayment,"")</f>
        <v>8358.7693880762818</v>
      </c>
      <c r="F18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8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82" s="19">
        <f>IF(PaymentSchedule3[[#This Row],[PMT NO]]&lt;&gt;"",PaymentSchedule3[[#This Row],[TOTAL PAYMENT]]-PaymentSchedule3[[#This Row],[INTEREST]],"")</f>
        <v>2979.3235709849478</v>
      </c>
      <c r="I182" s="19">
        <f>IF(PaymentSchedule3[[#This Row],[PMT NO]]&lt;&gt;"",PaymentSchedule3[[#This Row],[BEGINNING BALANCE]]*(InterestRate/PaymentsPerYear),"")</f>
        <v>5379.445817091334</v>
      </c>
      <c r="J18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1610854.4215564153</v>
      </c>
      <c r="K182" s="19">
        <f>IF(PaymentSchedule3[[#This Row],[PMT NO]]&lt;&gt;"",SUM(INDEX(PaymentSchedule3[INTEREST],1,1):PaymentSchedule3[[#This Row],[INTEREST]]),"")</f>
        <v>1040203.9869174591</v>
      </c>
    </row>
    <row r="183" spans="2:11" x14ac:dyDescent="0.3">
      <c r="B183" s="21">
        <f>IF(LoanIsGood,IF(ROW()-ROW(PaymentSchedule3[[#Headers],[PMT NO]])&gt;ScheduledNumberOfPayments,"",ROW()-ROW(PaymentSchedule3[[#Headers],[PMT NO]])),"")</f>
        <v>172</v>
      </c>
      <c r="C183" s="20">
        <f>IF(PaymentSchedule3[[#This Row],[PMT NO]]&lt;&gt;"",EOMONTH(LoanStartDate,ROW(PaymentSchedule3[[#This Row],[PMT NO]])-ROW(PaymentSchedule3[[#Headers],[PMT NO]])-2)+DAY(LoanStartDate),"")</f>
        <v>48853</v>
      </c>
      <c r="D183" s="19">
        <f>IF(PaymentSchedule3[[#This Row],[PMT NO]]&lt;&gt;"",IF(ROW()-ROW(PaymentSchedule3[[#Headers],[BEGINNING BALANCE]])=1,LoanAmount,INDEX(PaymentSchedule3[ENDING BALANCE],ROW()-ROW(PaymentSchedule3[[#Headers],[BEGINNING BALANCE]])-1)),"")</f>
        <v>1610854.4215564153</v>
      </c>
      <c r="E183" s="19">
        <f>IF(PaymentSchedule3[[#This Row],[PMT NO]]&lt;&gt;"",ScheduledPayment,"")</f>
        <v>8358.7693880762818</v>
      </c>
      <c r="F18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8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83" s="19">
        <f>IF(PaymentSchedule3[[#This Row],[PMT NO]]&lt;&gt;"",PaymentSchedule3[[#This Row],[TOTAL PAYMENT]]-PaymentSchedule3[[#This Row],[INTEREST]],"")</f>
        <v>2989.2546495548968</v>
      </c>
      <c r="I183" s="19">
        <f>IF(PaymentSchedule3[[#This Row],[PMT NO]]&lt;&gt;"",PaymentSchedule3[[#This Row],[BEGINNING BALANCE]]*(InterestRate/PaymentsPerYear),"")</f>
        <v>5369.514738521385</v>
      </c>
      <c r="J18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1607865.1669068604</v>
      </c>
      <c r="K183" s="19">
        <f>IF(PaymentSchedule3[[#This Row],[PMT NO]]&lt;&gt;"",SUM(INDEX(PaymentSchedule3[INTEREST],1,1):PaymentSchedule3[[#This Row],[INTEREST]]),"")</f>
        <v>1045573.5016559805</v>
      </c>
    </row>
    <row r="184" spans="2:11" x14ac:dyDescent="0.3">
      <c r="B184" s="21">
        <f>IF(LoanIsGood,IF(ROW()-ROW(PaymentSchedule3[[#Headers],[PMT NO]])&gt;ScheduledNumberOfPayments,"",ROW()-ROW(PaymentSchedule3[[#Headers],[PMT NO]])),"")</f>
        <v>173</v>
      </c>
      <c r="C184" s="20">
        <f>IF(PaymentSchedule3[[#This Row],[PMT NO]]&lt;&gt;"",EOMONTH(LoanStartDate,ROW(PaymentSchedule3[[#This Row],[PMT NO]])-ROW(PaymentSchedule3[[#Headers],[PMT NO]])-2)+DAY(LoanStartDate),"")</f>
        <v>48884</v>
      </c>
      <c r="D184" s="19">
        <f>IF(PaymentSchedule3[[#This Row],[PMT NO]]&lt;&gt;"",IF(ROW()-ROW(PaymentSchedule3[[#Headers],[BEGINNING BALANCE]])=1,LoanAmount,INDEX(PaymentSchedule3[ENDING BALANCE],ROW()-ROW(PaymentSchedule3[[#Headers],[BEGINNING BALANCE]])-1)),"")</f>
        <v>1607865.1669068604</v>
      </c>
      <c r="E184" s="19">
        <f>IF(PaymentSchedule3[[#This Row],[PMT NO]]&lt;&gt;"",ScheduledPayment,"")</f>
        <v>8358.7693880762818</v>
      </c>
      <c r="F18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8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84" s="19">
        <f>IF(PaymentSchedule3[[#This Row],[PMT NO]]&lt;&gt;"",PaymentSchedule3[[#This Row],[TOTAL PAYMENT]]-PaymentSchedule3[[#This Row],[INTEREST]],"")</f>
        <v>2999.2188317200798</v>
      </c>
      <c r="I184" s="19">
        <f>IF(PaymentSchedule3[[#This Row],[PMT NO]]&lt;&gt;"",PaymentSchedule3[[#This Row],[BEGINNING BALANCE]]*(InterestRate/PaymentsPerYear),"")</f>
        <v>5359.5505563562019</v>
      </c>
      <c r="J18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1604865.9480751404</v>
      </c>
      <c r="K184" s="19">
        <f>IF(PaymentSchedule3[[#This Row],[PMT NO]]&lt;&gt;"",SUM(INDEX(PaymentSchedule3[INTEREST],1,1):PaymentSchedule3[[#This Row],[INTEREST]]),"")</f>
        <v>1050933.0522123366</v>
      </c>
    </row>
    <row r="185" spans="2:11" x14ac:dyDescent="0.3">
      <c r="B185" s="21">
        <f>IF(LoanIsGood,IF(ROW()-ROW(PaymentSchedule3[[#Headers],[PMT NO]])&gt;ScheduledNumberOfPayments,"",ROW()-ROW(PaymentSchedule3[[#Headers],[PMT NO]])),"")</f>
        <v>174</v>
      </c>
      <c r="C185" s="20">
        <f>IF(PaymentSchedule3[[#This Row],[PMT NO]]&lt;&gt;"",EOMONTH(LoanStartDate,ROW(PaymentSchedule3[[#This Row],[PMT NO]])-ROW(PaymentSchedule3[[#Headers],[PMT NO]])-2)+DAY(LoanStartDate),"")</f>
        <v>48914</v>
      </c>
      <c r="D185" s="19">
        <f>IF(PaymentSchedule3[[#This Row],[PMT NO]]&lt;&gt;"",IF(ROW()-ROW(PaymentSchedule3[[#Headers],[BEGINNING BALANCE]])=1,LoanAmount,INDEX(PaymentSchedule3[ENDING BALANCE],ROW()-ROW(PaymentSchedule3[[#Headers],[BEGINNING BALANCE]])-1)),"")</f>
        <v>1604865.9480751404</v>
      </c>
      <c r="E185" s="19">
        <f>IF(PaymentSchedule3[[#This Row],[PMT NO]]&lt;&gt;"",ScheduledPayment,"")</f>
        <v>8358.7693880762818</v>
      </c>
      <c r="F18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8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85" s="19">
        <f>IF(PaymentSchedule3[[#This Row],[PMT NO]]&lt;&gt;"",PaymentSchedule3[[#This Row],[TOTAL PAYMENT]]-PaymentSchedule3[[#This Row],[INTEREST]],"")</f>
        <v>3009.2162278258138</v>
      </c>
      <c r="I185" s="19">
        <f>IF(PaymentSchedule3[[#This Row],[PMT NO]]&lt;&gt;"",PaymentSchedule3[[#This Row],[BEGINNING BALANCE]]*(InterestRate/PaymentsPerYear),"")</f>
        <v>5349.553160250468</v>
      </c>
      <c r="J18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1601856.7318473146</v>
      </c>
      <c r="K185" s="19">
        <f>IF(PaymentSchedule3[[#This Row],[PMT NO]]&lt;&gt;"",SUM(INDEX(PaymentSchedule3[INTEREST],1,1):PaymentSchedule3[[#This Row],[INTEREST]]),"")</f>
        <v>1056282.605372587</v>
      </c>
    </row>
    <row r="186" spans="2:11" x14ac:dyDescent="0.3">
      <c r="B186" s="21">
        <f>IF(LoanIsGood,IF(ROW()-ROW(PaymentSchedule3[[#Headers],[PMT NO]])&gt;ScheduledNumberOfPayments,"",ROW()-ROW(PaymentSchedule3[[#Headers],[PMT NO]])),"")</f>
        <v>175</v>
      </c>
      <c r="C186" s="20">
        <f>IF(PaymentSchedule3[[#This Row],[PMT NO]]&lt;&gt;"",EOMONTH(LoanStartDate,ROW(PaymentSchedule3[[#This Row],[PMT NO]])-ROW(PaymentSchedule3[[#Headers],[PMT NO]])-2)+DAY(LoanStartDate),"")</f>
        <v>48945</v>
      </c>
      <c r="D186" s="19">
        <f>IF(PaymentSchedule3[[#This Row],[PMT NO]]&lt;&gt;"",IF(ROW()-ROW(PaymentSchedule3[[#Headers],[BEGINNING BALANCE]])=1,LoanAmount,INDEX(PaymentSchedule3[ENDING BALANCE],ROW()-ROW(PaymentSchedule3[[#Headers],[BEGINNING BALANCE]])-1)),"")</f>
        <v>1601856.7318473146</v>
      </c>
      <c r="E186" s="19">
        <f>IF(PaymentSchedule3[[#This Row],[PMT NO]]&lt;&gt;"",ScheduledPayment,"")</f>
        <v>8358.7693880762818</v>
      </c>
      <c r="F18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8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86" s="19">
        <f>IF(PaymentSchedule3[[#This Row],[PMT NO]]&lt;&gt;"",PaymentSchedule3[[#This Row],[TOTAL PAYMENT]]-PaymentSchedule3[[#This Row],[INTEREST]],"")</f>
        <v>3019.2469485852325</v>
      </c>
      <c r="I186" s="19">
        <f>IF(PaymentSchedule3[[#This Row],[PMT NO]]&lt;&gt;"",PaymentSchedule3[[#This Row],[BEGINNING BALANCE]]*(InterestRate/PaymentsPerYear),"")</f>
        <v>5339.5224394910492</v>
      </c>
      <c r="J18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1598837.4848987295</v>
      </c>
      <c r="K186" s="19">
        <f>IF(PaymentSchedule3[[#This Row],[PMT NO]]&lt;&gt;"",SUM(INDEX(PaymentSchedule3[INTEREST],1,1):PaymentSchedule3[[#This Row],[INTEREST]]),"")</f>
        <v>1061622.127812078</v>
      </c>
    </row>
    <row r="187" spans="2:11" x14ac:dyDescent="0.3">
      <c r="B187" s="21">
        <f>IF(LoanIsGood,IF(ROW()-ROW(PaymentSchedule3[[#Headers],[PMT NO]])&gt;ScheduledNumberOfPayments,"",ROW()-ROW(PaymentSchedule3[[#Headers],[PMT NO]])),"")</f>
        <v>176</v>
      </c>
      <c r="C187" s="20">
        <f>IF(PaymentSchedule3[[#This Row],[PMT NO]]&lt;&gt;"",EOMONTH(LoanStartDate,ROW(PaymentSchedule3[[#This Row],[PMT NO]])-ROW(PaymentSchedule3[[#Headers],[PMT NO]])-2)+DAY(LoanStartDate),"")</f>
        <v>48976</v>
      </c>
      <c r="D187" s="19">
        <f>IF(PaymentSchedule3[[#This Row],[PMT NO]]&lt;&gt;"",IF(ROW()-ROW(PaymentSchedule3[[#Headers],[BEGINNING BALANCE]])=1,LoanAmount,INDEX(PaymentSchedule3[ENDING BALANCE],ROW()-ROW(PaymentSchedule3[[#Headers],[BEGINNING BALANCE]])-1)),"")</f>
        <v>1598837.4848987295</v>
      </c>
      <c r="E187" s="19">
        <f>IF(PaymentSchedule3[[#This Row],[PMT NO]]&lt;&gt;"",ScheduledPayment,"")</f>
        <v>8358.7693880762818</v>
      </c>
      <c r="F18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8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87" s="19">
        <f>IF(PaymentSchedule3[[#This Row],[PMT NO]]&lt;&gt;"",PaymentSchedule3[[#This Row],[TOTAL PAYMENT]]-PaymentSchedule3[[#This Row],[INTEREST]],"")</f>
        <v>3029.3111050805164</v>
      </c>
      <c r="I187" s="19">
        <f>IF(PaymentSchedule3[[#This Row],[PMT NO]]&lt;&gt;"",PaymentSchedule3[[#This Row],[BEGINNING BALANCE]]*(InterestRate/PaymentsPerYear),"")</f>
        <v>5329.4582829957653</v>
      </c>
      <c r="J18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1595808.1737936491</v>
      </c>
      <c r="K187" s="19">
        <f>IF(PaymentSchedule3[[#This Row],[PMT NO]]&lt;&gt;"",SUM(INDEX(PaymentSchedule3[INTEREST],1,1):PaymentSchedule3[[#This Row],[INTEREST]]),"")</f>
        <v>1066951.5860950737</v>
      </c>
    </row>
    <row r="188" spans="2:11" x14ac:dyDescent="0.3">
      <c r="B188" s="21">
        <f>IF(LoanIsGood,IF(ROW()-ROW(PaymentSchedule3[[#Headers],[PMT NO]])&gt;ScheduledNumberOfPayments,"",ROW()-ROW(PaymentSchedule3[[#Headers],[PMT NO]])),"")</f>
        <v>177</v>
      </c>
      <c r="C188" s="20">
        <f>IF(PaymentSchedule3[[#This Row],[PMT NO]]&lt;&gt;"",EOMONTH(LoanStartDate,ROW(PaymentSchedule3[[#This Row],[PMT NO]])-ROW(PaymentSchedule3[[#Headers],[PMT NO]])-2)+DAY(LoanStartDate),"")</f>
        <v>49004</v>
      </c>
      <c r="D188" s="19">
        <f>IF(PaymentSchedule3[[#This Row],[PMT NO]]&lt;&gt;"",IF(ROW()-ROW(PaymentSchedule3[[#Headers],[BEGINNING BALANCE]])=1,LoanAmount,INDEX(PaymentSchedule3[ENDING BALANCE],ROW()-ROW(PaymentSchedule3[[#Headers],[BEGINNING BALANCE]])-1)),"")</f>
        <v>1595808.1737936491</v>
      </c>
      <c r="E188" s="19">
        <f>IF(PaymentSchedule3[[#This Row],[PMT NO]]&lt;&gt;"",ScheduledPayment,"")</f>
        <v>8358.7693880762818</v>
      </c>
      <c r="F18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8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88" s="19">
        <f>IF(PaymentSchedule3[[#This Row],[PMT NO]]&lt;&gt;"",PaymentSchedule3[[#This Row],[TOTAL PAYMENT]]-PaymentSchedule3[[#This Row],[INTEREST]],"")</f>
        <v>3039.4088087641176</v>
      </c>
      <c r="I188" s="19">
        <f>IF(PaymentSchedule3[[#This Row],[PMT NO]]&lt;&gt;"",PaymentSchedule3[[#This Row],[BEGINNING BALANCE]]*(InterestRate/PaymentsPerYear),"")</f>
        <v>5319.3605793121642</v>
      </c>
      <c r="J18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1592768.764984885</v>
      </c>
      <c r="K188" s="19">
        <f>IF(PaymentSchedule3[[#This Row],[PMT NO]]&lt;&gt;"",SUM(INDEX(PaymentSchedule3[INTEREST],1,1):PaymentSchedule3[[#This Row],[INTEREST]]),"")</f>
        <v>1072270.9466743858</v>
      </c>
    </row>
    <row r="189" spans="2:11" x14ac:dyDescent="0.3">
      <c r="B189" s="21">
        <f>IF(LoanIsGood,IF(ROW()-ROW(PaymentSchedule3[[#Headers],[PMT NO]])&gt;ScheduledNumberOfPayments,"",ROW()-ROW(PaymentSchedule3[[#Headers],[PMT NO]])),"")</f>
        <v>178</v>
      </c>
      <c r="C189" s="20">
        <f>IF(PaymentSchedule3[[#This Row],[PMT NO]]&lt;&gt;"",EOMONTH(LoanStartDate,ROW(PaymentSchedule3[[#This Row],[PMT NO]])-ROW(PaymentSchedule3[[#Headers],[PMT NO]])-2)+DAY(LoanStartDate),"")</f>
        <v>49035</v>
      </c>
      <c r="D189" s="19">
        <f>IF(PaymentSchedule3[[#This Row],[PMT NO]]&lt;&gt;"",IF(ROW()-ROW(PaymentSchedule3[[#Headers],[BEGINNING BALANCE]])=1,LoanAmount,INDEX(PaymentSchedule3[ENDING BALANCE],ROW()-ROW(PaymentSchedule3[[#Headers],[BEGINNING BALANCE]])-1)),"")</f>
        <v>1592768.764984885</v>
      </c>
      <c r="E189" s="19">
        <f>IF(PaymentSchedule3[[#This Row],[PMT NO]]&lt;&gt;"",ScheduledPayment,"")</f>
        <v>8358.7693880762818</v>
      </c>
      <c r="F18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8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89" s="19">
        <f>IF(PaymentSchedule3[[#This Row],[PMT NO]]&lt;&gt;"",PaymentSchedule3[[#This Row],[TOTAL PAYMENT]]-PaymentSchedule3[[#This Row],[INTEREST]],"")</f>
        <v>3049.5401714599984</v>
      </c>
      <c r="I189" s="19">
        <f>IF(PaymentSchedule3[[#This Row],[PMT NO]]&lt;&gt;"",PaymentSchedule3[[#This Row],[BEGINNING BALANCE]]*(InterestRate/PaymentsPerYear),"")</f>
        <v>5309.2292166162833</v>
      </c>
      <c r="J18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1589719.224813425</v>
      </c>
      <c r="K189" s="19">
        <f>IF(PaymentSchedule3[[#This Row],[PMT NO]]&lt;&gt;"",SUM(INDEX(PaymentSchedule3[INTEREST],1,1):PaymentSchedule3[[#This Row],[INTEREST]]),"")</f>
        <v>1077580.1758910022</v>
      </c>
    </row>
    <row r="190" spans="2:11" x14ac:dyDescent="0.3">
      <c r="B190" s="21">
        <f>IF(LoanIsGood,IF(ROW()-ROW(PaymentSchedule3[[#Headers],[PMT NO]])&gt;ScheduledNumberOfPayments,"",ROW()-ROW(PaymentSchedule3[[#Headers],[PMT NO]])),"")</f>
        <v>179</v>
      </c>
      <c r="C190" s="20">
        <f>IF(PaymentSchedule3[[#This Row],[PMT NO]]&lt;&gt;"",EOMONTH(LoanStartDate,ROW(PaymentSchedule3[[#This Row],[PMT NO]])-ROW(PaymentSchedule3[[#Headers],[PMT NO]])-2)+DAY(LoanStartDate),"")</f>
        <v>49065</v>
      </c>
      <c r="D190" s="19">
        <f>IF(PaymentSchedule3[[#This Row],[PMT NO]]&lt;&gt;"",IF(ROW()-ROW(PaymentSchedule3[[#Headers],[BEGINNING BALANCE]])=1,LoanAmount,INDEX(PaymentSchedule3[ENDING BALANCE],ROW()-ROW(PaymentSchedule3[[#Headers],[BEGINNING BALANCE]])-1)),"")</f>
        <v>1589719.224813425</v>
      </c>
      <c r="E190" s="19">
        <f>IF(PaymentSchedule3[[#This Row],[PMT NO]]&lt;&gt;"",ScheduledPayment,"")</f>
        <v>8358.7693880762818</v>
      </c>
      <c r="F19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9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90" s="19">
        <f>IF(PaymentSchedule3[[#This Row],[PMT NO]]&lt;&gt;"",PaymentSchedule3[[#This Row],[TOTAL PAYMENT]]-PaymentSchedule3[[#This Row],[INTEREST]],"")</f>
        <v>3059.7053053648651</v>
      </c>
      <c r="I190" s="19">
        <f>IF(PaymentSchedule3[[#This Row],[PMT NO]]&lt;&gt;"",PaymentSchedule3[[#This Row],[BEGINNING BALANCE]]*(InterestRate/PaymentsPerYear),"")</f>
        <v>5299.0640827114166</v>
      </c>
      <c r="J19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1586659.5195080601</v>
      </c>
      <c r="K190" s="19">
        <f>IF(PaymentSchedule3[[#This Row],[PMT NO]]&lt;&gt;"",SUM(INDEX(PaymentSchedule3[INTEREST],1,1):PaymentSchedule3[[#This Row],[INTEREST]]),"")</f>
        <v>1082879.2399737136</v>
      </c>
    </row>
    <row r="191" spans="2:11" x14ac:dyDescent="0.3">
      <c r="B191" s="21">
        <f>IF(LoanIsGood,IF(ROW()-ROW(PaymentSchedule3[[#Headers],[PMT NO]])&gt;ScheduledNumberOfPayments,"",ROW()-ROW(PaymentSchedule3[[#Headers],[PMT NO]])),"")</f>
        <v>180</v>
      </c>
      <c r="C191" s="20">
        <f>IF(PaymentSchedule3[[#This Row],[PMT NO]]&lt;&gt;"",EOMONTH(LoanStartDate,ROW(PaymentSchedule3[[#This Row],[PMT NO]])-ROW(PaymentSchedule3[[#Headers],[PMT NO]])-2)+DAY(LoanStartDate),"")</f>
        <v>49096</v>
      </c>
      <c r="D191" s="19">
        <f>IF(PaymentSchedule3[[#This Row],[PMT NO]]&lt;&gt;"",IF(ROW()-ROW(PaymentSchedule3[[#Headers],[BEGINNING BALANCE]])=1,LoanAmount,INDEX(PaymentSchedule3[ENDING BALANCE],ROW()-ROW(PaymentSchedule3[[#Headers],[BEGINNING BALANCE]])-1)),"")</f>
        <v>1586659.5195080601</v>
      </c>
      <c r="E191" s="19">
        <f>IF(PaymentSchedule3[[#This Row],[PMT NO]]&lt;&gt;"",ScheduledPayment,"")</f>
        <v>8358.7693880762818</v>
      </c>
      <c r="F19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9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91" s="19">
        <f>IF(PaymentSchedule3[[#This Row],[PMT NO]]&lt;&gt;"",PaymentSchedule3[[#This Row],[TOTAL PAYMENT]]-PaymentSchedule3[[#This Row],[INTEREST]],"")</f>
        <v>3069.9043230494144</v>
      </c>
      <c r="I191" s="19">
        <f>IF(PaymentSchedule3[[#This Row],[PMT NO]]&lt;&gt;"",PaymentSchedule3[[#This Row],[BEGINNING BALANCE]]*(InterestRate/PaymentsPerYear),"")</f>
        <v>5288.8650650268673</v>
      </c>
      <c r="J19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1583589.6151850107</v>
      </c>
      <c r="K191" s="19">
        <f>IF(PaymentSchedule3[[#This Row],[PMT NO]]&lt;&gt;"",SUM(INDEX(PaymentSchedule3[INTEREST],1,1):PaymentSchedule3[[#This Row],[INTEREST]]),"")</f>
        <v>1088168.1050387404</v>
      </c>
    </row>
    <row r="192" spans="2:11" x14ac:dyDescent="0.3">
      <c r="B192" s="21">
        <f>IF(LoanIsGood,IF(ROW()-ROW(PaymentSchedule3[[#Headers],[PMT NO]])&gt;ScheduledNumberOfPayments,"",ROW()-ROW(PaymentSchedule3[[#Headers],[PMT NO]])),"")</f>
        <v>181</v>
      </c>
      <c r="C192" s="20">
        <f>IF(PaymentSchedule3[[#This Row],[PMT NO]]&lt;&gt;"",EOMONTH(LoanStartDate,ROW(PaymentSchedule3[[#This Row],[PMT NO]])-ROW(PaymentSchedule3[[#Headers],[PMT NO]])-2)+DAY(LoanStartDate),"")</f>
        <v>49126</v>
      </c>
      <c r="D192" s="19">
        <f>IF(PaymentSchedule3[[#This Row],[PMT NO]]&lt;&gt;"",IF(ROW()-ROW(PaymentSchedule3[[#Headers],[BEGINNING BALANCE]])=1,LoanAmount,INDEX(PaymentSchedule3[ENDING BALANCE],ROW()-ROW(PaymentSchedule3[[#Headers],[BEGINNING BALANCE]])-1)),"")</f>
        <v>1583589.6151850107</v>
      </c>
      <c r="E192" s="19">
        <f>IF(PaymentSchedule3[[#This Row],[PMT NO]]&lt;&gt;"",ScheduledPayment,"")</f>
        <v>8358.7693880762818</v>
      </c>
      <c r="F19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9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92" s="19">
        <f>IF(PaymentSchedule3[[#This Row],[PMT NO]]&lt;&gt;"",PaymentSchedule3[[#This Row],[TOTAL PAYMENT]]-PaymentSchedule3[[#This Row],[INTEREST]],"")</f>
        <v>3080.1373374595787</v>
      </c>
      <c r="I192" s="19">
        <f>IF(PaymentSchedule3[[#This Row],[PMT NO]]&lt;&gt;"",PaymentSchedule3[[#This Row],[BEGINNING BALANCE]]*(InterestRate/PaymentsPerYear),"")</f>
        <v>5278.6320506167031</v>
      </c>
      <c r="J19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1580509.4778475512</v>
      </c>
      <c r="K192" s="19">
        <f>IF(PaymentSchedule3[[#This Row],[PMT NO]]&lt;&gt;"",SUM(INDEX(PaymentSchedule3[INTEREST],1,1):PaymentSchedule3[[#This Row],[INTEREST]]),"")</f>
        <v>1093446.7370893571</v>
      </c>
    </row>
    <row r="193" spans="2:11" x14ac:dyDescent="0.3">
      <c r="B193" s="21">
        <f>IF(LoanIsGood,IF(ROW()-ROW(PaymentSchedule3[[#Headers],[PMT NO]])&gt;ScheduledNumberOfPayments,"",ROW()-ROW(PaymentSchedule3[[#Headers],[PMT NO]])),"")</f>
        <v>182</v>
      </c>
      <c r="C193" s="20">
        <f>IF(PaymentSchedule3[[#This Row],[PMT NO]]&lt;&gt;"",EOMONTH(LoanStartDate,ROW(PaymentSchedule3[[#This Row],[PMT NO]])-ROW(PaymentSchedule3[[#Headers],[PMT NO]])-2)+DAY(LoanStartDate),"")</f>
        <v>49157</v>
      </c>
      <c r="D193" s="19">
        <f>IF(PaymentSchedule3[[#This Row],[PMT NO]]&lt;&gt;"",IF(ROW()-ROW(PaymentSchedule3[[#Headers],[BEGINNING BALANCE]])=1,LoanAmount,INDEX(PaymentSchedule3[ENDING BALANCE],ROW()-ROW(PaymentSchedule3[[#Headers],[BEGINNING BALANCE]])-1)),"")</f>
        <v>1580509.4778475512</v>
      </c>
      <c r="E193" s="19">
        <f>IF(PaymentSchedule3[[#This Row],[PMT NO]]&lt;&gt;"",ScheduledPayment,"")</f>
        <v>8358.7693880762818</v>
      </c>
      <c r="F19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9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93" s="19">
        <f>IF(PaymentSchedule3[[#This Row],[PMT NO]]&lt;&gt;"",PaymentSchedule3[[#This Row],[TOTAL PAYMENT]]-PaymentSchedule3[[#This Row],[INTEREST]],"")</f>
        <v>3090.4044619177776</v>
      </c>
      <c r="I193" s="19">
        <f>IF(PaymentSchedule3[[#This Row],[PMT NO]]&lt;&gt;"",PaymentSchedule3[[#This Row],[BEGINNING BALANCE]]*(InterestRate/PaymentsPerYear),"")</f>
        <v>5268.3649261585042</v>
      </c>
      <c r="J19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1577419.0733856335</v>
      </c>
      <c r="K193" s="19">
        <f>IF(PaymentSchedule3[[#This Row],[PMT NO]]&lt;&gt;"",SUM(INDEX(PaymentSchedule3[INTEREST],1,1):PaymentSchedule3[[#This Row],[INTEREST]]),"")</f>
        <v>1098715.1020155156</v>
      </c>
    </row>
    <row r="194" spans="2:11" x14ac:dyDescent="0.3">
      <c r="B194" s="21">
        <f>IF(LoanIsGood,IF(ROW()-ROW(PaymentSchedule3[[#Headers],[PMT NO]])&gt;ScheduledNumberOfPayments,"",ROW()-ROW(PaymentSchedule3[[#Headers],[PMT NO]])),"")</f>
        <v>183</v>
      </c>
      <c r="C194" s="20">
        <f>IF(PaymentSchedule3[[#This Row],[PMT NO]]&lt;&gt;"",EOMONTH(LoanStartDate,ROW(PaymentSchedule3[[#This Row],[PMT NO]])-ROW(PaymentSchedule3[[#Headers],[PMT NO]])-2)+DAY(LoanStartDate),"")</f>
        <v>49188</v>
      </c>
      <c r="D194" s="19">
        <f>IF(PaymentSchedule3[[#This Row],[PMT NO]]&lt;&gt;"",IF(ROW()-ROW(PaymentSchedule3[[#Headers],[BEGINNING BALANCE]])=1,LoanAmount,INDEX(PaymentSchedule3[ENDING BALANCE],ROW()-ROW(PaymentSchedule3[[#Headers],[BEGINNING BALANCE]])-1)),"")</f>
        <v>1577419.0733856335</v>
      </c>
      <c r="E194" s="19">
        <f>IF(PaymentSchedule3[[#This Row],[PMT NO]]&lt;&gt;"",ScheduledPayment,"")</f>
        <v>8358.7693880762818</v>
      </c>
      <c r="F19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9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94" s="19">
        <f>IF(PaymentSchedule3[[#This Row],[PMT NO]]&lt;&gt;"",PaymentSchedule3[[#This Row],[TOTAL PAYMENT]]-PaymentSchedule3[[#This Row],[INTEREST]],"")</f>
        <v>3100.7058101241701</v>
      </c>
      <c r="I194" s="19">
        <f>IF(PaymentSchedule3[[#This Row],[PMT NO]]&lt;&gt;"",PaymentSchedule3[[#This Row],[BEGINNING BALANCE]]*(InterestRate/PaymentsPerYear),"")</f>
        <v>5258.0635779521117</v>
      </c>
      <c r="J19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1574318.3675755095</v>
      </c>
      <c r="K194" s="19">
        <f>IF(PaymentSchedule3[[#This Row],[PMT NO]]&lt;&gt;"",SUM(INDEX(PaymentSchedule3[INTEREST],1,1):PaymentSchedule3[[#This Row],[INTEREST]]),"")</f>
        <v>1103973.1655934677</v>
      </c>
    </row>
    <row r="195" spans="2:11" x14ac:dyDescent="0.3">
      <c r="B195" s="21">
        <f>IF(LoanIsGood,IF(ROW()-ROW(PaymentSchedule3[[#Headers],[PMT NO]])&gt;ScheduledNumberOfPayments,"",ROW()-ROW(PaymentSchedule3[[#Headers],[PMT NO]])),"")</f>
        <v>184</v>
      </c>
      <c r="C195" s="20">
        <f>IF(PaymentSchedule3[[#This Row],[PMT NO]]&lt;&gt;"",EOMONTH(LoanStartDate,ROW(PaymentSchedule3[[#This Row],[PMT NO]])-ROW(PaymentSchedule3[[#Headers],[PMT NO]])-2)+DAY(LoanStartDate),"")</f>
        <v>49218</v>
      </c>
      <c r="D195" s="19">
        <f>IF(PaymentSchedule3[[#This Row],[PMT NO]]&lt;&gt;"",IF(ROW()-ROW(PaymentSchedule3[[#Headers],[BEGINNING BALANCE]])=1,LoanAmount,INDEX(PaymentSchedule3[ENDING BALANCE],ROW()-ROW(PaymentSchedule3[[#Headers],[BEGINNING BALANCE]])-1)),"")</f>
        <v>1574318.3675755095</v>
      </c>
      <c r="E195" s="19">
        <f>IF(PaymentSchedule3[[#This Row],[PMT NO]]&lt;&gt;"",ScheduledPayment,"")</f>
        <v>8358.7693880762818</v>
      </c>
      <c r="F19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9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95" s="19">
        <f>IF(PaymentSchedule3[[#This Row],[PMT NO]]&lt;&gt;"",PaymentSchedule3[[#This Row],[TOTAL PAYMENT]]-PaymentSchedule3[[#This Row],[INTEREST]],"")</f>
        <v>3111.0414961579163</v>
      </c>
      <c r="I195" s="19">
        <f>IF(PaymentSchedule3[[#This Row],[PMT NO]]&lt;&gt;"",PaymentSchedule3[[#This Row],[BEGINNING BALANCE]]*(InterestRate/PaymentsPerYear),"")</f>
        <v>5247.7278919183655</v>
      </c>
      <c r="J19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1571207.3260793516</v>
      </c>
      <c r="K195" s="19">
        <f>IF(PaymentSchedule3[[#This Row],[PMT NO]]&lt;&gt;"",SUM(INDEX(PaymentSchedule3[INTEREST],1,1):PaymentSchedule3[[#This Row],[INTEREST]]),"")</f>
        <v>1109220.8934853859</v>
      </c>
    </row>
    <row r="196" spans="2:11" x14ac:dyDescent="0.3">
      <c r="B196" s="21">
        <f>IF(LoanIsGood,IF(ROW()-ROW(PaymentSchedule3[[#Headers],[PMT NO]])&gt;ScheduledNumberOfPayments,"",ROW()-ROW(PaymentSchedule3[[#Headers],[PMT NO]])),"")</f>
        <v>185</v>
      </c>
      <c r="C196" s="20">
        <f>IF(PaymentSchedule3[[#This Row],[PMT NO]]&lt;&gt;"",EOMONTH(LoanStartDate,ROW(PaymentSchedule3[[#This Row],[PMT NO]])-ROW(PaymentSchedule3[[#Headers],[PMT NO]])-2)+DAY(LoanStartDate),"")</f>
        <v>49249</v>
      </c>
      <c r="D196" s="19">
        <f>IF(PaymentSchedule3[[#This Row],[PMT NO]]&lt;&gt;"",IF(ROW()-ROW(PaymentSchedule3[[#Headers],[BEGINNING BALANCE]])=1,LoanAmount,INDEX(PaymentSchedule3[ENDING BALANCE],ROW()-ROW(PaymentSchedule3[[#Headers],[BEGINNING BALANCE]])-1)),"")</f>
        <v>1571207.3260793516</v>
      </c>
      <c r="E196" s="19">
        <f>IF(PaymentSchedule3[[#This Row],[PMT NO]]&lt;&gt;"",ScheduledPayment,"")</f>
        <v>8358.7693880762818</v>
      </c>
      <c r="F19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9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96" s="19">
        <f>IF(PaymentSchedule3[[#This Row],[PMT NO]]&lt;&gt;"",PaymentSchedule3[[#This Row],[TOTAL PAYMENT]]-PaymentSchedule3[[#This Row],[INTEREST]],"")</f>
        <v>3121.4116344784425</v>
      </c>
      <c r="I196" s="19">
        <f>IF(PaymentSchedule3[[#This Row],[PMT NO]]&lt;&gt;"",PaymentSchedule3[[#This Row],[BEGINNING BALANCE]]*(InterestRate/PaymentsPerYear),"")</f>
        <v>5237.3577535978393</v>
      </c>
      <c r="J19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1568085.9144448731</v>
      </c>
      <c r="K196" s="19">
        <f>IF(PaymentSchedule3[[#This Row],[PMT NO]]&lt;&gt;"",SUM(INDEX(PaymentSchedule3[INTEREST],1,1):PaymentSchedule3[[#This Row],[INTEREST]]),"")</f>
        <v>1114458.2512389838</v>
      </c>
    </row>
    <row r="197" spans="2:11" x14ac:dyDescent="0.3">
      <c r="B197" s="21">
        <f>IF(LoanIsGood,IF(ROW()-ROW(PaymentSchedule3[[#Headers],[PMT NO]])&gt;ScheduledNumberOfPayments,"",ROW()-ROW(PaymentSchedule3[[#Headers],[PMT NO]])),"")</f>
        <v>186</v>
      </c>
      <c r="C197" s="20">
        <f>IF(PaymentSchedule3[[#This Row],[PMT NO]]&lt;&gt;"",EOMONTH(LoanStartDate,ROW(PaymentSchedule3[[#This Row],[PMT NO]])-ROW(PaymentSchedule3[[#Headers],[PMT NO]])-2)+DAY(LoanStartDate),"")</f>
        <v>49279</v>
      </c>
      <c r="D197" s="19">
        <f>IF(PaymentSchedule3[[#This Row],[PMT NO]]&lt;&gt;"",IF(ROW()-ROW(PaymentSchedule3[[#Headers],[BEGINNING BALANCE]])=1,LoanAmount,INDEX(PaymentSchedule3[ENDING BALANCE],ROW()-ROW(PaymentSchedule3[[#Headers],[BEGINNING BALANCE]])-1)),"")</f>
        <v>1568085.9144448731</v>
      </c>
      <c r="E197" s="19">
        <f>IF(PaymentSchedule3[[#This Row],[PMT NO]]&lt;&gt;"",ScheduledPayment,"")</f>
        <v>8358.7693880762818</v>
      </c>
      <c r="F19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9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97" s="19">
        <f>IF(PaymentSchedule3[[#This Row],[PMT NO]]&lt;&gt;"",PaymentSchedule3[[#This Row],[TOTAL PAYMENT]]-PaymentSchedule3[[#This Row],[INTEREST]],"")</f>
        <v>3131.8163399267041</v>
      </c>
      <c r="I197" s="19">
        <f>IF(PaymentSchedule3[[#This Row],[PMT NO]]&lt;&gt;"",PaymentSchedule3[[#This Row],[BEGINNING BALANCE]]*(InterestRate/PaymentsPerYear),"")</f>
        <v>5226.9530481495776</v>
      </c>
      <c r="J19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1564954.0981049463</v>
      </c>
      <c r="K197" s="19">
        <f>IF(PaymentSchedule3[[#This Row],[PMT NO]]&lt;&gt;"",SUM(INDEX(PaymentSchedule3[INTEREST],1,1):PaymentSchedule3[[#This Row],[INTEREST]]),"")</f>
        <v>1119685.2042871334</v>
      </c>
    </row>
    <row r="198" spans="2:11" x14ac:dyDescent="0.3">
      <c r="B198" s="21">
        <f>IF(LoanIsGood,IF(ROW()-ROW(PaymentSchedule3[[#Headers],[PMT NO]])&gt;ScheduledNumberOfPayments,"",ROW()-ROW(PaymentSchedule3[[#Headers],[PMT NO]])),"")</f>
        <v>187</v>
      </c>
      <c r="C198" s="20">
        <f>IF(PaymentSchedule3[[#This Row],[PMT NO]]&lt;&gt;"",EOMONTH(LoanStartDate,ROW(PaymentSchedule3[[#This Row],[PMT NO]])-ROW(PaymentSchedule3[[#Headers],[PMT NO]])-2)+DAY(LoanStartDate),"")</f>
        <v>49310</v>
      </c>
      <c r="D198" s="19">
        <f>IF(PaymentSchedule3[[#This Row],[PMT NO]]&lt;&gt;"",IF(ROW()-ROW(PaymentSchedule3[[#Headers],[BEGINNING BALANCE]])=1,LoanAmount,INDEX(PaymentSchedule3[ENDING BALANCE],ROW()-ROW(PaymentSchedule3[[#Headers],[BEGINNING BALANCE]])-1)),"")</f>
        <v>1564954.0981049463</v>
      </c>
      <c r="E198" s="19">
        <f>IF(PaymentSchedule3[[#This Row],[PMT NO]]&lt;&gt;"",ScheduledPayment,"")</f>
        <v>8358.7693880762818</v>
      </c>
      <c r="F19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9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98" s="19">
        <f>IF(PaymentSchedule3[[#This Row],[PMT NO]]&lt;&gt;"",PaymentSchedule3[[#This Row],[TOTAL PAYMENT]]-PaymentSchedule3[[#This Row],[INTEREST]],"")</f>
        <v>3142.2557277264605</v>
      </c>
      <c r="I198" s="19">
        <f>IF(PaymentSchedule3[[#This Row],[PMT NO]]&lt;&gt;"",PaymentSchedule3[[#This Row],[BEGINNING BALANCE]]*(InterestRate/PaymentsPerYear),"")</f>
        <v>5216.5136603498213</v>
      </c>
      <c r="J19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1561811.8423772198</v>
      </c>
      <c r="K198" s="19">
        <f>IF(PaymentSchedule3[[#This Row],[PMT NO]]&lt;&gt;"",SUM(INDEX(PaymentSchedule3[INTEREST],1,1):PaymentSchedule3[[#This Row],[INTEREST]]),"")</f>
        <v>1124901.7179474833</v>
      </c>
    </row>
    <row r="199" spans="2:11" x14ac:dyDescent="0.3">
      <c r="B199" s="21">
        <f>IF(LoanIsGood,IF(ROW()-ROW(PaymentSchedule3[[#Headers],[PMT NO]])&gt;ScheduledNumberOfPayments,"",ROW()-ROW(PaymentSchedule3[[#Headers],[PMT NO]])),"")</f>
        <v>188</v>
      </c>
      <c r="C199" s="20">
        <f>IF(PaymentSchedule3[[#This Row],[PMT NO]]&lt;&gt;"",EOMONTH(LoanStartDate,ROW(PaymentSchedule3[[#This Row],[PMT NO]])-ROW(PaymentSchedule3[[#Headers],[PMT NO]])-2)+DAY(LoanStartDate),"")</f>
        <v>49341</v>
      </c>
      <c r="D199" s="19">
        <f>IF(PaymentSchedule3[[#This Row],[PMT NO]]&lt;&gt;"",IF(ROW()-ROW(PaymentSchedule3[[#Headers],[BEGINNING BALANCE]])=1,LoanAmount,INDEX(PaymentSchedule3[ENDING BALANCE],ROW()-ROW(PaymentSchedule3[[#Headers],[BEGINNING BALANCE]])-1)),"")</f>
        <v>1561811.8423772198</v>
      </c>
      <c r="E199" s="19">
        <f>IF(PaymentSchedule3[[#This Row],[PMT NO]]&lt;&gt;"",ScheduledPayment,"")</f>
        <v>8358.7693880762818</v>
      </c>
      <c r="F19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19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199" s="19">
        <f>IF(PaymentSchedule3[[#This Row],[PMT NO]]&lt;&gt;"",PaymentSchedule3[[#This Row],[TOTAL PAYMENT]]-PaymentSchedule3[[#This Row],[INTEREST]],"")</f>
        <v>3152.7299134855484</v>
      </c>
      <c r="I199" s="19">
        <f>IF(PaymentSchedule3[[#This Row],[PMT NO]]&lt;&gt;"",PaymentSchedule3[[#This Row],[BEGINNING BALANCE]]*(InterestRate/PaymentsPerYear),"")</f>
        <v>5206.0394745907333</v>
      </c>
      <c r="J19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1558659.1124637343</v>
      </c>
      <c r="K199" s="19">
        <f>IF(PaymentSchedule3[[#This Row],[PMT NO]]&lt;&gt;"",SUM(INDEX(PaymentSchedule3[INTEREST],1,1):PaymentSchedule3[[#This Row],[INTEREST]]),"")</f>
        <v>1130107.757422074</v>
      </c>
    </row>
    <row r="200" spans="2:11" x14ac:dyDescent="0.3">
      <c r="B200" s="21">
        <f>IF(LoanIsGood,IF(ROW()-ROW(PaymentSchedule3[[#Headers],[PMT NO]])&gt;ScheduledNumberOfPayments,"",ROW()-ROW(PaymentSchedule3[[#Headers],[PMT NO]])),"")</f>
        <v>189</v>
      </c>
      <c r="C200" s="20">
        <f>IF(PaymentSchedule3[[#This Row],[PMT NO]]&lt;&gt;"",EOMONTH(LoanStartDate,ROW(PaymentSchedule3[[#This Row],[PMT NO]])-ROW(PaymentSchedule3[[#Headers],[PMT NO]])-2)+DAY(LoanStartDate),"")</f>
        <v>49369</v>
      </c>
      <c r="D200" s="19">
        <f>IF(PaymentSchedule3[[#This Row],[PMT NO]]&lt;&gt;"",IF(ROW()-ROW(PaymentSchedule3[[#Headers],[BEGINNING BALANCE]])=1,LoanAmount,INDEX(PaymentSchedule3[ENDING BALANCE],ROW()-ROW(PaymentSchedule3[[#Headers],[BEGINNING BALANCE]])-1)),"")</f>
        <v>1558659.1124637343</v>
      </c>
      <c r="E200" s="19">
        <f>IF(PaymentSchedule3[[#This Row],[PMT NO]]&lt;&gt;"",ScheduledPayment,"")</f>
        <v>8358.7693880762818</v>
      </c>
      <c r="F20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0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00" s="19">
        <f>IF(PaymentSchedule3[[#This Row],[PMT NO]]&lt;&gt;"",PaymentSchedule3[[#This Row],[TOTAL PAYMENT]]-PaymentSchedule3[[#This Row],[INTEREST]],"")</f>
        <v>3163.239013197167</v>
      </c>
      <c r="I200" s="19">
        <f>IF(PaymentSchedule3[[#This Row],[PMT NO]]&lt;&gt;"",PaymentSchedule3[[#This Row],[BEGINNING BALANCE]]*(InterestRate/PaymentsPerYear),"")</f>
        <v>5195.5303748791148</v>
      </c>
      <c r="J20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1555495.8734505372</v>
      </c>
      <c r="K200" s="19">
        <f>IF(PaymentSchedule3[[#This Row],[PMT NO]]&lt;&gt;"",SUM(INDEX(PaymentSchedule3[INTEREST],1,1):PaymentSchedule3[[#This Row],[INTEREST]]),"")</f>
        <v>1135303.287796953</v>
      </c>
    </row>
    <row r="201" spans="2:11" x14ac:dyDescent="0.3">
      <c r="B201" s="21">
        <f>IF(LoanIsGood,IF(ROW()-ROW(PaymentSchedule3[[#Headers],[PMT NO]])&gt;ScheduledNumberOfPayments,"",ROW()-ROW(PaymentSchedule3[[#Headers],[PMT NO]])),"")</f>
        <v>190</v>
      </c>
      <c r="C201" s="20">
        <f>IF(PaymentSchedule3[[#This Row],[PMT NO]]&lt;&gt;"",EOMONTH(LoanStartDate,ROW(PaymentSchedule3[[#This Row],[PMT NO]])-ROW(PaymentSchedule3[[#Headers],[PMT NO]])-2)+DAY(LoanStartDate),"")</f>
        <v>49400</v>
      </c>
      <c r="D201" s="19">
        <f>IF(PaymentSchedule3[[#This Row],[PMT NO]]&lt;&gt;"",IF(ROW()-ROW(PaymentSchedule3[[#Headers],[BEGINNING BALANCE]])=1,LoanAmount,INDEX(PaymentSchedule3[ENDING BALANCE],ROW()-ROW(PaymentSchedule3[[#Headers],[BEGINNING BALANCE]])-1)),"")</f>
        <v>1555495.8734505372</v>
      </c>
      <c r="E201" s="19">
        <f>IF(PaymentSchedule3[[#This Row],[PMT NO]]&lt;&gt;"",ScheduledPayment,"")</f>
        <v>8358.7693880762818</v>
      </c>
      <c r="F20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0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01" s="19">
        <f>IF(PaymentSchedule3[[#This Row],[PMT NO]]&lt;&gt;"",PaymentSchedule3[[#This Row],[TOTAL PAYMENT]]-PaymentSchedule3[[#This Row],[INTEREST]],"")</f>
        <v>3173.7831432411576</v>
      </c>
      <c r="I201" s="19">
        <f>IF(PaymentSchedule3[[#This Row],[PMT NO]]&lt;&gt;"",PaymentSchedule3[[#This Row],[BEGINNING BALANCE]]*(InterestRate/PaymentsPerYear),"")</f>
        <v>5184.9862448351241</v>
      </c>
      <c r="J20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1552322.090307296</v>
      </c>
      <c r="K201" s="19">
        <f>IF(PaymentSchedule3[[#This Row],[PMT NO]]&lt;&gt;"",SUM(INDEX(PaymentSchedule3[INTEREST],1,1):PaymentSchedule3[[#This Row],[INTEREST]]),"")</f>
        <v>1140488.2740417882</v>
      </c>
    </row>
    <row r="202" spans="2:11" x14ac:dyDescent="0.3">
      <c r="B202" s="21">
        <f>IF(LoanIsGood,IF(ROW()-ROW(PaymentSchedule3[[#Headers],[PMT NO]])&gt;ScheduledNumberOfPayments,"",ROW()-ROW(PaymentSchedule3[[#Headers],[PMT NO]])),"")</f>
        <v>191</v>
      </c>
      <c r="C202" s="20">
        <f>IF(PaymentSchedule3[[#This Row],[PMT NO]]&lt;&gt;"",EOMONTH(LoanStartDate,ROW(PaymentSchedule3[[#This Row],[PMT NO]])-ROW(PaymentSchedule3[[#Headers],[PMT NO]])-2)+DAY(LoanStartDate),"")</f>
        <v>49430</v>
      </c>
      <c r="D202" s="19">
        <f>IF(PaymentSchedule3[[#This Row],[PMT NO]]&lt;&gt;"",IF(ROW()-ROW(PaymentSchedule3[[#Headers],[BEGINNING BALANCE]])=1,LoanAmount,INDEX(PaymentSchedule3[ENDING BALANCE],ROW()-ROW(PaymentSchedule3[[#Headers],[BEGINNING BALANCE]])-1)),"")</f>
        <v>1552322.090307296</v>
      </c>
      <c r="E202" s="19">
        <f>IF(PaymentSchedule3[[#This Row],[PMT NO]]&lt;&gt;"",ScheduledPayment,"")</f>
        <v>8358.7693880762818</v>
      </c>
      <c r="F20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0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02" s="19">
        <f>IF(PaymentSchedule3[[#This Row],[PMT NO]]&lt;&gt;"",PaymentSchedule3[[#This Row],[TOTAL PAYMENT]]-PaymentSchedule3[[#This Row],[INTEREST]],"")</f>
        <v>3184.3624203852951</v>
      </c>
      <c r="I202" s="19">
        <f>IF(PaymentSchedule3[[#This Row],[PMT NO]]&lt;&gt;"",PaymentSchedule3[[#This Row],[BEGINNING BALANCE]]*(InterestRate/PaymentsPerYear),"")</f>
        <v>5174.4069676909867</v>
      </c>
      <c r="J20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1549137.7278869108</v>
      </c>
      <c r="K202" s="19">
        <f>IF(PaymentSchedule3[[#This Row],[PMT NO]]&lt;&gt;"",SUM(INDEX(PaymentSchedule3[INTEREST],1,1):PaymentSchedule3[[#This Row],[INTEREST]]),"")</f>
        <v>1145662.6810094791</v>
      </c>
    </row>
    <row r="203" spans="2:11" x14ac:dyDescent="0.3">
      <c r="B203" s="21">
        <f>IF(LoanIsGood,IF(ROW()-ROW(PaymentSchedule3[[#Headers],[PMT NO]])&gt;ScheduledNumberOfPayments,"",ROW()-ROW(PaymentSchedule3[[#Headers],[PMT NO]])),"")</f>
        <v>192</v>
      </c>
      <c r="C203" s="20">
        <f>IF(PaymentSchedule3[[#This Row],[PMT NO]]&lt;&gt;"",EOMONTH(LoanStartDate,ROW(PaymentSchedule3[[#This Row],[PMT NO]])-ROW(PaymentSchedule3[[#Headers],[PMT NO]])-2)+DAY(LoanStartDate),"")</f>
        <v>49461</v>
      </c>
      <c r="D203" s="19">
        <f>IF(PaymentSchedule3[[#This Row],[PMT NO]]&lt;&gt;"",IF(ROW()-ROW(PaymentSchedule3[[#Headers],[BEGINNING BALANCE]])=1,LoanAmount,INDEX(PaymentSchedule3[ENDING BALANCE],ROW()-ROW(PaymentSchedule3[[#Headers],[BEGINNING BALANCE]])-1)),"")</f>
        <v>1549137.7278869108</v>
      </c>
      <c r="E203" s="19">
        <f>IF(PaymentSchedule3[[#This Row],[PMT NO]]&lt;&gt;"",ScheduledPayment,"")</f>
        <v>8358.7693880762818</v>
      </c>
      <c r="F20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0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03" s="19">
        <f>IF(PaymentSchedule3[[#This Row],[PMT NO]]&lt;&gt;"",PaymentSchedule3[[#This Row],[TOTAL PAYMENT]]-PaymentSchedule3[[#This Row],[INTEREST]],"")</f>
        <v>3194.9769617865786</v>
      </c>
      <c r="I203" s="19">
        <f>IF(PaymentSchedule3[[#This Row],[PMT NO]]&lt;&gt;"",PaymentSchedule3[[#This Row],[BEGINNING BALANCE]]*(InterestRate/PaymentsPerYear),"")</f>
        <v>5163.7924262897031</v>
      </c>
      <c r="J20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1545942.7509251242</v>
      </c>
      <c r="K203" s="19">
        <f>IF(PaymentSchedule3[[#This Row],[PMT NO]]&lt;&gt;"",SUM(INDEX(PaymentSchedule3[INTEREST],1,1):PaymentSchedule3[[#This Row],[INTEREST]]),"")</f>
        <v>1150826.4734357689</v>
      </c>
    </row>
    <row r="204" spans="2:11" x14ac:dyDescent="0.3">
      <c r="B204" s="21">
        <f>IF(LoanIsGood,IF(ROW()-ROW(PaymentSchedule3[[#Headers],[PMT NO]])&gt;ScheduledNumberOfPayments,"",ROW()-ROW(PaymentSchedule3[[#Headers],[PMT NO]])),"")</f>
        <v>193</v>
      </c>
      <c r="C204" s="20">
        <f>IF(PaymentSchedule3[[#This Row],[PMT NO]]&lt;&gt;"",EOMONTH(LoanStartDate,ROW(PaymentSchedule3[[#This Row],[PMT NO]])-ROW(PaymentSchedule3[[#Headers],[PMT NO]])-2)+DAY(LoanStartDate),"")</f>
        <v>49491</v>
      </c>
      <c r="D204" s="19">
        <f>IF(PaymentSchedule3[[#This Row],[PMT NO]]&lt;&gt;"",IF(ROW()-ROW(PaymentSchedule3[[#Headers],[BEGINNING BALANCE]])=1,LoanAmount,INDEX(PaymentSchedule3[ENDING BALANCE],ROW()-ROW(PaymentSchedule3[[#Headers],[BEGINNING BALANCE]])-1)),"")</f>
        <v>1545942.7509251242</v>
      </c>
      <c r="E204" s="19">
        <f>IF(PaymentSchedule3[[#This Row],[PMT NO]]&lt;&gt;"",ScheduledPayment,"")</f>
        <v>8358.7693880762818</v>
      </c>
      <c r="F20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0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04" s="19">
        <f>IF(PaymentSchedule3[[#This Row],[PMT NO]]&lt;&gt;"",PaymentSchedule3[[#This Row],[TOTAL PAYMENT]]-PaymentSchedule3[[#This Row],[INTEREST]],"")</f>
        <v>3205.6268849925345</v>
      </c>
      <c r="I204" s="19">
        <f>IF(PaymentSchedule3[[#This Row],[PMT NO]]&lt;&gt;"",PaymentSchedule3[[#This Row],[BEGINNING BALANCE]]*(InterestRate/PaymentsPerYear),"")</f>
        <v>5153.1425030837472</v>
      </c>
      <c r="J20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1542737.1240401317</v>
      </c>
      <c r="K204" s="19">
        <f>IF(PaymentSchedule3[[#This Row],[PMT NO]]&lt;&gt;"",SUM(INDEX(PaymentSchedule3[INTEREST],1,1):PaymentSchedule3[[#This Row],[INTEREST]]),"")</f>
        <v>1155979.6159388525</v>
      </c>
    </row>
    <row r="205" spans="2:11" x14ac:dyDescent="0.3">
      <c r="B205" s="21">
        <f>IF(LoanIsGood,IF(ROW()-ROW(PaymentSchedule3[[#Headers],[PMT NO]])&gt;ScheduledNumberOfPayments,"",ROW()-ROW(PaymentSchedule3[[#Headers],[PMT NO]])),"")</f>
        <v>194</v>
      </c>
      <c r="C205" s="20">
        <f>IF(PaymentSchedule3[[#This Row],[PMT NO]]&lt;&gt;"",EOMONTH(LoanStartDate,ROW(PaymentSchedule3[[#This Row],[PMT NO]])-ROW(PaymentSchedule3[[#Headers],[PMT NO]])-2)+DAY(LoanStartDate),"")</f>
        <v>49522</v>
      </c>
      <c r="D205" s="19">
        <f>IF(PaymentSchedule3[[#This Row],[PMT NO]]&lt;&gt;"",IF(ROW()-ROW(PaymentSchedule3[[#Headers],[BEGINNING BALANCE]])=1,LoanAmount,INDEX(PaymentSchedule3[ENDING BALANCE],ROW()-ROW(PaymentSchedule3[[#Headers],[BEGINNING BALANCE]])-1)),"")</f>
        <v>1542737.1240401317</v>
      </c>
      <c r="E205" s="19">
        <f>IF(PaymentSchedule3[[#This Row],[PMT NO]]&lt;&gt;"",ScheduledPayment,"")</f>
        <v>8358.7693880762818</v>
      </c>
      <c r="F20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0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05" s="19">
        <f>IF(PaymentSchedule3[[#This Row],[PMT NO]]&lt;&gt;"",PaymentSchedule3[[#This Row],[TOTAL PAYMENT]]-PaymentSchedule3[[#This Row],[INTEREST]],"")</f>
        <v>3216.3123079425095</v>
      </c>
      <c r="I205" s="19">
        <f>IF(PaymentSchedule3[[#This Row],[PMT NO]]&lt;&gt;"",PaymentSchedule3[[#This Row],[BEGINNING BALANCE]]*(InterestRate/PaymentsPerYear),"")</f>
        <v>5142.4570801337723</v>
      </c>
      <c r="J20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1539520.8117321893</v>
      </c>
      <c r="K205" s="19">
        <f>IF(PaymentSchedule3[[#This Row],[PMT NO]]&lt;&gt;"",SUM(INDEX(PaymentSchedule3[INTEREST],1,1):PaymentSchedule3[[#This Row],[INTEREST]]),"")</f>
        <v>1161122.0730189863</v>
      </c>
    </row>
    <row r="206" spans="2:11" x14ac:dyDescent="0.3">
      <c r="B206" s="21">
        <f>IF(LoanIsGood,IF(ROW()-ROW(PaymentSchedule3[[#Headers],[PMT NO]])&gt;ScheduledNumberOfPayments,"",ROW()-ROW(PaymentSchedule3[[#Headers],[PMT NO]])),"")</f>
        <v>195</v>
      </c>
      <c r="C206" s="20">
        <f>IF(PaymentSchedule3[[#This Row],[PMT NO]]&lt;&gt;"",EOMONTH(LoanStartDate,ROW(PaymentSchedule3[[#This Row],[PMT NO]])-ROW(PaymentSchedule3[[#Headers],[PMT NO]])-2)+DAY(LoanStartDate),"")</f>
        <v>49553</v>
      </c>
      <c r="D206" s="19">
        <f>IF(PaymentSchedule3[[#This Row],[PMT NO]]&lt;&gt;"",IF(ROW()-ROW(PaymentSchedule3[[#Headers],[BEGINNING BALANCE]])=1,LoanAmount,INDEX(PaymentSchedule3[ENDING BALANCE],ROW()-ROW(PaymentSchedule3[[#Headers],[BEGINNING BALANCE]])-1)),"")</f>
        <v>1539520.8117321893</v>
      </c>
      <c r="E206" s="19">
        <f>IF(PaymentSchedule3[[#This Row],[PMT NO]]&lt;&gt;"",ScheduledPayment,"")</f>
        <v>8358.7693880762818</v>
      </c>
      <c r="F20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0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06" s="19">
        <f>IF(PaymentSchedule3[[#This Row],[PMT NO]]&lt;&gt;"",PaymentSchedule3[[#This Row],[TOTAL PAYMENT]]-PaymentSchedule3[[#This Row],[INTEREST]],"")</f>
        <v>3227.0333489689838</v>
      </c>
      <c r="I206" s="19">
        <f>IF(PaymentSchedule3[[#This Row],[PMT NO]]&lt;&gt;"",PaymentSchedule3[[#This Row],[BEGINNING BALANCE]]*(InterestRate/PaymentsPerYear),"")</f>
        <v>5131.736039107298</v>
      </c>
      <c r="J20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1536293.7783832203</v>
      </c>
      <c r="K206" s="19">
        <f>IF(PaymentSchedule3[[#This Row],[PMT NO]]&lt;&gt;"",SUM(INDEX(PaymentSchedule3[INTEREST],1,1):PaymentSchedule3[[#This Row],[INTEREST]]),"")</f>
        <v>1166253.8090580935</v>
      </c>
    </row>
    <row r="207" spans="2:11" x14ac:dyDescent="0.3">
      <c r="B207" s="21">
        <f>IF(LoanIsGood,IF(ROW()-ROW(PaymentSchedule3[[#Headers],[PMT NO]])&gt;ScheduledNumberOfPayments,"",ROW()-ROW(PaymentSchedule3[[#Headers],[PMT NO]])),"")</f>
        <v>196</v>
      </c>
      <c r="C207" s="20">
        <f>IF(PaymentSchedule3[[#This Row],[PMT NO]]&lt;&gt;"",EOMONTH(LoanStartDate,ROW(PaymentSchedule3[[#This Row],[PMT NO]])-ROW(PaymentSchedule3[[#Headers],[PMT NO]])-2)+DAY(LoanStartDate),"")</f>
        <v>49583</v>
      </c>
      <c r="D207" s="19">
        <f>IF(PaymentSchedule3[[#This Row],[PMT NO]]&lt;&gt;"",IF(ROW()-ROW(PaymentSchedule3[[#Headers],[BEGINNING BALANCE]])=1,LoanAmount,INDEX(PaymentSchedule3[ENDING BALANCE],ROW()-ROW(PaymentSchedule3[[#Headers],[BEGINNING BALANCE]])-1)),"")</f>
        <v>1536293.7783832203</v>
      </c>
      <c r="E207" s="19">
        <f>IF(PaymentSchedule3[[#This Row],[PMT NO]]&lt;&gt;"",ScheduledPayment,"")</f>
        <v>8358.7693880762818</v>
      </c>
      <c r="F20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0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07" s="19">
        <f>IF(PaymentSchedule3[[#This Row],[PMT NO]]&lt;&gt;"",PaymentSchedule3[[#This Row],[TOTAL PAYMENT]]-PaymentSchedule3[[#This Row],[INTEREST]],"")</f>
        <v>3237.79012679888</v>
      </c>
      <c r="I207" s="19">
        <f>IF(PaymentSchedule3[[#This Row],[PMT NO]]&lt;&gt;"",PaymentSchedule3[[#This Row],[BEGINNING BALANCE]]*(InterestRate/PaymentsPerYear),"")</f>
        <v>5120.9792612774017</v>
      </c>
      <c r="J20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1533055.9882564214</v>
      </c>
      <c r="K207" s="19">
        <f>IF(PaymentSchedule3[[#This Row],[PMT NO]]&lt;&gt;"",SUM(INDEX(PaymentSchedule3[INTEREST],1,1):PaymentSchedule3[[#This Row],[INTEREST]]),"")</f>
        <v>1171374.7883193709</v>
      </c>
    </row>
    <row r="208" spans="2:11" x14ac:dyDescent="0.3">
      <c r="B208" s="21">
        <f>IF(LoanIsGood,IF(ROW()-ROW(PaymentSchedule3[[#Headers],[PMT NO]])&gt;ScheduledNumberOfPayments,"",ROW()-ROW(PaymentSchedule3[[#Headers],[PMT NO]])),"")</f>
        <v>197</v>
      </c>
      <c r="C208" s="20">
        <f>IF(PaymentSchedule3[[#This Row],[PMT NO]]&lt;&gt;"",EOMONTH(LoanStartDate,ROW(PaymentSchedule3[[#This Row],[PMT NO]])-ROW(PaymentSchedule3[[#Headers],[PMT NO]])-2)+DAY(LoanStartDate),"")</f>
        <v>49614</v>
      </c>
      <c r="D208" s="19">
        <f>IF(PaymentSchedule3[[#This Row],[PMT NO]]&lt;&gt;"",IF(ROW()-ROW(PaymentSchedule3[[#Headers],[BEGINNING BALANCE]])=1,LoanAmount,INDEX(PaymentSchedule3[ENDING BALANCE],ROW()-ROW(PaymentSchedule3[[#Headers],[BEGINNING BALANCE]])-1)),"")</f>
        <v>1533055.9882564214</v>
      </c>
      <c r="E208" s="19">
        <f>IF(PaymentSchedule3[[#This Row],[PMT NO]]&lt;&gt;"",ScheduledPayment,"")</f>
        <v>8358.7693880762818</v>
      </c>
      <c r="F20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0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08" s="19">
        <f>IF(PaymentSchedule3[[#This Row],[PMT NO]]&lt;&gt;"",PaymentSchedule3[[#This Row],[TOTAL PAYMENT]]-PaymentSchedule3[[#This Row],[INTEREST]],"")</f>
        <v>3248.5827605548766</v>
      </c>
      <c r="I208" s="19">
        <f>IF(PaymentSchedule3[[#This Row],[PMT NO]]&lt;&gt;"",PaymentSchedule3[[#This Row],[BEGINNING BALANCE]]*(InterestRate/PaymentsPerYear),"")</f>
        <v>5110.1866275214052</v>
      </c>
      <c r="J20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1529807.4054958664</v>
      </c>
      <c r="K208" s="19">
        <f>IF(PaymentSchedule3[[#This Row],[PMT NO]]&lt;&gt;"",SUM(INDEX(PaymentSchedule3[INTEREST],1,1):PaymentSchedule3[[#This Row],[INTEREST]]),"")</f>
        <v>1176484.9749468924</v>
      </c>
    </row>
    <row r="209" spans="2:11" x14ac:dyDescent="0.3">
      <c r="B209" s="21">
        <f>IF(LoanIsGood,IF(ROW()-ROW(PaymentSchedule3[[#Headers],[PMT NO]])&gt;ScheduledNumberOfPayments,"",ROW()-ROW(PaymentSchedule3[[#Headers],[PMT NO]])),"")</f>
        <v>198</v>
      </c>
      <c r="C209" s="20">
        <f>IF(PaymentSchedule3[[#This Row],[PMT NO]]&lt;&gt;"",EOMONTH(LoanStartDate,ROW(PaymentSchedule3[[#This Row],[PMT NO]])-ROW(PaymentSchedule3[[#Headers],[PMT NO]])-2)+DAY(LoanStartDate),"")</f>
        <v>49644</v>
      </c>
      <c r="D209" s="19">
        <f>IF(PaymentSchedule3[[#This Row],[PMT NO]]&lt;&gt;"",IF(ROW()-ROW(PaymentSchedule3[[#Headers],[BEGINNING BALANCE]])=1,LoanAmount,INDEX(PaymentSchedule3[ENDING BALANCE],ROW()-ROW(PaymentSchedule3[[#Headers],[BEGINNING BALANCE]])-1)),"")</f>
        <v>1529807.4054958664</v>
      </c>
      <c r="E209" s="19">
        <f>IF(PaymentSchedule3[[#This Row],[PMT NO]]&lt;&gt;"",ScheduledPayment,"")</f>
        <v>8358.7693880762818</v>
      </c>
      <c r="F20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0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09" s="19">
        <f>IF(PaymentSchedule3[[#This Row],[PMT NO]]&lt;&gt;"",PaymentSchedule3[[#This Row],[TOTAL PAYMENT]]-PaymentSchedule3[[#This Row],[INTEREST]],"")</f>
        <v>3259.4113697567263</v>
      </c>
      <c r="I209" s="19">
        <f>IF(PaymentSchedule3[[#This Row],[PMT NO]]&lt;&gt;"",PaymentSchedule3[[#This Row],[BEGINNING BALANCE]]*(InterestRate/PaymentsPerYear),"")</f>
        <v>5099.3580183195554</v>
      </c>
      <c r="J20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1526547.9941261096</v>
      </c>
      <c r="K209" s="19">
        <f>IF(PaymentSchedule3[[#This Row],[PMT NO]]&lt;&gt;"",SUM(INDEX(PaymentSchedule3[INTEREST],1,1):PaymentSchedule3[[#This Row],[INTEREST]]),"")</f>
        <v>1181584.3329652119</v>
      </c>
    </row>
    <row r="210" spans="2:11" x14ac:dyDescent="0.3">
      <c r="B210" s="21">
        <f>IF(LoanIsGood,IF(ROW()-ROW(PaymentSchedule3[[#Headers],[PMT NO]])&gt;ScheduledNumberOfPayments,"",ROW()-ROW(PaymentSchedule3[[#Headers],[PMT NO]])),"")</f>
        <v>199</v>
      </c>
      <c r="C210" s="20">
        <f>IF(PaymentSchedule3[[#This Row],[PMT NO]]&lt;&gt;"",EOMONTH(LoanStartDate,ROW(PaymentSchedule3[[#This Row],[PMT NO]])-ROW(PaymentSchedule3[[#Headers],[PMT NO]])-2)+DAY(LoanStartDate),"")</f>
        <v>49675</v>
      </c>
      <c r="D210" s="19">
        <f>IF(PaymentSchedule3[[#This Row],[PMT NO]]&lt;&gt;"",IF(ROW()-ROW(PaymentSchedule3[[#Headers],[BEGINNING BALANCE]])=1,LoanAmount,INDEX(PaymentSchedule3[ENDING BALANCE],ROW()-ROW(PaymentSchedule3[[#Headers],[BEGINNING BALANCE]])-1)),"")</f>
        <v>1526547.9941261096</v>
      </c>
      <c r="E210" s="19">
        <f>IF(PaymentSchedule3[[#This Row],[PMT NO]]&lt;&gt;"",ScheduledPayment,"")</f>
        <v>8358.7693880762818</v>
      </c>
      <c r="F21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1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10" s="19">
        <f>IF(PaymentSchedule3[[#This Row],[PMT NO]]&lt;&gt;"",PaymentSchedule3[[#This Row],[TOTAL PAYMENT]]-PaymentSchedule3[[#This Row],[INTEREST]],"")</f>
        <v>3270.2760743225826</v>
      </c>
      <c r="I210" s="19">
        <f>IF(PaymentSchedule3[[#This Row],[PMT NO]]&lt;&gt;"",PaymentSchedule3[[#This Row],[BEGINNING BALANCE]]*(InterestRate/PaymentsPerYear),"")</f>
        <v>5088.4933137536991</v>
      </c>
      <c r="J21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1523277.718051787</v>
      </c>
      <c r="K210" s="19">
        <f>IF(PaymentSchedule3[[#This Row],[PMT NO]]&lt;&gt;"",SUM(INDEX(PaymentSchedule3[INTEREST],1,1):PaymentSchedule3[[#This Row],[INTEREST]]),"")</f>
        <v>1186672.8262789657</v>
      </c>
    </row>
    <row r="211" spans="2:11" x14ac:dyDescent="0.3">
      <c r="B211" s="21">
        <f>IF(LoanIsGood,IF(ROW()-ROW(PaymentSchedule3[[#Headers],[PMT NO]])&gt;ScheduledNumberOfPayments,"",ROW()-ROW(PaymentSchedule3[[#Headers],[PMT NO]])),"")</f>
        <v>200</v>
      </c>
      <c r="C211" s="20">
        <f>IF(PaymentSchedule3[[#This Row],[PMT NO]]&lt;&gt;"",EOMONTH(LoanStartDate,ROW(PaymentSchedule3[[#This Row],[PMT NO]])-ROW(PaymentSchedule3[[#Headers],[PMT NO]])-2)+DAY(LoanStartDate),"")</f>
        <v>49706</v>
      </c>
      <c r="D211" s="19">
        <f>IF(PaymentSchedule3[[#This Row],[PMT NO]]&lt;&gt;"",IF(ROW()-ROW(PaymentSchedule3[[#Headers],[BEGINNING BALANCE]])=1,LoanAmount,INDEX(PaymentSchedule3[ENDING BALANCE],ROW()-ROW(PaymentSchedule3[[#Headers],[BEGINNING BALANCE]])-1)),"")</f>
        <v>1523277.718051787</v>
      </c>
      <c r="E211" s="19">
        <f>IF(PaymentSchedule3[[#This Row],[PMT NO]]&lt;&gt;"",ScheduledPayment,"")</f>
        <v>8358.7693880762818</v>
      </c>
      <c r="F21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1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11" s="19">
        <f>IF(PaymentSchedule3[[#This Row],[PMT NO]]&lt;&gt;"",PaymentSchedule3[[#This Row],[TOTAL PAYMENT]]-PaymentSchedule3[[#This Row],[INTEREST]],"")</f>
        <v>3281.1769945703245</v>
      </c>
      <c r="I211" s="19">
        <f>IF(PaymentSchedule3[[#This Row],[PMT NO]]&lt;&gt;"",PaymentSchedule3[[#This Row],[BEGINNING BALANCE]]*(InterestRate/PaymentsPerYear),"")</f>
        <v>5077.5923935059573</v>
      </c>
      <c r="J21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1519996.5410572167</v>
      </c>
      <c r="K211" s="19">
        <f>IF(PaymentSchedule3[[#This Row],[PMT NO]]&lt;&gt;"",SUM(INDEX(PaymentSchedule3[INTEREST],1,1):PaymentSchedule3[[#This Row],[INTEREST]]),"")</f>
        <v>1191750.4186724715</v>
      </c>
    </row>
    <row r="212" spans="2:11" x14ac:dyDescent="0.3">
      <c r="B212" s="21">
        <f>IF(LoanIsGood,IF(ROW()-ROW(PaymentSchedule3[[#Headers],[PMT NO]])&gt;ScheduledNumberOfPayments,"",ROW()-ROW(PaymentSchedule3[[#Headers],[PMT NO]])),"")</f>
        <v>201</v>
      </c>
      <c r="C212" s="20">
        <f>IF(PaymentSchedule3[[#This Row],[PMT NO]]&lt;&gt;"",EOMONTH(LoanStartDate,ROW(PaymentSchedule3[[#This Row],[PMT NO]])-ROW(PaymentSchedule3[[#Headers],[PMT NO]])-2)+DAY(LoanStartDate),"")</f>
        <v>49735</v>
      </c>
      <c r="D212" s="19">
        <f>IF(PaymentSchedule3[[#This Row],[PMT NO]]&lt;&gt;"",IF(ROW()-ROW(PaymentSchedule3[[#Headers],[BEGINNING BALANCE]])=1,LoanAmount,INDEX(PaymentSchedule3[ENDING BALANCE],ROW()-ROW(PaymentSchedule3[[#Headers],[BEGINNING BALANCE]])-1)),"")</f>
        <v>1519996.5410572167</v>
      </c>
      <c r="E212" s="19">
        <f>IF(PaymentSchedule3[[#This Row],[PMT NO]]&lt;&gt;"",ScheduledPayment,"")</f>
        <v>8358.7693880762818</v>
      </c>
      <c r="F21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1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12" s="19">
        <f>IF(PaymentSchedule3[[#This Row],[PMT NO]]&lt;&gt;"",PaymentSchedule3[[#This Row],[TOTAL PAYMENT]]-PaymentSchedule3[[#This Row],[INTEREST]],"")</f>
        <v>3292.1142512188926</v>
      </c>
      <c r="I212" s="19">
        <f>IF(PaymentSchedule3[[#This Row],[PMT NO]]&lt;&gt;"",PaymentSchedule3[[#This Row],[BEGINNING BALANCE]]*(InterestRate/PaymentsPerYear),"")</f>
        <v>5066.6551368573892</v>
      </c>
      <c r="J21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1516704.4268059977</v>
      </c>
      <c r="K212" s="19">
        <f>IF(PaymentSchedule3[[#This Row],[PMT NO]]&lt;&gt;"",SUM(INDEX(PaymentSchedule3[INTEREST],1,1):PaymentSchedule3[[#This Row],[INTEREST]]),"")</f>
        <v>1196817.073809329</v>
      </c>
    </row>
    <row r="213" spans="2:11" x14ac:dyDescent="0.3">
      <c r="B213" s="21">
        <f>IF(LoanIsGood,IF(ROW()-ROW(PaymentSchedule3[[#Headers],[PMT NO]])&gt;ScheduledNumberOfPayments,"",ROW()-ROW(PaymentSchedule3[[#Headers],[PMT NO]])),"")</f>
        <v>202</v>
      </c>
      <c r="C213" s="20">
        <f>IF(PaymentSchedule3[[#This Row],[PMT NO]]&lt;&gt;"",EOMONTH(LoanStartDate,ROW(PaymentSchedule3[[#This Row],[PMT NO]])-ROW(PaymentSchedule3[[#Headers],[PMT NO]])-2)+DAY(LoanStartDate),"")</f>
        <v>49766</v>
      </c>
      <c r="D213" s="19">
        <f>IF(PaymentSchedule3[[#This Row],[PMT NO]]&lt;&gt;"",IF(ROW()-ROW(PaymentSchedule3[[#Headers],[BEGINNING BALANCE]])=1,LoanAmount,INDEX(PaymentSchedule3[ENDING BALANCE],ROW()-ROW(PaymentSchedule3[[#Headers],[BEGINNING BALANCE]])-1)),"")</f>
        <v>1516704.4268059977</v>
      </c>
      <c r="E213" s="19">
        <f>IF(PaymentSchedule3[[#This Row],[PMT NO]]&lt;&gt;"",ScheduledPayment,"")</f>
        <v>8358.7693880762818</v>
      </c>
      <c r="F21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1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13" s="19">
        <f>IF(PaymentSchedule3[[#This Row],[PMT NO]]&lt;&gt;"",PaymentSchedule3[[#This Row],[TOTAL PAYMENT]]-PaymentSchedule3[[#This Row],[INTEREST]],"")</f>
        <v>3303.0879653896227</v>
      </c>
      <c r="I213" s="19">
        <f>IF(PaymentSchedule3[[#This Row],[PMT NO]]&lt;&gt;"",PaymentSchedule3[[#This Row],[BEGINNING BALANCE]]*(InterestRate/PaymentsPerYear),"")</f>
        <v>5055.6814226866591</v>
      </c>
      <c r="J21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1513401.338840608</v>
      </c>
      <c r="K213" s="19">
        <f>IF(PaymentSchedule3[[#This Row],[PMT NO]]&lt;&gt;"",SUM(INDEX(PaymentSchedule3[INTEREST],1,1):PaymentSchedule3[[#This Row],[INTEREST]]),"")</f>
        <v>1201872.7552320156</v>
      </c>
    </row>
    <row r="214" spans="2:11" x14ac:dyDescent="0.3">
      <c r="B214" s="21">
        <f>IF(LoanIsGood,IF(ROW()-ROW(PaymentSchedule3[[#Headers],[PMT NO]])&gt;ScheduledNumberOfPayments,"",ROW()-ROW(PaymentSchedule3[[#Headers],[PMT NO]])),"")</f>
        <v>203</v>
      </c>
      <c r="C214" s="20">
        <f>IF(PaymentSchedule3[[#This Row],[PMT NO]]&lt;&gt;"",EOMONTH(LoanStartDate,ROW(PaymentSchedule3[[#This Row],[PMT NO]])-ROW(PaymentSchedule3[[#Headers],[PMT NO]])-2)+DAY(LoanStartDate),"")</f>
        <v>49796</v>
      </c>
      <c r="D214" s="19">
        <f>IF(PaymentSchedule3[[#This Row],[PMT NO]]&lt;&gt;"",IF(ROW()-ROW(PaymentSchedule3[[#Headers],[BEGINNING BALANCE]])=1,LoanAmount,INDEX(PaymentSchedule3[ENDING BALANCE],ROW()-ROW(PaymentSchedule3[[#Headers],[BEGINNING BALANCE]])-1)),"")</f>
        <v>1513401.338840608</v>
      </c>
      <c r="E214" s="19">
        <f>IF(PaymentSchedule3[[#This Row],[PMT NO]]&lt;&gt;"",ScheduledPayment,"")</f>
        <v>8358.7693880762818</v>
      </c>
      <c r="F21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1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14" s="19">
        <f>IF(PaymentSchedule3[[#This Row],[PMT NO]]&lt;&gt;"",PaymentSchedule3[[#This Row],[TOTAL PAYMENT]]-PaymentSchedule3[[#This Row],[INTEREST]],"")</f>
        <v>3314.0982586075879</v>
      </c>
      <c r="I214" s="19">
        <f>IF(PaymentSchedule3[[#This Row],[PMT NO]]&lt;&gt;"",PaymentSchedule3[[#This Row],[BEGINNING BALANCE]]*(InterestRate/PaymentsPerYear),"")</f>
        <v>5044.6711294686938</v>
      </c>
      <c r="J21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1510087.2405820005</v>
      </c>
      <c r="K214" s="19">
        <f>IF(PaymentSchedule3[[#This Row],[PMT NO]]&lt;&gt;"",SUM(INDEX(PaymentSchedule3[INTEREST],1,1):PaymentSchedule3[[#This Row],[INTEREST]]),"")</f>
        <v>1206917.4263614842</v>
      </c>
    </row>
    <row r="215" spans="2:11" x14ac:dyDescent="0.3">
      <c r="B215" s="21">
        <f>IF(LoanIsGood,IF(ROW()-ROW(PaymentSchedule3[[#Headers],[PMT NO]])&gt;ScheduledNumberOfPayments,"",ROW()-ROW(PaymentSchedule3[[#Headers],[PMT NO]])),"")</f>
        <v>204</v>
      </c>
      <c r="C215" s="20">
        <f>IF(PaymentSchedule3[[#This Row],[PMT NO]]&lt;&gt;"",EOMONTH(LoanStartDate,ROW(PaymentSchedule3[[#This Row],[PMT NO]])-ROW(PaymentSchedule3[[#Headers],[PMT NO]])-2)+DAY(LoanStartDate),"")</f>
        <v>49827</v>
      </c>
      <c r="D215" s="19">
        <f>IF(PaymentSchedule3[[#This Row],[PMT NO]]&lt;&gt;"",IF(ROW()-ROW(PaymentSchedule3[[#Headers],[BEGINNING BALANCE]])=1,LoanAmount,INDEX(PaymentSchedule3[ENDING BALANCE],ROW()-ROW(PaymentSchedule3[[#Headers],[BEGINNING BALANCE]])-1)),"")</f>
        <v>1510087.2405820005</v>
      </c>
      <c r="E215" s="19">
        <f>IF(PaymentSchedule3[[#This Row],[PMT NO]]&lt;&gt;"",ScheduledPayment,"")</f>
        <v>8358.7693880762818</v>
      </c>
      <c r="F21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1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15" s="19">
        <f>IF(PaymentSchedule3[[#This Row],[PMT NO]]&lt;&gt;"",PaymentSchedule3[[#This Row],[TOTAL PAYMENT]]-PaymentSchedule3[[#This Row],[INTEREST]],"")</f>
        <v>3325.1452528029467</v>
      </c>
      <c r="I215" s="19">
        <f>IF(PaymentSchedule3[[#This Row],[PMT NO]]&lt;&gt;"",PaymentSchedule3[[#This Row],[BEGINNING BALANCE]]*(InterestRate/PaymentsPerYear),"")</f>
        <v>5033.624135273335</v>
      </c>
      <c r="J21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1506762.0953291976</v>
      </c>
      <c r="K215" s="19">
        <f>IF(PaymentSchedule3[[#This Row],[PMT NO]]&lt;&gt;"",SUM(INDEX(PaymentSchedule3[INTEREST],1,1):PaymentSchedule3[[#This Row],[INTEREST]]),"")</f>
        <v>1211951.0504967575</v>
      </c>
    </row>
    <row r="216" spans="2:11" x14ac:dyDescent="0.3">
      <c r="B216" s="21">
        <f>IF(LoanIsGood,IF(ROW()-ROW(PaymentSchedule3[[#Headers],[PMT NO]])&gt;ScheduledNumberOfPayments,"",ROW()-ROW(PaymentSchedule3[[#Headers],[PMT NO]])),"")</f>
        <v>205</v>
      </c>
      <c r="C216" s="20">
        <f>IF(PaymentSchedule3[[#This Row],[PMT NO]]&lt;&gt;"",EOMONTH(LoanStartDate,ROW(PaymentSchedule3[[#This Row],[PMT NO]])-ROW(PaymentSchedule3[[#Headers],[PMT NO]])-2)+DAY(LoanStartDate),"")</f>
        <v>49857</v>
      </c>
      <c r="D216" s="19">
        <f>IF(PaymentSchedule3[[#This Row],[PMT NO]]&lt;&gt;"",IF(ROW()-ROW(PaymentSchedule3[[#Headers],[BEGINNING BALANCE]])=1,LoanAmount,INDEX(PaymentSchedule3[ENDING BALANCE],ROW()-ROW(PaymentSchedule3[[#Headers],[BEGINNING BALANCE]])-1)),"")</f>
        <v>1506762.0953291976</v>
      </c>
      <c r="E216" s="19">
        <f>IF(PaymentSchedule3[[#This Row],[PMT NO]]&lt;&gt;"",ScheduledPayment,"")</f>
        <v>8358.7693880762818</v>
      </c>
      <c r="F21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1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16" s="19">
        <f>IF(PaymentSchedule3[[#This Row],[PMT NO]]&lt;&gt;"",PaymentSchedule3[[#This Row],[TOTAL PAYMENT]]-PaymentSchedule3[[#This Row],[INTEREST]],"")</f>
        <v>3336.2290703122899</v>
      </c>
      <c r="I216" s="19">
        <f>IF(PaymentSchedule3[[#This Row],[PMT NO]]&lt;&gt;"",PaymentSchedule3[[#This Row],[BEGINNING BALANCE]]*(InterestRate/PaymentsPerYear),"")</f>
        <v>5022.5403177639919</v>
      </c>
      <c r="J21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1503425.8662588852</v>
      </c>
      <c r="K216" s="19">
        <f>IF(PaymentSchedule3[[#This Row],[PMT NO]]&lt;&gt;"",SUM(INDEX(PaymentSchedule3[INTEREST],1,1):PaymentSchedule3[[#This Row],[INTEREST]]),"")</f>
        <v>1216973.5908145215</v>
      </c>
    </row>
    <row r="217" spans="2:11" x14ac:dyDescent="0.3">
      <c r="B217" s="21">
        <f>IF(LoanIsGood,IF(ROW()-ROW(PaymentSchedule3[[#Headers],[PMT NO]])&gt;ScheduledNumberOfPayments,"",ROW()-ROW(PaymentSchedule3[[#Headers],[PMT NO]])),"")</f>
        <v>206</v>
      </c>
      <c r="C217" s="20">
        <f>IF(PaymentSchedule3[[#This Row],[PMT NO]]&lt;&gt;"",EOMONTH(LoanStartDate,ROW(PaymentSchedule3[[#This Row],[PMT NO]])-ROW(PaymentSchedule3[[#Headers],[PMT NO]])-2)+DAY(LoanStartDate),"")</f>
        <v>49888</v>
      </c>
      <c r="D217" s="19">
        <f>IF(PaymentSchedule3[[#This Row],[PMT NO]]&lt;&gt;"",IF(ROW()-ROW(PaymentSchedule3[[#Headers],[BEGINNING BALANCE]])=1,LoanAmount,INDEX(PaymentSchedule3[ENDING BALANCE],ROW()-ROW(PaymentSchedule3[[#Headers],[BEGINNING BALANCE]])-1)),"")</f>
        <v>1503425.8662588852</v>
      </c>
      <c r="E217" s="19">
        <f>IF(PaymentSchedule3[[#This Row],[PMT NO]]&lt;&gt;"",ScheduledPayment,"")</f>
        <v>8358.7693880762818</v>
      </c>
      <c r="F21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1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17" s="19">
        <f>IF(PaymentSchedule3[[#This Row],[PMT NO]]&lt;&gt;"",PaymentSchedule3[[#This Row],[TOTAL PAYMENT]]-PaymentSchedule3[[#This Row],[INTEREST]],"")</f>
        <v>3347.3498338799973</v>
      </c>
      <c r="I217" s="19">
        <f>IF(PaymentSchedule3[[#This Row],[PMT NO]]&lt;&gt;"",PaymentSchedule3[[#This Row],[BEGINNING BALANCE]]*(InterestRate/PaymentsPerYear),"")</f>
        <v>5011.4195541962845</v>
      </c>
      <c r="J21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1500078.5164250052</v>
      </c>
      <c r="K217" s="19">
        <f>IF(PaymentSchedule3[[#This Row],[PMT NO]]&lt;&gt;"",SUM(INDEX(PaymentSchedule3[INTEREST],1,1):PaymentSchedule3[[#This Row],[INTEREST]]),"")</f>
        <v>1221985.0103687178</v>
      </c>
    </row>
    <row r="218" spans="2:11" x14ac:dyDescent="0.3">
      <c r="B218" s="21">
        <f>IF(LoanIsGood,IF(ROW()-ROW(PaymentSchedule3[[#Headers],[PMT NO]])&gt;ScheduledNumberOfPayments,"",ROW()-ROW(PaymentSchedule3[[#Headers],[PMT NO]])),"")</f>
        <v>207</v>
      </c>
      <c r="C218" s="20">
        <f>IF(PaymentSchedule3[[#This Row],[PMT NO]]&lt;&gt;"",EOMONTH(LoanStartDate,ROW(PaymentSchedule3[[#This Row],[PMT NO]])-ROW(PaymentSchedule3[[#Headers],[PMT NO]])-2)+DAY(LoanStartDate),"")</f>
        <v>49919</v>
      </c>
      <c r="D218" s="19">
        <f>IF(PaymentSchedule3[[#This Row],[PMT NO]]&lt;&gt;"",IF(ROW()-ROW(PaymentSchedule3[[#Headers],[BEGINNING BALANCE]])=1,LoanAmount,INDEX(PaymentSchedule3[ENDING BALANCE],ROW()-ROW(PaymentSchedule3[[#Headers],[BEGINNING BALANCE]])-1)),"")</f>
        <v>1500078.5164250052</v>
      </c>
      <c r="E218" s="19">
        <f>IF(PaymentSchedule3[[#This Row],[PMT NO]]&lt;&gt;"",ScheduledPayment,"")</f>
        <v>8358.7693880762818</v>
      </c>
      <c r="F21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1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18" s="19">
        <f>IF(PaymentSchedule3[[#This Row],[PMT NO]]&lt;&gt;"",PaymentSchedule3[[#This Row],[TOTAL PAYMENT]]-PaymentSchedule3[[#This Row],[INTEREST]],"")</f>
        <v>3358.5076666595978</v>
      </c>
      <c r="I218" s="19">
        <f>IF(PaymentSchedule3[[#This Row],[PMT NO]]&lt;&gt;"",PaymentSchedule3[[#This Row],[BEGINNING BALANCE]]*(InterestRate/PaymentsPerYear),"")</f>
        <v>5000.2617214166839</v>
      </c>
      <c r="J21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1496720.0087583456</v>
      </c>
      <c r="K218" s="19">
        <f>IF(PaymentSchedule3[[#This Row],[PMT NO]]&lt;&gt;"",SUM(INDEX(PaymentSchedule3[INTEREST],1,1):PaymentSchedule3[[#This Row],[INTEREST]]),"")</f>
        <v>1226985.2720901344</v>
      </c>
    </row>
    <row r="219" spans="2:11" x14ac:dyDescent="0.3">
      <c r="B219" s="21">
        <f>IF(LoanIsGood,IF(ROW()-ROW(PaymentSchedule3[[#Headers],[PMT NO]])&gt;ScheduledNumberOfPayments,"",ROW()-ROW(PaymentSchedule3[[#Headers],[PMT NO]])),"")</f>
        <v>208</v>
      </c>
      <c r="C219" s="20">
        <f>IF(PaymentSchedule3[[#This Row],[PMT NO]]&lt;&gt;"",EOMONTH(LoanStartDate,ROW(PaymentSchedule3[[#This Row],[PMT NO]])-ROW(PaymentSchedule3[[#Headers],[PMT NO]])-2)+DAY(LoanStartDate),"")</f>
        <v>49949</v>
      </c>
      <c r="D219" s="19">
        <f>IF(PaymentSchedule3[[#This Row],[PMT NO]]&lt;&gt;"",IF(ROW()-ROW(PaymentSchedule3[[#Headers],[BEGINNING BALANCE]])=1,LoanAmount,INDEX(PaymentSchedule3[ENDING BALANCE],ROW()-ROW(PaymentSchedule3[[#Headers],[BEGINNING BALANCE]])-1)),"")</f>
        <v>1496720.0087583456</v>
      </c>
      <c r="E219" s="19">
        <f>IF(PaymentSchedule3[[#This Row],[PMT NO]]&lt;&gt;"",ScheduledPayment,"")</f>
        <v>8358.7693880762818</v>
      </c>
      <c r="F21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1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19" s="19">
        <f>IF(PaymentSchedule3[[#This Row],[PMT NO]]&lt;&gt;"",PaymentSchedule3[[#This Row],[TOTAL PAYMENT]]-PaymentSchedule3[[#This Row],[INTEREST]],"")</f>
        <v>3369.702692215129</v>
      </c>
      <c r="I219" s="19">
        <f>IF(PaymentSchedule3[[#This Row],[PMT NO]]&lt;&gt;"",PaymentSchedule3[[#This Row],[BEGINNING BALANCE]]*(InterestRate/PaymentsPerYear),"")</f>
        <v>4989.0666958611528</v>
      </c>
      <c r="J21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1493350.3060661305</v>
      </c>
      <c r="K219" s="19">
        <f>IF(PaymentSchedule3[[#This Row],[PMT NO]]&lt;&gt;"",SUM(INDEX(PaymentSchedule3[INTEREST],1,1):PaymentSchedule3[[#This Row],[INTEREST]]),"")</f>
        <v>1231974.3387859955</v>
      </c>
    </row>
    <row r="220" spans="2:11" x14ac:dyDescent="0.3">
      <c r="B220" s="21">
        <f>IF(LoanIsGood,IF(ROW()-ROW(PaymentSchedule3[[#Headers],[PMT NO]])&gt;ScheduledNumberOfPayments,"",ROW()-ROW(PaymentSchedule3[[#Headers],[PMT NO]])),"")</f>
        <v>209</v>
      </c>
      <c r="C220" s="20">
        <f>IF(PaymentSchedule3[[#This Row],[PMT NO]]&lt;&gt;"",EOMONTH(LoanStartDate,ROW(PaymentSchedule3[[#This Row],[PMT NO]])-ROW(PaymentSchedule3[[#Headers],[PMT NO]])-2)+DAY(LoanStartDate),"")</f>
        <v>49980</v>
      </c>
      <c r="D220" s="19">
        <f>IF(PaymentSchedule3[[#This Row],[PMT NO]]&lt;&gt;"",IF(ROW()-ROW(PaymentSchedule3[[#Headers],[BEGINNING BALANCE]])=1,LoanAmount,INDEX(PaymentSchedule3[ENDING BALANCE],ROW()-ROW(PaymentSchedule3[[#Headers],[BEGINNING BALANCE]])-1)),"")</f>
        <v>1493350.3060661305</v>
      </c>
      <c r="E220" s="19">
        <f>IF(PaymentSchedule3[[#This Row],[PMT NO]]&lt;&gt;"",ScheduledPayment,"")</f>
        <v>8358.7693880762818</v>
      </c>
      <c r="F22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2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20" s="19">
        <f>IF(PaymentSchedule3[[#This Row],[PMT NO]]&lt;&gt;"",PaymentSchedule3[[#This Row],[TOTAL PAYMENT]]-PaymentSchedule3[[#This Row],[INTEREST]],"")</f>
        <v>3380.935034522513</v>
      </c>
      <c r="I220" s="19">
        <f>IF(PaymentSchedule3[[#This Row],[PMT NO]]&lt;&gt;"",PaymentSchedule3[[#This Row],[BEGINNING BALANCE]]*(InterestRate/PaymentsPerYear),"")</f>
        <v>4977.8343535537688</v>
      </c>
      <c r="J22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1489969.371031608</v>
      </c>
      <c r="K220" s="19">
        <f>IF(PaymentSchedule3[[#This Row],[PMT NO]]&lt;&gt;"",SUM(INDEX(PaymentSchedule3[INTEREST],1,1):PaymentSchedule3[[#This Row],[INTEREST]]),"")</f>
        <v>1236952.1731395493</v>
      </c>
    </row>
    <row r="221" spans="2:11" x14ac:dyDescent="0.3">
      <c r="B221" s="21">
        <f>IF(LoanIsGood,IF(ROW()-ROW(PaymentSchedule3[[#Headers],[PMT NO]])&gt;ScheduledNumberOfPayments,"",ROW()-ROW(PaymentSchedule3[[#Headers],[PMT NO]])),"")</f>
        <v>210</v>
      </c>
      <c r="C221" s="20">
        <f>IF(PaymentSchedule3[[#This Row],[PMT NO]]&lt;&gt;"",EOMONTH(LoanStartDate,ROW(PaymentSchedule3[[#This Row],[PMT NO]])-ROW(PaymentSchedule3[[#Headers],[PMT NO]])-2)+DAY(LoanStartDate),"")</f>
        <v>50010</v>
      </c>
      <c r="D221" s="19">
        <f>IF(PaymentSchedule3[[#This Row],[PMT NO]]&lt;&gt;"",IF(ROW()-ROW(PaymentSchedule3[[#Headers],[BEGINNING BALANCE]])=1,LoanAmount,INDEX(PaymentSchedule3[ENDING BALANCE],ROW()-ROW(PaymentSchedule3[[#Headers],[BEGINNING BALANCE]])-1)),"")</f>
        <v>1489969.371031608</v>
      </c>
      <c r="E221" s="19">
        <f>IF(PaymentSchedule3[[#This Row],[PMT NO]]&lt;&gt;"",ScheduledPayment,"")</f>
        <v>8358.7693880762818</v>
      </c>
      <c r="F22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2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21" s="19">
        <f>IF(PaymentSchedule3[[#This Row],[PMT NO]]&lt;&gt;"",PaymentSchedule3[[#This Row],[TOTAL PAYMENT]]-PaymentSchedule3[[#This Row],[INTEREST]],"")</f>
        <v>3392.2048179709218</v>
      </c>
      <c r="I221" s="19">
        <f>IF(PaymentSchedule3[[#This Row],[PMT NO]]&lt;&gt;"",PaymentSchedule3[[#This Row],[BEGINNING BALANCE]]*(InterestRate/PaymentsPerYear),"")</f>
        <v>4966.56457010536</v>
      </c>
      <c r="J22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1486577.166213637</v>
      </c>
      <c r="K221" s="19">
        <f>IF(PaymentSchedule3[[#This Row],[PMT NO]]&lt;&gt;"",SUM(INDEX(PaymentSchedule3[INTEREST],1,1):PaymentSchedule3[[#This Row],[INTEREST]]),"")</f>
        <v>1241918.7377096547</v>
      </c>
    </row>
    <row r="222" spans="2:11" x14ac:dyDescent="0.3">
      <c r="B222" s="21">
        <f>IF(LoanIsGood,IF(ROW()-ROW(PaymentSchedule3[[#Headers],[PMT NO]])&gt;ScheduledNumberOfPayments,"",ROW()-ROW(PaymentSchedule3[[#Headers],[PMT NO]])),"")</f>
        <v>211</v>
      </c>
      <c r="C222" s="20">
        <f>IF(PaymentSchedule3[[#This Row],[PMT NO]]&lt;&gt;"",EOMONTH(LoanStartDate,ROW(PaymentSchedule3[[#This Row],[PMT NO]])-ROW(PaymentSchedule3[[#Headers],[PMT NO]])-2)+DAY(LoanStartDate),"")</f>
        <v>50041</v>
      </c>
      <c r="D222" s="19">
        <f>IF(PaymentSchedule3[[#This Row],[PMT NO]]&lt;&gt;"",IF(ROW()-ROW(PaymentSchedule3[[#Headers],[BEGINNING BALANCE]])=1,LoanAmount,INDEX(PaymentSchedule3[ENDING BALANCE],ROW()-ROW(PaymentSchedule3[[#Headers],[BEGINNING BALANCE]])-1)),"")</f>
        <v>1486577.166213637</v>
      </c>
      <c r="E222" s="19">
        <f>IF(PaymentSchedule3[[#This Row],[PMT NO]]&lt;&gt;"",ScheduledPayment,"")</f>
        <v>8358.7693880762818</v>
      </c>
      <c r="F22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2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22" s="19">
        <f>IF(PaymentSchedule3[[#This Row],[PMT NO]]&lt;&gt;"",PaymentSchedule3[[#This Row],[TOTAL PAYMENT]]-PaymentSchedule3[[#This Row],[INTEREST]],"")</f>
        <v>3403.5121673641579</v>
      </c>
      <c r="I222" s="19">
        <f>IF(PaymentSchedule3[[#This Row],[PMT NO]]&lt;&gt;"",PaymentSchedule3[[#This Row],[BEGINNING BALANCE]]*(InterestRate/PaymentsPerYear),"")</f>
        <v>4955.2572207121239</v>
      </c>
      <c r="J22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1483173.6540462729</v>
      </c>
      <c r="K222" s="19">
        <f>IF(PaymentSchedule3[[#This Row],[PMT NO]]&lt;&gt;"",SUM(INDEX(PaymentSchedule3[INTEREST],1,1):PaymentSchedule3[[#This Row],[INTEREST]]),"")</f>
        <v>1246873.9949303668</v>
      </c>
    </row>
    <row r="223" spans="2:11" x14ac:dyDescent="0.3">
      <c r="B223" s="21">
        <f>IF(LoanIsGood,IF(ROW()-ROW(PaymentSchedule3[[#Headers],[PMT NO]])&gt;ScheduledNumberOfPayments,"",ROW()-ROW(PaymentSchedule3[[#Headers],[PMT NO]])),"")</f>
        <v>212</v>
      </c>
      <c r="C223" s="20">
        <f>IF(PaymentSchedule3[[#This Row],[PMT NO]]&lt;&gt;"",EOMONTH(LoanStartDate,ROW(PaymentSchedule3[[#This Row],[PMT NO]])-ROW(PaymentSchedule3[[#Headers],[PMT NO]])-2)+DAY(LoanStartDate),"")</f>
        <v>50072</v>
      </c>
      <c r="D223" s="19">
        <f>IF(PaymentSchedule3[[#This Row],[PMT NO]]&lt;&gt;"",IF(ROW()-ROW(PaymentSchedule3[[#Headers],[BEGINNING BALANCE]])=1,LoanAmount,INDEX(PaymentSchedule3[ENDING BALANCE],ROW()-ROW(PaymentSchedule3[[#Headers],[BEGINNING BALANCE]])-1)),"")</f>
        <v>1483173.6540462729</v>
      </c>
      <c r="E223" s="19">
        <f>IF(PaymentSchedule3[[#This Row],[PMT NO]]&lt;&gt;"",ScheduledPayment,"")</f>
        <v>8358.7693880762818</v>
      </c>
      <c r="F22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2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23" s="19">
        <f>IF(PaymentSchedule3[[#This Row],[PMT NO]]&lt;&gt;"",PaymentSchedule3[[#This Row],[TOTAL PAYMENT]]-PaymentSchedule3[[#This Row],[INTEREST]],"")</f>
        <v>3414.8572079220385</v>
      </c>
      <c r="I223" s="19">
        <f>IF(PaymentSchedule3[[#This Row],[PMT NO]]&lt;&gt;"",PaymentSchedule3[[#This Row],[BEGINNING BALANCE]]*(InterestRate/PaymentsPerYear),"")</f>
        <v>4943.9121801542433</v>
      </c>
      <c r="J22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1479758.7968383508</v>
      </c>
      <c r="K223" s="19">
        <f>IF(PaymentSchedule3[[#This Row],[PMT NO]]&lt;&gt;"",SUM(INDEX(PaymentSchedule3[INTEREST],1,1):PaymentSchedule3[[#This Row],[INTEREST]]),"")</f>
        <v>1251817.9071105211</v>
      </c>
    </row>
    <row r="224" spans="2:11" x14ac:dyDescent="0.3">
      <c r="B224" s="21">
        <f>IF(LoanIsGood,IF(ROW()-ROW(PaymentSchedule3[[#Headers],[PMT NO]])&gt;ScheduledNumberOfPayments,"",ROW()-ROW(PaymentSchedule3[[#Headers],[PMT NO]])),"")</f>
        <v>213</v>
      </c>
      <c r="C224" s="20">
        <f>IF(PaymentSchedule3[[#This Row],[PMT NO]]&lt;&gt;"",EOMONTH(LoanStartDate,ROW(PaymentSchedule3[[#This Row],[PMT NO]])-ROW(PaymentSchedule3[[#Headers],[PMT NO]])-2)+DAY(LoanStartDate),"")</f>
        <v>50100</v>
      </c>
      <c r="D224" s="19">
        <f>IF(PaymentSchedule3[[#This Row],[PMT NO]]&lt;&gt;"",IF(ROW()-ROW(PaymentSchedule3[[#Headers],[BEGINNING BALANCE]])=1,LoanAmount,INDEX(PaymentSchedule3[ENDING BALANCE],ROW()-ROW(PaymentSchedule3[[#Headers],[BEGINNING BALANCE]])-1)),"")</f>
        <v>1479758.7968383508</v>
      </c>
      <c r="E224" s="19">
        <f>IF(PaymentSchedule3[[#This Row],[PMT NO]]&lt;&gt;"",ScheduledPayment,"")</f>
        <v>8358.7693880762818</v>
      </c>
      <c r="F22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2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24" s="19">
        <f>IF(PaymentSchedule3[[#This Row],[PMT NO]]&lt;&gt;"",PaymentSchedule3[[#This Row],[TOTAL PAYMENT]]-PaymentSchedule3[[#This Row],[INTEREST]],"")</f>
        <v>3426.2400652817787</v>
      </c>
      <c r="I224" s="19">
        <f>IF(PaymentSchedule3[[#This Row],[PMT NO]]&lt;&gt;"",PaymentSchedule3[[#This Row],[BEGINNING BALANCE]]*(InterestRate/PaymentsPerYear),"")</f>
        <v>4932.5293227945031</v>
      </c>
      <c r="J22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1476332.5567730691</v>
      </c>
      <c r="K224" s="19">
        <f>IF(PaymentSchedule3[[#This Row],[PMT NO]]&lt;&gt;"",SUM(INDEX(PaymentSchedule3[INTEREST],1,1):PaymentSchedule3[[#This Row],[INTEREST]]),"")</f>
        <v>1256750.4364333155</v>
      </c>
    </row>
    <row r="225" spans="2:11" x14ac:dyDescent="0.3">
      <c r="B225" s="21">
        <f>IF(LoanIsGood,IF(ROW()-ROW(PaymentSchedule3[[#Headers],[PMT NO]])&gt;ScheduledNumberOfPayments,"",ROW()-ROW(PaymentSchedule3[[#Headers],[PMT NO]])),"")</f>
        <v>214</v>
      </c>
      <c r="C225" s="20">
        <f>IF(PaymentSchedule3[[#This Row],[PMT NO]]&lt;&gt;"",EOMONTH(LoanStartDate,ROW(PaymentSchedule3[[#This Row],[PMT NO]])-ROW(PaymentSchedule3[[#Headers],[PMT NO]])-2)+DAY(LoanStartDate),"")</f>
        <v>50131</v>
      </c>
      <c r="D225" s="19">
        <f>IF(PaymentSchedule3[[#This Row],[PMT NO]]&lt;&gt;"",IF(ROW()-ROW(PaymentSchedule3[[#Headers],[BEGINNING BALANCE]])=1,LoanAmount,INDEX(PaymentSchedule3[ENDING BALANCE],ROW()-ROW(PaymentSchedule3[[#Headers],[BEGINNING BALANCE]])-1)),"")</f>
        <v>1476332.5567730691</v>
      </c>
      <c r="E225" s="19">
        <f>IF(PaymentSchedule3[[#This Row],[PMT NO]]&lt;&gt;"",ScheduledPayment,"")</f>
        <v>8358.7693880762818</v>
      </c>
      <c r="F22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2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25" s="19">
        <f>IF(PaymentSchedule3[[#This Row],[PMT NO]]&lt;&gt;"",PaymentSchedule3[[#This Row],[TOTAL PAYMENT]]-PaymentSchedule3[[#This Row],[INTEREST]],"")</f>
        <v>3437.6608654993843</v>
      </c>
      <c r="I225" s="19">
        <f>IF(PaymentSchedule3[[#This Row],[PMT NO]]&lt;&gt;"",PaymentSchedule3[[#This Row],[BEGINNING BALANCE]]*(InterestRate/PaymentsPerYear),"")</f>
        <v>4921.1085225768975</v>
      </c>
      <c r="J22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1472894.8959075697</v>
      </c>
      <c r="K225" s="19">
        <f>IF(PaymentSchedule3[[#This Row],[PMT NO]]&lt;&gt;"",SUM(INDEX(PaymentSchedule3[INTEREST],1,1):PaymentSchedule3[[#This Row],[INTEREST]]),"")</f>
        <v>1261671.5449558925</v>
      </c>
    </row>
    <row r="226" spans="2:11" x14ac:dyDescent="0.3">
      <c r="B226" s="21">
        <f>IF(LoanIsGood,IF(ROW()-ROW(PaymentSchedule3[[#Headers],[PMT NO]])&gt;ScheduledNumberOfPayments,"",ROW()-ROW(PaymentSchedule3[[#Headers],[PMT NO]])),"")</f>
        <v>215</v>
      </c>
      <c r="C226" s="20">
        <f>IF(PaymentSchedule3[[#This Row],[PMT NO]]&lt;&gt;"",EOMONTH(LoanStartDate,ROW(PaymentSchedule3[[#This Row],[PMT NO]])-ROW(PaymentSchedule3[[#Headers],[PMT NO]])-2)+DAY(LoanStartDate),"")</f>
        <v>50161</v>
      </c>
      <c r="D226" s="19">
        <f>IF(PaymentSchedule3[[#This Row],[PMT NO]]&lt;&gt;"",IF(ROW()-ROW(PaymentSchedule3[[#Headers],[BEGINNING BALANCE]])=1,LoanAmount,INDEX(PaymentSchedule3[ENDING BALANCE],ROW()-ROW(PaymentSchedule3[[#Headers],[BEGINNING BALANCE]])-1)),"")</f>
        <v>1472894.8959075697</v>
      </c>
      <c r="E226" s="19">
        <f>IF(PaymentSchedule3[[#This Row],[PMT NO]]&lt;&gt;"",ScheduledPayment,"")</f>
        <v>8358.7693880762818</v>
      </c>
      <c r="F22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2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26" s="19">
        <f>IF(PaymentSchedule3[[#This Row],[PMT NO]]&lt;&gt;"",PaymentSchedule3[[#This Row],[TOTAL PAYMENT]]-PaymentSchedule3[[#This Row],[INTEREST]],"")</f>
        <v>3449.1197350510492</v>
      </c>
      <c r="I226" s="19">
        <f>IF(PaymentSchedule3[[#This Row],[PMT NO]]&lt;&gt;"",PaymentSchedule3[[#This Row],[BEGINNING BALANCE]]*(InterestRate/PaymentsPerYear),"")</f>
        <v>4909.6496530252325</v>
      </c>
      <c r="J22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1469445.7761725187</v>
      </c>
      <c r="K226" s="19">
        <f>IF(PaymentSchedule3[[#This Row],[PMT NO]]&lt;&gt;"",SUM(INDEX(PaymentSchedule3[INTEREST],1,1):PaymentSchedule3[[#This Row],[INTEREST]]),"")</f>
        <v>1266581.1946089177</v>
      </c>
    </row>
    <row r="227" spans="2:11" x14ac:dyDescent="0.3">
      <c r="B227" s="21">
        <f>IF(LoanIsGood,IF(ROW()-ROW(PaymentSchedule3[[#Headers],[PMT NO]])&gt;ScheduledNumberOfPayments,"",ROW()-ROW(PaymentSchedule3[[#Headers],[PMT NO]])),"")</f>
        <v>216</v>
      </c>
      <c r="C227" s="20">
        <f>IF(PaymentSchedule3[[#This Row],[PMT NO]]&lt;&gt;"",EOMONTH(LoanStartDate,ROW(PaymentSchedule3[[#This Row],[PMT NO]])-ROW(PaymentSchedule3[[#Headers],[PMT NO]])-2)+DAY(LoanStartDate),"")</f>
        <v>50192</v>
      </c>
      <c r="D227" s="19">
        <f>IF(PaymentSchedule3[[#This Row],[PMT NO]]&lt;&gt;"",IF(ROW()-ROW(PaymentSchedule3[[#Headers],[BEGINNING BALANCE]])=1,LoanAmount,INDEX(PaymentSchedule3[ENDING BALANCE],ROW()-ROW(PaymentSchedule3[[#Headers],[BEGINNING BALANCE]])-1)),"")</f>
        <v>1469445.7761725187</v>
      </c>
      <c r="E227" s="19">
        <f>IF(PaymentSchedule3[[#This Row],[PMT NO]]&lt;&gt;"",ScheduledPayment,"")</f>
        <v>8358.7693880762818</v>
      </c>
      <c r="F22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2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27" s="19">
        <f>IF(PaymentSchedule3[[#This Row],[PMT NO]]&lt;&gt;"",PaymentSchedule3[[#This Row],[TOTAL PAYMENT]]-PaymentSchedule3[[#This Row],[INTEREST]],"")</f>
        <v>3460.6168008345521</v>
      </c>
      <c r="I227" s="19">
        <f>IF(PaymentSchedule3[[#This Row],[PMT NO]]&lt;&gt;"",PaymentSchedule3[[#This Row],[BEGINNING BALANCE]]*(InterestRate/PaymentsPerYear),"")</f>
        <v>4898.1525872417296</v>
      </c>
      <c r="J22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1465985.1593716841</v>
      </c>
      <c r="K227" s="19">
        <f>IF(PaymentSchedule3[[#This Row],[PMT NO]]&lt;&gt;"",SUM(INDEX(PaymentSchedule3[INTEREST],1,1):PaymentSchedule3[[#This Row],[INTEREST]]),"")</f>
        <v>1271479.3471961594</v>
      </c>
    </row>
    <row r="228" spans="2:11" x14ac:dyDescent="0.3">
      <c r="B228" s="21">
        <f>IF(LoanIsGood,IF(ROW()-ROW(PaymentSchedule3[[#Headers],[PMT NO]])&gt;ScheduledNumberOfPayments,"",ROW()-ROW(PaymentSchedule3[[#Headers],[PMT NO]])),"")</f>
        <v>217</v>
      </c>
      <c r="C228" s="20">
        <f>IF(PaymentSchedule3[[#This Row],[PMT NO]]&lt;&gt;"",EOMONTH(LoanStartDate,ROW(PaymentSchedule3[[#This Row],[PMT NO]])-ROW(PaymentSchedule3[[#Headers],[PMT NO]])-2)+DAY(LoanStartDate),"")</f>
        <v>50222</v>
      </c>
      <c r="D228" s="19">
        <f>IF(PaymentSchedule3[[#This Row],[PMT NO]]&lt;&gt;"",IF(ROW()-ROW(PaymentSchedule3[[#Headers],[BEGINNING BALANCE]])=1,LoanAmount,INDEX(PaymentSchedule3[ENDING BALANCE],ROW()-ROW(PaymentSchedule3[[#Headers],[BEGINNING BALANCE]])-1)),"")</f>
        <v>1465985.1593716841</v>
      </c>
      <c r="E228" s="19">
        <f>IF(PaymentSchedule3[[#This Row],[PMT NO]]&lt;&gt;"",ScheduledPayment,"")</f>
        <v>8358.7693880762818</v>
      </c>
      <c r="F22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2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28" s="19">
        <f>IF(PaymentSchedule3[[#This Row],[PMT NO]]&lt;&gt;"",PaymentSchedule3[[#This Row],[TOTAL PAYMENT]]-PaymentSchedule3[[#This Row],[INTEREST]],"")</f>
        <v>3472.1521901706683</v>
      </c>
      <c r="I228" s="19">
        <f>IF(PaymentSchedule3[[#This Row],[PMT NO]]&lt;&gt;"",PaymentSchedule3[[#This Row],[BEGINNING BALANCE]]*(InterestRate/PaymentsPerYear),"")</f>
        <v>4886.6171979056135</v>
      </c>
      <c r="J22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1462513.0071815134</v>
      </c>
      <c r="K228" s="19">
        <f>IF(PaymentSchedule3[[#This Row],[PMT NO]]&lt;&gt;"",SUM(INDEX(PaymentSchedule3[INTEREST],1,1):PaymentSchedule3[[#This Row],[INTEREST]]),"")</f>
        <v>1276365.9643940651</v>
      </c>
    </row>
    <row r="229" spans="2:11" x14ac:dyDescent="0.3">
      <c r="B229" s="21">
        <f>IF(LoanIsGood,IF(ROW()-ROW(PaymentSchedule3[[#Headers],[PMT NO]])&gt;ScheduledNumberOfPayments,"",ROW()-ROW(PaymentSchedule3[[#Headers],[PMT NO]])),"")</f>
        <v>218</v>
      </c>
      <c r="C229" s="20">
        <f>IF(PaymentSchedule3[[#This Row],[PMT NO]]&lt;&gt;"",EOMONTH(LoanStartDate,ROW(PaymentSchedule3[[#This Row],[PMT NO]])-ROW(PaymentSchedule3[[#Headers],[PMT NO]])-2)+DAY(LoanStartDate),"")</f>
        <v>50253</v>
      </c>
      <c r="D229" s="19">
        <f>IF(PaymentSchedule3[[#This Row],[PMT NO]]&lt;&gt;"",IF(ROW()-ROW(PaymentSchedule3[[#Headers],[BEGINNING BALANCE]])=1,LoanAmount,INDEX(PaymentSchedule3[ENDING BALANCE],ROW()-ROW(PaymentSchedule3[[#Headers],[BEGINNING BALANCE]])-1)),"")</f>
        <v>1462513.0071815134</v>
      </c>
      <c r="E229" s="19">
        <f>IF(PaymentSchedule3[[#This Row],[PMT NO]]&lt;&gt;"",ScheduledPayment,"")</f>
        <v>8358.7693880762818</v>
      </c>
      <c r="F22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2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29" s="19">
        <f>IF(PaymentSchedule3[[#This Row],[PMT NO]]&lt;&gt;"",PaymentSchedule3[[#This Row],[TOTAL PAYMENT]]-PaymentSchedule3[[#This Row],[INTEREST]],"")</f>
        <v>3483.7260308045707</v>
      </c>
      <c r="I229" s="19">
        <f>IF(PaymentSchedule3[[#This Row],[PMT NO]]&lt;&gt;"",PaymentSchedule3[[#This Row],[BEGINNING BALANCE]]*(InterestRate/PaymentsPerYear),"")</f>
        <v>4875.0433572717111</v>
      </c>
      <c r="J22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1459029.2811507087</v>
      </c>
      <c r="K229" s="19">
        <f>IF(PaymentSchedule3[[#This Row],[PMT NO]]&lt;&gt;"",SUM(INDEX(PaymentSchedule3[INTEREST],1,1):PaymentSchedule3[[#This Row],[INTEREST]]),"")</f>
        <v>1281241.0077513368</v>
      </c>
    </row>
    <row r="230" spans="2:11" x14ac:dyDescent="0.3">
      <c r="B230" s="21">
        <f>IF(LoanIsGood,IF(ROW()-ROW(PaymentSchedule3[[#Headers],[PMT NO]])&gt;ScheduledNumberOfPayments,"",ROW()-ROW(PaymentSchedule3[[#Headers],[PMT NO]])),"")</f>
        <v>219</v>
      </c>
      <c r="C230" s="20">
        <f>IF(PaymentSchedule3[[#This Row],[PMT NO]]&lt;&gt;"",EOMONTH(LoanStartDate,ROW(PaymentSchedule3[[#This Row],[PMT NO]])-ROW(PaymentSchedule3[[#Headers],[PMT NO]])-2)+DAY(LoanStartDate),"")</f>
        <v>50284</v>
      </c>
      <c r="D230" s="19">
        <f>IF(PaymentSchedule3[[#This Row],[PMT NO]]&lt;&gt;"",IF(ROW()-ROW(PaymentSchedule3[[#Headers],[BEGINNING BALANCE]])=1,LoanAmount,INDEX(PaymentSchedule3[ENDING BALANCE],ROW()-ROW(PaymentSchedule3[[#Headers],[BEGINNING BALANCE]])-1)),"")</f>
        <v>1459029.2811507087</v>
      </c>
      <c r="E230" s="19">
        <f>IF(PaymentSchedule3[[#This Row],[PMT NO]]&lt;&gt;"",ScheduledPayment,"")</f>
        <v>8358.7693880762818</v>
      </c>
      <c r="F23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3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30" s="19">
        <f>IF(PaymentSchedule3[[#This Row],[PMT NO]]&lt;&gt;"",PaymentSchedule3[[#This Row],[TOTAL PAYMENT]]-PaymentSchedule3[[#This Row],[INTEREST]],"")</f>
        <v>3495.3384509072521</v>
      </c>
      <c r="I230" s="19">
        <f>IF(PaymentSchedule3[[#This Row],[PMT NO]]&lt;&gt;"",PaymentSchedule3[[#This Row],[BEGINNING BALANCE]]*(InterestRate/PaymentsPerYear),"")</f>
        <v>4863.4309371690297</v>
      </c>
      <c r="J23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1455533.9426998014</v>
      </c>
      <c r="K230" s="19">
        <f>IF(PaymentSchedule3[[#This Row],[PMT NO]]&lt;&gt;"",SUM(INDEX(PaymentSchedule3[INTEREST],1,1):PaymentSchedule3[[#This Row],[INTEREST]]),"")</f>
        <v>1286104.4386885059</v>
      </c>
    </row>
    <row r="231" spans="2:11" x14ac:dyDescent="0.3">
      <c r="B231" s="21">
        <f>IF(LoanIsGood,IF(ROW()-ROW(PaymentSchedule3[[#Headers],[PMT NO]])&gt;ScheduledNumberOfPayments,"",ROW()-ROW(PaymentSchedule3[[#Headers],[PMT NO]])),"")</f>
        <v>220</v>
      </c>
      <c r="C231" s="20">
        <f>IF(PaymentSchedule3[[#This Row],[PMT NO]]&lt;&gt;"",EOMONTH(LoanStartDate,ROW(PaymentSchedule3[[#This Row],[PMT NO]])-ROW(PaymentSchedule3[[#Headers],[PMT NO]])-2)+DAY(LoanStartDate),"")</f>
        <v>50314</v>
      </c>
      <c r="D231" s="19">
        <f>IF(PaymentSchedule3[[#This Row],[PMT NO]]&lt;&gt;"",IF(ROW()-ROW(PaymentSchedule3[[#Headers],[BEGINNING BALANCE]])=1,LoanAmount,INDEX(PaymentSchedule3[ENDING BALANCE],ROW()-ROW(PaymentSchedule3[[#Headers],[BEGINNING BALANCE]])-1)),"")</f>
        <v>1455533.9426998014</v>
      </c>
      <c r="E231" s="19">
        <f>IF(PaymentSchedule3[[#This Row],[PMT NO]]&lt;&gt;"",ScheduledPayment,"")</f>
        <v>8358.7693880762818</v>
      </c>
      <c r="F23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3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31" s="19">
        <f>IF(PaymentSchedule3[[#This Row],[PMT NO]]&lt;&gt;"",PaymentSchedule3[[#This Row],[TOTAL PAYMENT]]-PaymentSchedule3[[#This Row],[INTEREST]],"")</f>
        <v>3506.9895790769433</v>
      </c>
      <c r="I231" s="19">
        <f>IF(PaymentSchedule3[[#This Row],[PMT NO]]&lt;&gt;"",PaymentSchedule3[[#This Row],[BEGINNING BALANCE]]*(InterestRate/PaymentsPerYear),"")</f>
        <v>4851.7798089993385</v>
      </c>
      <c r="J23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1452026.9531207245</v>
      </c>
      <c r="K231" s="19">
        <f>IF(PaymentSchedule3[[#This Row],[PMT NO]]&lt;&gt;"",SUM(INDEX(PaymentSchedule3[INTEREST],1,1):PaymentSchedule3[[#This Row],[INTEREST]]),"")</f>
        <v>1290956.2184975052</v>
      </c>
    </row>
    <row r="232" spans="2:11" x14ac:dyDescent="0.3">
      <c r="B232" s="21">
        <f>IF(LoanIsGood,IF(ROW()-ROW(PaymentSchedule3[[#Headers],[PMT NO]])&gt;ScheduledNumberOfPayments,"",ROW()-ROW(PaymentSchedule3[[#Headers],[PMT NO]])),"")</f>
        <v>221</v>
      </c>
      <c r="C232" s="20">
        <f>IF(PaymentSchedule3[[#This Row],[PMT NO]]&lt;&gt;"",EOMONTH(LoanStartDate,ROW(PaymentSchedule3[[#This Row],[PMT NO]])-ROW(PaymentSchedule3[[#Headers],[PMT NO]])-2)+DAY(LoanStartDate),"")</f>
        <v>50345</v>
      </c>
      <c r="D232" s="19">
        <f>IF(PaymentSchedule3[[#This Row],[PMT NO]]&lt;&gt;"",IF(ROW()-ROW(PaymentSchedule3[[#Headers],[BEGINNING BALANCE]])=1,LoanAmount,INDEX(PaymentSchedule3[ENDING BALANCE],ROW()-ROW(PaymentSchedule3[[#Headers],[BEGINNING BALANCE]])-1)),"")</f>
        <v>1452026.9531207245</v>
      </c>
      <c r="E232" s="19">
        <f>IF(PaymentSchedule3[[#This Row],[PMT NO]]&lt;&gt;"",ScheduledPayment,"")</f>
        <v>8358.7693880762818</v>
      </c>
      <c r="F23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3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32" s="19">
        <f>IF(PaymentSchedule3[[#This Row],[PMT NO]]&lt;&gt;"",PaymentSchedule3[[#This Row],[TOTAL PAYMENT]]-PaymentSchedule3[[#This Row],[INTEREST]],"")</f>
        <v>3518.6795443405326</v>
      </c>
      <c r="I232" s="19">
        <f>IF(PaymentSchedule3[[#This Row],[PMT NO]]&lt;&gt;"",PaymentSchedule3[[#This Row],[BEGINNING BALANCE]]*(InterestRate/PaymentsPerYear),"")</f>
        <v>4840.0898437357491</v>
      </c>
      <c r="J23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1448508.2735763839</v>
      </c>
      <c r="K232" s="19">
        <f>IF(PaymentSchedule3[[#This Row],[PMT NO]]&lt;&gt;"",SUM(INDEX(PaymentSchedule3[INTEREST],1,1):PaymentSchedule3[[#This Row],[INTEREST]]),"")</f>
        <v>1295796.308341241</v>
      </c>
    </row>
    <row r="233" spans="2:11" x14ac:dyDescent="0.3">
      <c r="B233" s="21">
        <f>IF(LoanIsGood,IF(ROW()-ROW(PaymentSchedule3[[#Headers],[PMT NO]])&gt;ScheduledNumberOfPayments,"",ROW()-ROW(PaymentSchedule3[[#Headers],[PMT NO]])),"")</f>
        <v>222</v>
      </c>
      <c r="C233" s="20">
        <f>IF(PaymentSchedule3[[#This Row],[PMT NO]]&lt;&gt;"",EOMONTH(LoanStartDate,ROW(PaymentSchedule3[[#This Row],[PMT NO]])-ROW(PaymentSchedule3[[#Headers],[PMT NO]])-2)+DAY(LoanStartDate),"")</f>
        <v>50375</v>
      </c>
      <c r="D233" s="19">
        <f>IF(PaymentSchedule3[[#This Row],[PMT NO]]&lt;&gt;"",IF(ROW()-ROW(PaymentSchedule3[[#Headers],[BEGINNING BALANCE]])=1,LoanAmount,INDEX(PaymentSchedule3[ENDING BALANCE],ROW()-ROW(PaymentSchedule3[[#Headers],[BEGINNING BALANCE]])-1)),"")</f>
        <v>1448508.2735763839</v>
      </c>
      <c r="E233" s="19">
        <f>IF(PaymentSchedule3[[#This Row],[PMT NO]]&lt;&gt;"",ScheduledPayment,"")</f>
        <v>8358.7693880762818</v>
      </c>
      <c r="F23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3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33" s="19">
        <f>IF(PaymentSchedule3[[#This Row],[PMT NO]]&lt;&gt;"",PaymentSchedule3[[#This Row],[TOTAL PAYMENT]]-PaymentSchedule3[[#This Row],[INTEREST]],"")</f>
        <v>3530.4084761550021</v>
      </c>
      <c r="I233" s="19">
        <f>IF(PaymentSchedule3[[#This Row],[PMT NO]]&lt;&gt;"",PaymentSchedule3[[#This Row],[BEGINNING BALANCE]]*(InterestRate/PaymentsPerYear),"")</f>
        <v>4828.3609119212797</v>
      </c>
      <c r="J23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1444977.8651002289</v>
      </c>
      <c r="K233" s="19">
        <f>IF(PaymentSchedule3[[#This Row],[PMT NO]]&lt;&gt;"",SUM(INDEX(PaymentSchedule3[INTEREST],1,1):PaymentSchedule3[[#This Row],[INTEREST]]),"")</f>
        <v>1300624.6692531623</v>
      </c>
    </row>
    <row r="234" spans="2:11" x14ac:dyDescent="0.3">
      <c r="B234" s="21">
        <f>IF(LoanIsGood,IF(ROW()-ROW(PaymentSchedule3[[#Headers],[PMT NO]])&gt;ScheduledNumberOfPayments,"",ROW()-ROW(PaymentSchedule3[[#Headers],[PMT NO]])),"")</f>
        <v>223</v>
      </c>
      <c r="C234" s="20">
        <f>IF(PaymentSchedule3[[#This Row],[PMT NO]]&lt;&gt;"",EOMONTH(LoanStartDate,ROW(PaymentSchedule3[[#This Row],[PMT NO]])-ROW(PaymentSchedule3[[#Headers],[PMT NO]])-2)+DAY(LoanStartDate),"")</f>
        <v>50406</v>
      </c>
      <c r="D234" s="19">
        <f>IF(PaymentSchedule3[[#This Row],[PMT NO]]&lt;&gt;"",IF(ROW()-ROW(PaymentSchedule3[[#Headers],[BEGINNING BALANCE]])=1,LoanAmount,INDEX(PaymentSchedule3[ENDING BALANCE],ROW()-ROW(PaymentSchedule3[[#Headers],[BEGINNING BALANCE]])-1)),"")</f>
        <v>1444977.8651002289</v>
      </c>
      <c r="E234" s="19">
        <f>IF(PaymentSchedule3[[#This Row],[PMT NO]]&lt;&gt;"",ScheduledPayment,"")</f>
        <v>8358.7693880762818</v>
      </c>
      <c r="F23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3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34" s="19">
        <f>IF(PaymentSchedule3[[#This Row],[PMT NO]]&lt;&gt;"",PaymentSchedule3[[#This Row],[TOTAL PAYMENT]]-PaymentSchedule3[[#This Row],[INTEREST]],"")</f>
        <v>3542.1765044088515</v>
      </c>
      <c r="I234" s="19">
        <f>IF(PaymentSchedule3[[#This Row],[PMT NO]]&lt;&gt;"",PaymentSchedule3[[#This Row],[BEGINNING BALANCE]]*(InterestRate/PaymentsPerYear),"")</f>
        <v>4816.5928836674302</v>
      </c>
      <c r="J23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1441435.68859582</v>
      </c>
      <c r="K234" s="19">
        <f>IF(PaymentSchedule3[[#This Row],[PMT NO]]&lt;&gt;"",SUM(INDEX(PaymentSchedule3[INTEREST],1,1):PaymentSchedule3[[#This Row],[INTEREST]]),"")</f>
        <v>1305441.2621368298</v>
      </c>
    </row>
    <row r="235" spans="2:11" x14ac:dyDescent="0.3">
      <c r="B235" s="21">
        <f>IF(LoanIsGood,IF(ROW()-ROW(PaymentSchedule3[[#Headers],[PMT NO]])&gt;ScheduledNumberOfPayments,"",ROW()-ROW(PaymentSchedule3[[#Headers],[PMT NO]])),"")</f>
        <v>224</v>
      </c>
      <c r="C235" s="20">
        <f>IF(PaymentSchedule3[[#This Row],[PMT NO]]&lt;&gt;"",EOMONTH(LoanStartDate,ROW(PaymentSchedule3[[#This Row],[PMT NO]])-ROW(PaymentSchedule3[[#Headers],[PMT NO]])-2)+DAY(LoanStartDate),"")</f>
        <v>50437</v>
      </c>
      <c r="D235" s="19">
        <f>IF(PaymentSchedule3[[#This Row],[PMT NO]]&lt;&gt;"",IF(ROW()-ROW(PaymentSchedule3[[#Headers],[BEGINNING BALANCE]])=1,LoanAmount,INDEX(PaymentSchedule3[ENDING BALANCE],ROW()-ROW(PaymentSchedule3[[#Headers],[BEGINNING BALANCE]])-1)),"")</f>
        <v>1441435.68859582</v>
      </c>
      <c r="E235" s="19">
        <f>IF(PaymentSchedule3[[#This Row],[PMT NO]]&lt;&gt;"",ScheduledPayment,"")</f>
        <v>8358.7693880762818</v>
      </c>
      <c r="F23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3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35" s="19">
        <f>IF(PaymentSchedule3[[#This Row],[PMT NO]]&lt;&gt;"",PaymentSchedule3[[#This Row],[TOTAL PAYMENT]]-PaymentSchedule3[[#This Row],[INTEREST]],"")</f>
        <v>3553.9837594235478</v>
      </c>
      <c r="I235" s="19">
        <f>IF(PaymentSchedule3[[#This Row],[PMT NO]]&lt;&gt;"",PaymentSchedule3[[#This Row],[BEGINNING BALANCE]]*(InterestRate/PaymentsPerYear),"")</f>
        <v>4804.785628652734</v>
      </c>
      <c r="J23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1437881.7048363965</v>
      </c>
      <c r="K235" s="19">
        <f>IF(PaymentSchedule3[[#This Row],[PMT NO]]&lt;&gt;"",SUM(INDEX(PaymentSchedule3[INTEREST],1,1):PaymentSchedule3[[#This Row],[INTEREST]]),"")</f>
        <v>1310246.0477654824</v>
      </c>
    </row>
    <row r="236" spans="2:11" x14ac:dyDescent="0.3">
      <c r="B236" s="21">
        <f>IF(LoanIsGood,IF(ROW()-ROW(PaymentSchedule3[[#Headers],[PMT NO]])&gt;ScheduledNumberOfPayments,"",ROW()-ROW(PaymentSchedule3[[#Headers],[PMT NO]])),"")</f>
        <v>225</v>
      </c>
      <c r="C236" s="20">
        <f>IF(PaymentSchedule3[[#This Row],[PMT NO]]&lt;&gt;"",EOMONTH(LoanStartDate,ROW(PaymentSchedule3[[#This Row],[PMT NO]])-ROW(PaymentSchedule3[[#Headers],[PMT NO]])-2)+DAY(LoanStartDate),"")</f>
        <v>50465</v>
      </c>
      <c r="D236" s="19">
        <f>IF(PaymentSchedule3[[#This Row],[PMT NO]]&lt;&gt;"",IF(ROW()-ROW(PaymentSchedule3[[#Headers],[BEGINNING BALANCE]])=1,LoanAmount,INDEX(PaymentSchedule3[ENDING BALANCE],ROW()-ROW(PaymentSchedule3[[#Headers],[BEGINNING BALANCE]])-1)),"")</f>
        <v>1437881.7048363965</v>
      </c>
      <c r="E236" s="19">
        <f>IF(PaymentSchedule3[[#This Row],[PMT NO]]&lt;&gt;"",ScheduledPayment,"")</f>
        <v>8358.7693880762818</v>
      </c>
      <c r="F23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3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36" s="19">
        <f>IF(PaymentSchedule3[[#This Row],[PMT NO]]&lt;&gt;"",PaymentSchedule3[[#This Row],[TOTAL PAYMENT]]-PaymentSchedule3[[#This Row],[INTEREST]],"")</f>
        <v>3565.8303719549594</v>
      </c>
      <c r="I236" s="19">
        <f>IF(PaymentSchedule3[[#This Row],[PMT NO]]&lt;&gt;"",PaymentSchedule3[[#This Row],[BEGINNING BALANCE]]*(InterestRate/PaymentsPerYear),"")</f>
        <v>4792.9390161213223</v>
      </c>
      <c r="J23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1434315.8744644416</v>
      </c>
      <c r="K236" s="19">
        <f>IF(PaymentSchedule3[[#This Row],[PMT NO]]&lt;&gt;"",SUM(INDEX(PaymentSchedule3[INTEREST],1,1):PaymentSchedule3[[#This Row],[INTEREST]]),"")</f>
        <v>1315038.9867816037</v>
      </c>
    </row>
    <row r="237" spans="2:11" x14ac:dyDescent="0.3">
      <c r="B237" s="21">
        <f>IF(LoanIsGood,IF(ROW()-ROW(PaymentSchedule3[[#Headers],[PMT NO]])&gt;ScheduledNumberOfPayments,"",ROW()-ROW(PaymentSchedule3[[#Headers],[PMT NO]])),"")</f>
        <v>226</v>
      </c>
      <c r="C237" s="20">
        <f>IF(PaymentSchedule3[[#This Row],[PMT NO]]&lt;&gt;"",EOMONTH(LoanStartDate,ROW(PaymentSchedule3[[#This Row],[PMT NO]])-ROW(PaymentSchedule3[[#Headers],[PMT NO]])-2)+DAY(LoanStartDate),"")</f>
        <v>50496</v>
      </c>
      <c r="D237" s="19">
        <f>IF(PaymentSchedule3[[#This Row],[PMT NO]]&lt;&gt;"",IF(ROW()-ROW(PaymentSchedule3[[#Headers],[BEGINNING BALANCE]])=1,LoanAmount,INDEX(PaymentSchedule3[ENDING BALANCE],ROW()-ROW(PaymentSchedule3[[#Headers],[BEGINNING BALANCE]])-1)),"")</f>
        <v>1434315.8744644416</v>
      </c>
      <c r="E237" s="19">
        <f>IF(PaymentSchedule3[[#This Row],[PMT NO]]&lt;&gt;"",ScheduledPayment,"")</f>
        <v>8358.7693880762818</v>
      </c>
      <c r="F23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3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37" s="19">
        <f>IF(PaymentSchedule3[[#This Row],[PMT NO]]&lt;&gt;"",PaymentSchedule3[[#This Row],[TOTAL PAYMENT]]-PaymentSchedule3[[#This Row],[INTEREST]],"")</f>
        <v>3577.7164731948096</v>
      </c>
      <c r="I237" s="19">
        <f>IF(PaymentSchedule3[[#This Row],[PMT NO]]&lt;&gt;"",PaymentSchedule3[[#This Row],[BEGINNING BALANCE]]*(InterestRate/PaymentsPerYear),"")</f>
        <v>4781.0529148814721</v>
      </c>
      <c r="J23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1430738.1579912468</v>
      </c>
      <c r="K237" s="19">
        <f>IF(PaymentSchedule3[[#This Row],[PMT NO]]&lt;&gt;"",SUM(INDEX(PaymentSchedule3[INTEREST],1,1):PaymentSchedule3[[#This Row],[INTEREST]]),"")</f>
        <v>1319820.039696485</v>
      </c>
    </row>
    <row r="238" spans="2:11" x14ac:dyDescent="0.3">
      <c r="B238" s="21">
        <f>IF(LoanIsGood,IF(ROW()-ROW(PaymentSchedule3[[#Headers],[PMT NO]])&gt;ScheduledNumberOfPayments,"",ROW()-ROW(PaymentSchedule3[[#Headers],[PMT NO]])),"")</f>
        <v>227</v>
      </c>
      <c r="C238" s="20">
        <f>IF(PaymentSchedule3[[#This Row],[PMT NO]]&lt;&gt;"",EOMONTH(LoanStartDate,ROW(PaymentSchedule3[[#This Row],[PMT NO]])-ROW(PaymentSchedule3[[#Headers],[PMT NO]])-2)+DAY(LoanStartDate),"")</f>
        <v>50526</v>
      </c>
      <c r="D238" s="19">
        <f>IF(PaymentSchedule3[[#This Row],[PMT NO]]&lt;&gt;"",IF(ROW()-ROW(PaymentSchedule3[[#Headers],[BEGINNING BALANCE]])=1,LoanAmount,INDEX(PaymentSchedule3[ENDING BALANCE],ROW()-ROW(PaymentSchedule3[[#Headers],[BEGINNING BALANCE]])-1)),"")</f>
        <v>1430738.1579912468</v>
      </c>
      <c r="E238" s="19">
        <f>IF(PaymentSchedule3[[#This Row],[PMT NO]]&lt;&gt;"",ScheduledPayment,"")</f>
        <v>8358.7693880762818</v>
      </c>
      <c r="F23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3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38" s="19">
        <f>IF(PaymentSchedule3[[#This Row],[PMT NO]]&lt;&gt;"",PaymentSchedule3[[#This Row],[TOTAL PAYMENT]]-PaymentSchedule3[[#This Row],[INTEREST]],"")</f>
        <v>3589.6421947721255</v>
      </c>
      <c r="I238" s="19">
        <f>IF(PaymentSchedule3[[#This Row],[PMT NO]]&lt;&gt;"",PaymentSchedule3[[#This Row],[BEGINNING BALANCE]]*(InterestRate/PaymentsPerYear),"")</f>
        <v>4769.1271933041562</v>
      </c>
      <c r="J23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1427148.5157964746</v>
      </c>
      <c r="K238" s="19">
        <f>IF(PaymentSchedule3[[#This Row],[PMT NO]]&lt;&gt;"",SUM(INDEX(PaymentSchedule3[INTEREST],1,1):PaymentSchedule3[[#This Row],[INTEREST]]),"")</f>
        <v>1324589.1668897893</v>
      </c>
    </row>
    <row r="239" spans="2:11" x14ac:dyDescent="0.3">
      <c r="B239" s="21">
        <f>IF(LoanIsGood,IF(ROW()-ROW(PaymentSchedule3[[#Headers],[PMT NO]])&gt;ScheduledNumberOfPayments,"",ROW()-ROW(PaymentSchedule3[[#Headers],[PMT NO]])),"")</f>
        <v>228</v>
      </c>
      <c r="C239" s="20">
        <f>IF(PaymentSchedule3[[#This Row],[PMT NO]]&lt;&gt;"",EOMONTH(LoanStartDate,ROW(PaymentSchedule3[[#This Row],[PMT NO]])-ROW(PaymentSchedule3[[#Headers],[PMT NO]])-2)+DAY(LoanStartDate),"")</f>
        <v>50557</v>
      </c>
      <c r="D239" s="19">
        <f>IF(PaymentSchedule3[[#This Row],[PMT NO]]&lt;&gt;"",IF(ROW()-ROW(PaymentSchedule3[[#Headers],[BEGINNING BALANCE]])=1,LoanAmount,INDEX(PaymentSchedule3[ENDING BALANCE],ROW()-ROW(PaymentSchedule3[[#Headers],[BEGINNING BALANCE]])-1)),"")</f>
        <v>1427148.5157964746</v>
      </c>
      <c r="E239" s="19">
        <f>IF(PaymentSchedule3[[#This Row],[PMT NO]]&lt;&gt;"",ScheduledPayment,"")</f>
        <v>8358.7693880762818</v>
      </c>
      <c r="F23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3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39" s="19">
        <f>IF(PaymentSchedule3[[#This Row],[PMT NO]]&lt;&gt;"",PaymentSchedule3[[#This Row],[TOTAL PAYMENT]]-PaymentSchedule3[[#This Row],[INTEREST]],"")</f>
        <v>3601.6076687546993</v>
      </c>
      <c r="I239" s="19">
        <f>IF(PaymentSchedule3[[#This Row],[PMT NO]]&lt;&gt;"",PaymentSchedule3[[#This Row],[BEGINNING BALANCE]]*(InterestRate/PaymentsPerYear),"")</f>
        <v>4757.1617193215825</v>
      </c>
      <c r="J23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1423546.90812772</v>
      </c>
      <c r="K239" s="19">
        <f>IF(PaymentSchedule3[[#This Row],[PMT NO]]&lt;&gt;"",SUM(INDEX(PaymentSchedule3[INTEREST],1,1):PaymentSchedule3[[#This Row],[INTEREST]]),"")</f>
        <v>1329346.3286091108</v>
      </c>
    </row>
    <row r="240" spans="2:11" x14ac:dyDescent="0.3">
      <c r="B240" s="21">
        <f>IF(LoanIsGood,IF(ROW()-ROW(PaymentSchedule3[[#Headers],[PMT NO]])&gt;ScheduledNumberOfPayments,"",ROW()-ROW(PaymentSchedule3[[#Headers],[PMT NO]])),"")</f>
        <v>229</v>
      </c>
      <c r="C240" s="20">
        <f>IF(PaymentSchedule3[[#This Row],[PMT NO]]&lt;&gt;"",EOMONTH(LoanStartDate,ROW(PaymentSchedule3[[#This Row],[PMT NO]])-ROW(PaymentSchedule3[[#Headers],[PMT NO]])-2)+DAY(LoanStartDate),"")</f>
        <v>50587</v>
      </c>
      <c r="D240" s="19">
        <f>IF(PaymentSchedule3[[#This Row],[PMT NO]]&lt;&gt;"",IF(ROW()-ROW(PaymentSchedule3[[#Headers],[BEGINNING BALANCE]])=1,LoanAmount,INDEX(PaymentSchedule3[ENDING BALANCE],ROW()-ROW(PaymentSchedule3[[#Headers],[BEGINNING BALANCE]])-1)),"")</f>
        <v>1423546.90812772</v>
      </c>
      <c r="E240" s="19">
        <f>IF(PaymentSchedule3[[#This Row],[PMT NO]]&lt;&gt;"",ScheduledPayment,"")</f>
        <v>8358.7693880762818</v>
      </c>
      <c r="F24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4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40" s="19">
        <f>IF(PaymentSchedule3[[#This Row],[PMT NO]]&lt;&gt;"",PaymentSchedule3[[#This Row],[TOTAL PAYMENT]]-PaymentSchedule3[[#This Row],[INTEREST]],"")</f>
        <v>3613.6130276505482</v>
      </c>
      <c r="I240" s="19">
        <f>IF(PaymentSchedule3[[#This Row],[PMT NO]]&lt;&gt;"",PaymentSchedule3[[#This Row],[BEGINNING BALANCE]]*(InterestRate/PaymentsPerYear),"")</f>
        <v>4745.1563604257335</v>
      </c>
      <c r="J24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1419933.2951000694</v>
      </c>
      <c r="K240" s="19">
        <f>IF(PaymentSchedule3[[#This Row],[PMT NO]]&lt;&gt;"",SUM(INDEX(PaymentSchedule3[INTEREST],1,1):PaymentSchedule3[[#This Row],[INTEREST]]),"")</f>
        <v>1334091.4849695365</v>
      </c>
    </row>
    <row r="241" spans="2:11" x14ac:dyDescent="0.3">
      <c r="B241" s="21">
        <f>IF(LoanIsGood,IF(ROW()-ROW(PaymentSchedule3[[#Headers],[PMT NO]])&gt;ScheduledNumberOfPayments,"",ROW()-ROW(PaymentSchedule3[[#Headers],[PMT NO]])),"")</f>
        <v>230</v>
      </c>
      <c r="C241" s="20">
        <f>IF(PaymentSchedule3[[#This Row],[PMT NO]]&lt;&gt;"",EOMONTH(LoanStartDate,ROW(PaymentSchedule3[[#This Row],[PMT NO]])-ROW(PaymentSchedule3[[#Headers],[PMT NO]])-2)+DAY(LoanStartDate),"")</f>
        <v>50618</v>
      </c>
      <c r="D241" s="19">
        <f>IF(PaymentSchedule3[[#This Row],[PMT NO]]&lt;&gt;"",IF(ROW()-ROW(PaymentSchedule3[[#Headers],[BEGINNING BALANCE]])=1,LoanAmount,INDEX(PaymentSchedule3[ENDING BALANCE],ROW()-ROW(PaymentSchedule3[[#Headers],[BEGINNING BALANCE]])-1)),"")</f>
        <v>1419933.2951000694</v>
      </c>
      <c r="E241" s="19">
        <f>IF(PaymentSchedule3[[#This Row],[PMT NO]]&lt;&gt;"",ScheduledPayment,"")</f>
        <v>8358.7693880762818</v>
      </c>
      <c r="F24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4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41" s="19">
        <f>IF(PaymentSchedule3[[#This Row],[PMT NO]]&lt;&gt;"",PaymentSchedule3[[#This Row],[TOTAL PAYMENT]]-PaymentSchedule3[[#This Row],[INTEREST]],"")</f>
        <v>3625.6584044093834</v>
      </c>
      <c r="I241" s="19">
        <f>IF(PaymentSchedule3[[#This Row],[PMT NO]]&lt;&gt;"",PaymentSchedule3[[#This Row],[BEGINNING BALANCE]]*(InterestRate/PaymentsPerYear),"")</f>
        <v>4733.1109836668984</v>
      </c>
      <c r="J24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1416307.63669566</v>
      </c>
      <c r="K241" s="19">
        <f>IF(PaymentSchedule3[[#This Row],[PMT NO]]&lt;&gt;"",SUM(INDEX(PaymentSchedule3[INTEREST],1,1):PaymentSchedule3[[#This Row],[INTEREST]]),"")</f>
        <v>1338824.5959532035</v>
      </c>
    </row>
    <row r="242" spans="2:11" x14ac:dyDescent="0.3">
      <c r="B242" s="21">
        <f>IF(LoanIsGood,IF(ROW()-ROW(PaymentSchedule3[[#Headers],[PMT NO]])&gt;ScheduledNumberOfPayments,"",ROW()-ROW(PaymentSchedule3[[#Headers],[PMT NO]])),"")</f>
        <v>231</v>
      </c>
      <c r="C242" s="20">
        <f>IF(PaymentSchedule3[[#This Row],[PMT NO]]&lt;&gt;"",EOMONTH(LoanStartDate,ROW(PaymentSchedule3[[#This Row],[PMT NO]])-ROW(PaymentSchedule3[[#Headers],[PMT NO]])-2)+DAY(LoanStartDate),"")</f>
        <v>50649</v>
      </c>
      <c r="D242" s="19">
        <f>IF(PaymentSchedule3[[#This Row],[PMT NO]]&lt;&gt;"",IF(ROW()-ROW(PaymentSchedule3[[#Headers],[BEGINNING BALANCE]])=1,LoanAmount,INDEX(PaymentSchedule3[ENDING BALANCE],ROW()-ROW(PaymentSchedule3[[#Headers],[BEGINNING BALANCE]])-1)),"")</f>
        <v>1416307.63669566</v>
      </c>
      <c r="E242" s="19">
        <f>IF(PaymentSchedule3[[#This Row],[PMT NO]]&lt;&gt;"",ScheduledPayment,"")</f>
        <v>8358.7693880762818</v>
      </c>
      <c r="F24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4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42" s="19">
        <f>IF(PaymentSchedule3[[#This Row],[PMT NO]]&lt;&gt;"",PaymentSchedule3[[#This Row],[TOTAL PAYMENT]]-PaymentSchedule3[[#This Row],[INTEREST]],"")</f>
        <v>3637.7439324240813</v>
      </c>
      <c r="I242" s="19">
        <f>IF(PaymentSchedule3[[#This Row],[PMT NO]]&lt;&gt;"",PaymentSchedule3[[#This Row],[BEGINNING BALANCE]]*(InterestRate/PaymentsPerYear),"")</f>
        <v>4721.0254556522004</v>
      </c>
      <c r="J24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1412669.8927632358</v>
      </c>
      <c r="K242" s="19">
        <f>IF(PaymentSchedule3[[#This Row],[PMT NO]]&lt;&gt;"",SUM(INDEX(PaymentSchedule3[INTEREST],1,1):PaymentSchedule3[[#This Row],[INTEREST]]),"")</f>
        <v>1343545.6214088558</v>
      </c>
    </row>
    <row r="243" spans="2:11" x14ac:dyDescent="0.3">
      <c r="B243" s="21">
        <f>IF(LoanIsGood,IF(ROW()-ROW(PaymentSchedule3[[#Headers],[PMT NO]])&gt;ScheduledNumberOfPayments,"",ROW()-ROW(PaymentSchedule3[[#Headers],[PMT NO]])),"")</f>
        <v>232</v>
      </c>
      <c r="C243" s="20">
        <f>IF(PaymentSchedule3[[#This Row],[PMT NO]]&lt;&gt;"",EOMONTH(LoanStartDate,ROW(PaymentSchedule3[[#This Row],[PMT NO]])-ROW(PaymentSchedule3[[#Headers],[PMT NO]])-2)+DAY(LoanStartDate),"")</f>
        <v>50679</v>
      </c>
      <c r="D243" s="19">
        <f>IF(PaymentSchedule3[[#This Row],[PMT NO]]&lt;&gt;"",IF(ROW()-ROW(PaymentSchedule3[[#Headers],[BEGINNING BALANCE]])=1,LoanAmount,INDEX(PaymentSchedule3[ENDING BALANCE],ROW()-ROW(PaymentSchedule3[[#Headers],[BEGINNING BALANCE]])-1)),"")</f>
        <v>1412669.8927632358</v>
      </c>
      <c r="E243" s="19">
        <f>IF(PaymentSchedule3[[#This Row],[PMT NO]]&lt;&gt;"",ScheduledPayment,"")</f>
        <v>8358.7693880762818</v>
      </c>
      <c r="F24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4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43" s="19">
        <f>IF(PaymentSchedule3[[#This Row],[PMT NO]]&lt;&gt;"",PaymentSchedule3[[#This Row],[TOTAL PAYMENT]]-PaymentSchedule3[[#This Row],[INTEREST]],"")</f>
        <v>3649.8697455321617</v>
      </c>
      <c r="I243" s="19">
        <f>IF(PaymentSchedule3[[#This Row],[PMT NO]]&lt;&gt;"",PaymentSchedule3[[#This Row],[BEGINNING BALANCE]]*(InterestRate/PaymentsPerYear),"")</f>
        <v>4708.8996425441201</v>
      </c>
      <c r="J24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1409020.0230177038</v>
      </c>
      <c r="K243" s="19">
        <f>IF(PaymentSchedule3[[#This Row],[PMT NO]]&lt;&gt;"",SUM(INDEX(PaymentSchedule3[INTEREST],1,1):PaymentSchedule3[[#This Row],[INTEREST]]),"")</f>
        <v>1348254.5210513999</v>
      </c>
    </row>
    <row r="244" spans="2:11" x14ac:dyDescent="0.3">
      <c r="B244" s="21">
        <f>IF(LoanIsGood,IF(ROW()-ROW(PaymentSchedule3[[#Headers],[PMT NO]])&gt;ScheduledNumberOfPayments,"",ROW()-ROW(PaymentSchedule3[[#Headers],[PMT NO]])),"")</f>
        <v>233</v>
      </c>
      <c r="C244" s="20">
        <f>IF(PaymentSchedule3[[#This Row],[PMT NO]]&lt;&gt;"",EOMONTH(LoanStartDate,ROW(PaymentSchedule3[[#This Row],[PMT NO]])-ROW(PaymentSchedule3[[#Headers],[PMT NO]])-2)+DAY(LoanStartDate),"")</f>
        <v>50710</v>
      </c>
      <c r="D244" s="19">
        <f>IF(PaymentSchedule3[[#This Row],[PMT NO]]&lt;&gt;"",IF(ROW()-ROW(PaymentSchedule3[[#Headers],[BEGINNING BALANCE]])=1,LoanAmount,INDEX(PaymentSchedule3[ENDING BALANCE],ROW()-ROW(PaymentSchedule3[[#Headers],[BEGINNING BALANCE]])-1)),"")</f>
        <v>1409020.0230177038</v>
      </c>
      <c r="E244" s="19">
        <f>IF(PaymentSchedule3[[#This Row],[PMT NO]]&lt;&gt;"",ScheduledPayment,"")</f>
        <v>8358.7693880762818</v>
      </c>
      <c r="F24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4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44" s="19">
        <f>IF(PaymentSchedule3[[#This Row],[PMT NO]]&lt;&gt;"",PaymentSchedule3[[#This Row],[TOTAL PAYMENT]]-PaymentSchedule3[[#This Row],[INTEREST]],"")</f>
        <v>3662.0359780172685</v>
      </c>
      <c r="I244" s="19">
        <f>IF(PaymentSchedule3[[#This Row],[PMT NO]]&lt;&gt;"",PaymentSchedule3[[#This Row],[BEGINNING BALANCE]]*(InterestRate/PaymentsPerYear),"")</f>
        <v>4696.7334100590133</v>
      </c>
      <c r="J24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1405357.9870396864</v>
      </c>
      <c r="K244" s="19">
        <f>IF(PaymentSchedule3[[#This Row],[PMT NO]]&lt;&gt;"",SUM(INDEX(PaymentSchedule3[INTEREST],1,1):PaymentSchedule3[[#This Row],[INTEREST]]),"")</f>
        <v>1352951.2544614589</v>
      </c>
    </row>
    <row r="245" spans="2:11" x14ac:dyDescent="0.3">
      <c r="B245" s="21">
        <f>IF(LoanIsGood,IF(ROW()-ROW(PaymentSchedule3[[#Headers],[PMT NO]])&gt;ScheduledNumberOfPayments,"",ROW()-ROW(PaymentSchedule3[[#Headers],[PMT NO]])),"")</f>
        <v>234</v>
      </c>
      <c r="C245" s="20">
        <f>IF(PaymentSchedule3[[#This Row],[PMT NO]]&lt;&gt;"",EOMONTH(LoanStartDate,ROW(PaymentSchedule3[[#This Row],[PMT NO]])-ROW(PaymentSchedule3[[#Headers],[PMT NO]])-2)+DAY(LoanStartDate),"")</f>
        <v>50740</v>
      </c>
      <c r="D245" s="19">
        <f>IF(PaymentSchedule3[[#This Row],[PMT NO]]&lt;&gt;"",IF(ROW()-ROW(PaymentSchedule3[[#Headers],[BEGINNING BALANCE]])=1,LoanAmount,INDEX(PaymentSchedule3[ENDING BALANCE],ROW()-ROW(PaymentSchedule3[[#Headers],[BEGINNING BALANCE]])-1)),"")</f>
        <v>1405357.9870396864</v>
      </c>
      <c r="E245" s="19">
        <f>IF(PaymentSchedule3[[#This Row],[PMT NO]]&lt;&gt;"",ScheduledPayment,"")</f>
        <v>8358.7693880762818</v>
      </c>
      <c r="F24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4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45" s="19">
        <f>IF(PaymentSchedule3[[#This Row],[PMT NO]]&lt;&gt;"",PaymentSchedule3[[#This Row],[TOTAL PAYMENT]]-PaymentSchedule3[[#This Row],[INTEREST]],"")</f>
        <v>3674.2427646106598</v>
      </c>
      <c r="I245" s="19">
        <f>IF(PaymentSchedule3[[#This Row],[PMT NO]]&lt;&gt;"",PaymentSchedule3[[#This Row],[BEGINNING BALANCE]]*(InterestRate/PaymentsPerYear),"")</f>
        <v>4684.5266234656219</v>
      </c>
      <c r="J24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1401683.7442750758</v>
      </c>
      <c r="K245" s="19">
        <f>IF(PaymentSchedule3[[#This Row],[PMT NO]]&lt;&gt;"",SUM(INDEX(PaymentSchedule3[INTEREST],1,1):PaymentSchedule3[[#This Row],[INTEREST]]),"")</f>
        <v>1357635.7810849245</v>
      </c>
    </row>
    <row r="246" spans="2:11" x14ac:dyDescent="0.3">
      <c r="B246" s="21">
        <f>IF(LoanIsGood,IF(ROW()-ROW(PaymentSchedule3[[#Headers],[PMT NO]])&gt;ScheduledNumberOfPayments,"",ROW()-ROW(PaymentSchedule3[[#Headers],[PMT NO]])),"")</f>
        <v>235</v>
      </c>
      <c r="C246" s="20">
        <f>IF(PaymentSchedule3[[#This Row],[PMT NO]]&lt;&gt;"",EOMONTH(LoanStartDate,ROW(PaymentSchedule3[[#This Row],[PMT NO]])-ROW(PaymentSchedule3[[#Headers],[PMT NO]])-2)+DAY(LoanStartDate),"")</f>
        <v>50771</v>
      </c>
      <c r="D246" s="19">
        <f>IF(PaymentSchedule3[[#This Row],[PMT NO]]&lt;&gt;"",IF(ROW()-ROW(PaymentSchedule3[[#Headers],[BEGINNING BALANCE]])=1,LoanAmount,INDEX(PaymentSchedule3[ENDING BALANCE],ROW()-ROW(PaymentSchedule3[[#Headers],[BEGINNING BALANCE]])-1)),"")</f>
        <v>1401683.7442750758</v>
      </c>
      <c r="E246" s="19">
        <f>IF(PaymentSchedule3[[#This Row],[PMT NO]]&lt;&gt;"",ScheduledPayment,"")</f>
        <v>8358.7693880762818</v>
      </c>
      <c r="F24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4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46" s="19">
        <f>IF(PaymentSchedule3[[#This Row],[PMT NO]]&lt;&gt;"",PaymentSchedule3[[#This Row],[TOTAL PAYMENT]]-PaymentSchedule3[[#This Row],[INTEREST]],"")</f>
        <v>3686.4902404926952</v>
      </c>
      <c r="I246" s="19">
        <f>IF(PaymentSchedule3[[#This Row],[PMT NO]]&lt;&gt;"",PaymentSchedule3[[#This Row],[BEGINNING BALANCE]]*(InterestRate/PaymentsPerYear),"")</f>
        <v>4672.2791475835866</v>
      </c>
      <c r="J24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1397997.2540345832</v>
      </c>
      <c r="K246" s="19">
        <f>IF(PaymentSchedule3[[#This Row],[PMT NO]]&lt;&gt;"",SUM(INDEX(PaymentSchedule3[INTEREST],1,1):PaymentSchedule3[[#This Row],[INTEREST]]),"")</f>
        <v>1362308.060232508</v>
      </c>
    </row>
    <row r="247" spans="2:11" x14ac:dyDescent="0.3">
      <c r="B247" s="21">
        <f>IF(LoanIsGood,IF(ROW()-ROW(PaymentSchedule3[[#Headers],[PMT NO]])&gt;ScheduledNumberOfPayments,"",ROW()-ROW(PaymentSchedule3[[#Headers],[PMT NO]])),"")</f>
        <v>236</v>
      </c>
      <c r="C247" s="20">
        <f>IF(PaymentSchedule3[[#This Row],[PMT NO]]&lt;&gt;"",EOMONTH(LoanStartDate,ROW(PaymentSchedule3[[#This Row],[PMT NO]])-ROW(PaymentSchedule3[[#Headers],[PMT NO]])-2)+DAY(LoanStartDate),"")</f>
        <v>50802</v>
      </c>
      <c r="D247" s="19">
        <f>IF(PaymentSchedule3[[#This Row],[PMT NO]]&lt;&gt;"",IF(ROW()-ROW(PaymentSchedule3[[#Headers],[BEGINNING BALANCE]])=1,LoanAmount,INDEX(PaymentSchedule3[ENDING BALANCE],ROW()-ROW(PaymentSchedule3[[#Headers],[BEGINNING BALANCE]])-1)),"")</f>
        <v>1397997.2540345832</v>
      </c>
      <c r="E247" s="19">
        <f>IF(PaymentSchedule3[[#This Row],[PMT NO]]&lt;&gt;"",ScheduledPayment,"")</f>
        <v>8358.7693880762818</v>
      </c>
      <c r="F24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4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47" s="19">
        <f>IF(PaymentSchedule3[[#This Row],[PMT NO]]&lt;&gt;"",PaymentSchedule3[[#This Row],[TOTAL PAYMENT]]-PaymentSchedule3[[#This Row],[INTEREST]],"")</f>
        <v>3698.7785412943376</v>
      </c>
      <c r="I247" s="19">
        <f>IF(PaymentSchedule3[[#This Row],[PMT NO]]&lt;&gt;"",PaymentSchedule3[[#This Row],[BEGINNING BALANCE]]*(InterestRate/PaymentsPerYear),"")</f>
        <v>4659.9908467819441</v>
      </c>
      <c r="J24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1394298.4754932888</v>
      </c>
      <c r="K247" s="19">
        <f>IF(PaymentSchedule3[[#This Row],[PMT NO]]&lt;&gt;"",SUM(INDEX(PaymentSchedule3[INTEREST],1,1):PaymentSchedule3[[#This Row],[INTEREST]]),"")</f>
        <v>1366968.05107929</v>
      </c>
    </row>
    <row r="248" spans="2:11" x14ac:dyDescent="0.3">
      <c r="B248" s="21">
        <f>IF(LoanIsGood,IF(ROW()-ROW(PaymentSchedule3[[#Headers],[PMT NO]])&gt;ScheduledNumberOfPayments,"",ROW()-ROW(PaymentSchedule3[[#Headers],[PMT NO]])),"")</f>
        <v>237</v>
      </c>
      <c r="C248" s="20">
        <f>IF(PaymentSchedule3[[#This Row],[PMT NO]]&lt;&gt;"",EOMONTH(LoanStartDate,ROW(PaymentSchedule3[[#This Row],[PMT NO]])-ROW(PaymentSchedule3[[#Headers],[PMT NO]])-2)+DAY(LoanStartDate),"")</f>
        <v>50830</v>
      </c>
      <c r="D248" s="19">
        <f>IF(PaymentSchedule3[[#This Row],[PMT NO]]&lt;&gt;"",IF(ROW()-ROW(PaymentSchedule3[[#Headers],[BEGINNING BALANCE]])=1,LoanAmount,INDEX(PaymentSchedule3[ENDING BALANCE],ROW()-ROW(PaymentSchedule3[[#Headers],[BEGINNING BALANCE]])-1)),"")</f>
        <v>1394298.4754932888</v>
      </c>
      <c r="E248" s="19">
        <f>IF(PaymentSchedule3[[#This Row],[PMT NO]]&lt;&gt;"",ScheduledPayment,"")</f>
        <v>8358.7693880762818</v>
      </c>
      <c r="F24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4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48" s="19">
        <f>IF(PaymentSchedule3[[#This Row],[PMT NO]]&lt;&gt;"",PaymentSchedule3[[#This Row],[TOTAL PAYMENT]]-PaymentSchedule3[[#This Row],[INTEREST]],"")</f>
        <v>3711.1078030986519</v>
      </c>
      <c r="I248" s="19">
        <f>IF(PaymentSchedule3[[#This Row],[PMT NO]]&lt;&gt;"",PaymentSchedule3[[#This Row],[BEGINNING BALANCE]]*(InterestRate/PaymentsPerYear),"")</f>
        <v>4647.6615849776299</v>
      </c>
      <c r="J24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1390587.3676901902</v>
      </c>
      <c r="K248" s="19">
        <f>IF(PaymentSchedule3[[#This Row],[PMT NO]]&lt;&gt;"",SUM(INDEX(PaymentSchedule3[INTEREST],1,1):PaymentSchedule3[[#This Row],[INTEREST]]),"")</f>
        <v>1371615.7126642675</v>
      </c>
    </row>
    <row r="249" spans="2:11" x14ac:dyDescent="0.3">
      <c r="B249" s="21">
        <f>IF(LoanIsGood,IF(ROW()-ROW(PaymentSchedule3[[#Headers],[PMT NO]])&gt;ScheduledNumberOfPayments,"",ROW()-ROW(PaymentSchedule3[[#Headers],[PMT NO]])),"")</f>
        <v>238</v>
      </c>
      <c r="C249" s="20">
        <f>IF(PaymentSchedule3[[#This Row],[PMT NO]]&lt;&gt;"",EOMONTH(LoanStartDate,ROW(PaymentSchedule3[[#This Row],[PMT NO]])-ROW(PaymentSchedule3[[#Headers],[PMT NO]])-2)+DAY(LoanStartDate),"")</f>
        <v>50861</v>
      </c>
      <c r="D249" s="19">
        <f>IF(PaymentSchedule3[[#This Row],[PMT NO]]&lt;&gt;"",IF(ROW()-ROW(PaymentSchedule3[[#Headers],[BEGINNING BALANCE]])=1,LoanAmount,INDEX(PaymentSchedule3[ENDING BALANCE],ROW()-ROW(PaymentSchedule3[[#Headers],[BEGINNING BALANCE]])-1)),"")</f>
        <v>1390587.3676901902</v>
      </c>
      <c r="E249" s="19">
        <f>IF(PaymentSchedule3[[#This Row],[PMT NO]]&lt;&gt;"",ScheduledPayment,"")</f>
        <v>8358.7693880762818</v>
      </c>
      <c r="F24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4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49" s="19">
        <f>IF(PaymentSchedule3[[#This Row],[PMT NO]]&lt;&gt;"",PaymentSchedule3[[#This Row],[TOTAL PAYMENT]]-PaymentSchedule3[[#This Row],[INTEREST]],"")</f>
        <v>3723.478162442314</v>
      </c>
      <c r="I249" s="19">
        <f>IF(PaymentSchedule3[[#This Row],[PMT NO]]&lt;&gt;"",PaymentSchedule3[[#This Row],[BEGINNING BALANCE]]*(InterestRate/PaymentsPerYear),"")</f>
        <v>4635.2912256339678</v>
      </c>
      <c r="J24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1386863.8895277479</v>
      </c>
      <c r="K249" s="19">
        <f>IF(PaymentSchedule3[[#This Row],[PMT NO]]&lt;&gt;"",SUM(INDEX(PaymentSchedule3[INTEREST],1,1):PaymentSchedule3[[#This Row],[INTEREST]]),"")</f>
        <v>1376251.0038899016</v>
      </c>
    </row>
    <row r="250" spans="2:11" x14ac:dyDescent="0.3">
      <c r="B250" s="21">
        <f>IF(LoanIsGood,IF(ROW()-ROW(PaymentSchedule3[[#Headers],[PMT NO]])&gt;ScheduledNumberOfPayments,"",ROW()-ROW(PaymentSchedule3[[#Headers],[PMT NO]])),"")</f>
        <v>239</v>
      </c>
      <c r="C250" s="20">
        <f>IF(PaymentSchedule3[[#This Row],[PMT NO]]&lt;&gt;"",EOMONTH(LoanStartDate,ROW(PaymentSchedule3[[#This Row],[PMT NO]])-ROW(PaymentSchedule3[[#Headers],[PMT NO]])-2)+DAY(LoanStartDate),"")</f>
        <v>50891</v>
      </c>
      <c r="D250" s="19">
        <f>IF(PaymentSchedule3[[#This Row],[PMT NO]]&lt;&gt;"",IF(ROW()-ROW(PaymentSchedule3[[#Headers],[BEGINNING BALANCE]])=1,LoanAmount,INDEX(PaymentSchedule3[ENDING BALANCE],ROW()-ROW(PaymentSchedule3[[#Headers],[BEGINNING BALANCE]])-1)),"")</f>
        <v>1386863.8895277479</v>
      </c>
      <c r="E250" s="19">
        <f>IF(PaymentSchedule3[[#This Row],[PMT NO]]&lt;&gt;"",ScheduledPayment,"")</f>
        <v>8358.7693880762818</v>
      </c>
      <c r="F25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5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50" s="19">
        <f>IF(PaymentSchedule3[[#This Row],[PMT NO]]&lt;&gt;"",PaymentSchedule3[[#This Row],[TOTAL PAYMENT]]-PaymentSchedule3[[#This Row],[INTEREST]],"")</f>
        <v>3735.8897563171222</v>
      </c>
      <c r="I250" s="19">
        <f>IF(PaymentSchedule3[[#This Row],[PMT NO]]&lt;&gt;"",PaymentSchedule3[[#This Row],[BEGINNING BALANCE]]*(InterestRate/PaymentsPerYear),"")</f>
        <v>4622.8796317591596</v>
      </c>
      <c r="J25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1383127.9997714309</v>
      </c>
      <c r="K250" s="19">
        <f>IF(PaymentSchedule3[[#This Row],[PMT NO]]&lt;&gt;"",SUM(INDEX(PaymentSchedule3[INTEREST],1,1):PaymentSchedule3[[#This Row],[INTEREST]]),"")</f>
        <v>1380873.8835216607</v>
      </c>
    </row>
    <row r="251" spans="2:11" x14ac:dyDescent="0.3">
      <c r="B251" s="21">
        <f>IF(LoanIsGood,IF(ROW()-ROW(PaymentSchedule3[[#Headers],[PMT NO]])&gt;ScheduledNumberOfPayments,"",ROW()-ROW(PaymentSchedule3[[#Headers],[PMT NO]])),"")</f>
        <v>240</v>
      </c>
      <c r="C251" s="20">
        <f>IF(PaymentSchedule3[[#This Row],[PMT NO]]&lt;&gt;"",EOMONTH(LoanStartDate,ROW(PaymentSchedule3[[#This Row],[PMT NO]])-ROW(PaymentSchedule3[[#Headers],[PMT NO]])-2)+DAY(LoanStartDate),"")</f>
        <v>50922</v>
      </c>
      <c r="D251" s="19">
        <f>IF(PaymentSchedule3[[#This Row],[PMT NO]]&lt;&gt;"",IF(ROW()-ROW(PaymentSchedule3[[#Headers],[BEGINNING BALANCE]])=1,LoanAmount,INDEX(PaymentSchedule3[ENDING BALANCE],ROW()-ROW(PaymentSchedule3[[#Headers],[BEGINNING BALANCE]])-1)),"")</f>
        <v>1383127.9997714309</v>
      </c>
      <c r="E251" s="19">
        <f>IF(PaymentSchedule3[[#This Row],[PMT NO]]&lt;&gt;"",ScheduledPayment,"")</f>
        <v>8358.7693880762818</v>
      </c>
      <c r="F25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5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51" s="19">
        <f>IF(PaymentSchedule3[[#This Row],[PMT NO]]&lt;&gt;"",PaymentSchedule3[[#This Row],[TOTAL PAYMENT]]-PaymentSchedule3[[#This Row],[INTEREST]],"")</f>
        <v>3748.3427221715119</v>
      </c>
      <c r="I251" s="19">
        <f>IF(PaymentSchedule3[[#This Row],[PMT NO]]&lt;&gt;"",PaymentSchedule3[[#This Row],[BEGINNING BALANCE]]*(InterestRate/PaymentsPerYear),"")</f>
        <v>4610.4266659047698</v>
      </c>
      <c r="J25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1379379.6570492594</v>
      </c>
      <c r="K251" s="19">
        <f>IF(PaymentSchedule3[[#This Row],[PMT NO]]&lt;&gt;"",SUM(INDEX(PaymentSchedule3[INTEREST],1,1):PaymentSchedule3[[#This Row],[INTEREST]]),"")</f>
        <v>1385484.3101875654</v>
      </c>
    </row>
    <row r="252" spans="2:11" x14ac:dyDescent="0.3">
      <c r="B252" s="21">
        <f>IF(LoanIsGood,IF(ROW()-ROW(PaymentSchedule3[[#Headers],[PMT NO]])&gt;ScheduledNumberOfPayments,"",ROW()-ROW(PaymentSchedule3[[#Headers],[PMT NO]])),"")</f>
        <v>241</v>
      </c>
      <c r="C252" s="20">
        <f>IF(PaymentSchedule3[[#This Row],[PMT NO]]&lt;&gt;"",EOMONTH(LoanStartDate,ROW(PaymentSchedule3[[#This Row],[PMT NO]])-ROW(PaymentSchedule3[[#Headers],[PMT NO]])-2)+DAY(LoanStartDate),"")</f>
        <v>50952</v>
      </c>
      <c r="D252" s="19">
        <f>IF(PaymentSchedule3[[#This Row],[PMT NO]]&lt;&gt;"",IF(ROW()-ROW(PaymentSchedule3[[#Headers],[BEGINNING BALANCE]])=1,LoanAmount,INDEX(PaymentSchedule3[ENDING BALANCE],ROW()-ROW(PaymentSchedule3[[#Headers],[BEGINNING BALANCE]])-1)),"")</f>
        <v>1379379.6570492594</v>
      </c>
      <c r="E252" s="19">
        <f>IF(PaymentSchedule3[[#This Row],[PMT NO]]&lt;&gt;"",ScheduledPayment,"")</f>
        <v>8358.7693880762818</v>
      </c>
      <c r="F25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5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52" s="19">
        <f>IF(PaymentSchedule3[[#This Row],[PMT NO]]&lt;&gt;"",PaymentSchedule3[[#This Row],[TOTAL PAYMENT]]-PaymentSchedule3[[#This Row],[INTEREST]],"")</f>
        <v>3760.8371979120839</v>
      </c>
      <c r="I252" s="19">
        <f>IF(PaymentSchedule3[[#This Row],[PMT NO]]&lt;&gt;"",PaymentSchedule3[[#This Row],[BEGINNING BALANCE]]*(InterestRate/PaymentsPerYear),"")</f>
        <v>4597.9321901641979</v>
      </c>
      <c r="J25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1375618.8198513472</v>
      </c>
      <c r="K252" s="19">
        <f>IF(PaymentSchedule3[[#This Row],[PMT NO]]&lt;&gt;"",SUM(INDEX(PaymentSchedule3[INTEREST],1,1):PaymentSchedule3[[#This Row],[INTEREST]]),"")</f>
        <v>1390082.2423777296</v>
      </c>
    </row>
    <row r="253" spans="2:11" x14ac:dyDescent="0.3">
      <c r="B253" s="21">
        <f>IF(LoanIsGood,IF(ROW()-ROW(PaymentSchedule3[[#Headers],[PMT NO]])&gt;ScheduledNumberOfPayments,"",ROW()-ROW(PaymentSchedule3[[#Headers],[PMT NO]])),"")</f>
        <v>242</v>
      </c>
      <c r="C253" s="20">
        <f>IF(PaymentSchedule3[[#This Row],[PMT NO]]&lt;&gt;"",EOMONTH(LoanStartDate,ROW(PaymentSchedule3[[#This Row],[PMT NO]])-ROW(PaymentSchedule3[[#Headers],[PMT NO]])-2)+DAY(LoanStartDate),"")</f>
        <v>50983</v>
      </c>
      <c r="D253" s="19">
        <f>IF(PaymentSchedule3[[#This Row],[PMT NO]]&lt;&gt;"",IF(ROW()-ROW(PaymentSchedule3[[#Headers],[BEGINNING BALANCE]])=1,LoanAmount,INDEX(PaymentSchedule3[ENDING BALANCE],ROW()-ROW(PaymentSchedule3[[#Headers],[BEGINNING BALANCE]])-1)),"")</f>
        <v>1375618.8198513472</v>
      </c>
      <c r="E253" s="19">
        <f>IF(PaymentSchedule3[[#This Row],[PMT NO]]&lt;&gt;"",ScheduledPayment,"")</f>
        <v>8358.7693880762818</v>
      </c>
      <c r="F25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5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53" s="19">
        <f>IF(PaymentSchedule3[[#This Row],[PMT NO]]&lt;&gt;"",PaymentSchedule3[[#This Row],[TOTAL PAYMENT]]-PaymentSchedule3[[#This Row],[INTEREST]],"")</f>
        <v>3773.3733219051237</v>
      </c>
      <c r="I253" s="19">
        <f>IF(PaymentSchedule3[[#This Row],[PMT NO]]&lt;&gt;"",PaymentSchedule3[[#This Row],[BEGINNING BALANCE]]*(InterestRate/PaymentsPerYear),"")</f>
        <v>4585.3960661711581</v>
      </c>
      <c r="J25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1371845.4465294422</v>
      </c>
      <c r="K253" s="19">
        <f>IF(PaymentSchedule3[[#This Row],[PMT NO]]&lt;&gt;"",SUM(INDEX(PaymentSchedule3[INTEREST],1,1):PaymentSchedule3[[#This Row],[INTEREST]]),"")</f>
        <v>1394667.6384439007</v>
      </c>
    </row>
    <row r="254" spans="2:11" x14ac:dyDescent="0.3">
      <c r="B254" s="21">
        <f>IF(LoanIsGood,IF(ROW()-ROW(PaymentSchedule3[[#Headers],[PMT NO]])&gt;ScheduledNumberOfPayments,"",ROW()-ROW(PaymentSchedule3[[#Headers],[PMT NO]])),"")</f>
        <v>243</v>
      </c>
      <c r="C254" s="20">
        <f>IF(PaymentSchedule3[[#This Row],[PMT NO]]&lt;&gt;"",EOMONTH(LoanStartDate,ROW(PaymentSchedule3[[#This Row],[PMT NO]])-ROW(PaymentSchedule3[[#Headers],[PMT NO]])-2)+DAY(LoanStartDate),"")</f>
        <v>51014</v>
      </c>
      <c r="D254" s="19">
        <f>IF(PaymentSchedule3[[#This Row],[PMT NO]]&lt;&gt;"",IF(ROW()-ROW(PaymentSchedule3[[#Headers],[BEGINNING BALANCE]])=1,LoanAmount,INDEX(PaymentSchedule3[ENDING BALANCE],ROW()-ROW(PaymentSchedule3[[#Headers],[BEGINNING BALANCE]])-1)),"")</f>
        <v>1371845.4465294422</v>
      </c>
      <c r="E254" s="19">
        <f>IF(PaymentSchedule3[[#This Row],[PMT NO]]&lt;&gt;"",ScheduledPayment,"")</f>
        <v>8358.7693880762818</v>
      </c>
      <c r="F25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5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54" s="19">
        <f>IF(PaymentSchedule3[[#This Row],[PMT NO]]&lt;&gt;"",PaymentSchedule3[[#This Row],[TOTAL PAYMENT]]-PaymentSchedule3[[#This Row],[INTEREST]],"")</f>
        <v>3785.951232978141</v>
      </c>
      <c r="I254" s="19">
        <f>IF(PaymentSchedule3[[#This Row],[PMT NO]]&lt;&gt;"",PaymentSchedule3[[#This Row],[BEGINNING BALANCE]]*(InterestRate/PaymentsPerYear),"")</f>
        <v>4572.8181550981408</v>
      </c>
      <c r="J25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1368059.4952964641</v>
      </c>
      <c r="K254" s="19">
        <f>IF(PaymentSchedule3[[#This Row],[PMT NO]]&lt;&gt;"",SUM(INDEX(PaymentSchedule3[INTEREST],1,1):PaymentSchedule3[[#This Row],[INTEREST]]),"")</f>
        <v>1399240.456598999</v>
      </c>
    </row>
    <row r="255" spans="2:11" x14ac:dyDescent="0.3">
      <c r="B255" s="21">
        <f>IF(LoanIsGood,IF(ROW()-ROW(PaymentSchedule3[[#Headers],[PMT NO]])&gt;ScheduledNumberOfPayments,"",ROW()-ROW(PaymentSchedule3[[#Headers],[PMT NO]])),"")</f>
        <v>244</v>
      </c>
      <c r="C255" s="20">
        <f>IF(PaymentSchedule3[[#This Row],[PMT NO]]&lt;&gt;"",EOMONTH(LoanStartDate,ROW(PaymentSchedule3[[#This Row],[PMT NO]])-ROW(PaymentSchedule3[[#Headers],[PMT NO]])-2)+DAY(LoanStartDate),"")</f>
        <v>51044</v>
      </c>
      <c r="D255" s="19">
        <f>IF(PaymentSchedule3[[#This Row],[PMT NO]]&lt;&gt;"",IF(ROW()-ROW(PaymentSchedule3[[#Headers],[BEGINNING BALANCE]])=1,LoanAmount,INDEX(PaymentSchedule3[ENDING BALANCE],ROW()-ROW(PaymentSchedule3[[#Headers],[BEGINNING BALANCE]])-1)),"")</f>
        <v>1368059.4952964641</v>
      </c>
      <c r="E255" s="19">
        <f>IF(PaymentSchedule3[[#This Row],[PMT NO]]&lt;&gt;"",ScheduledPayment,"")</f>
        <v>8358.7693880762818</v>
      </c>
      <c r="F25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5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55" s="19">
        <f>IF(PaymentSchedule3[[#This Row],[PMT NO]]&lt;&gt;"",PaymentSchedule3[[#This Row],[TOTAL PAYMENT]]-PaymentSchedule3[[#This Row],[INTEREST]],"")</f>
        <v>3798.5710704214016</v>
      </c>
      <c r="I255" s="19">
        <f>IF(PaymentSchedule3[[#This Row],[PMT NO]]&lt;&gt;"",PaymentSchedule3[[#This Row],[BEGINNING BALANCE]]*(InterestRate/PaymentsPerYear),"")</f>
        <v>4560.1983176548802</v>
      </c>
      <c r="J25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1364260.9242260426</v>
      </c>
      <c r="K255" s="19">
        <f>IF(PaymentSchedule3[[#This Row],[PMT NO]]&lt;&gt;"",SUM(INDEX(PaymentSchedule3[INTEREST],1,1):PaymentSchedule3[[#This Row],[INTEREST]]),"")</f>
        <v>1403800.6549166539</v>
      </c>
    </row>
    <row r="256" spans="2:11" x14ac:dyDescent="0.3">
      <c r="B256" s="21">
        <f>IF(LoanIsGood,IF(ROW()-ROW(PaymentSchedule3[[#Headers],[PMT NO]])&gt;ScheduledNumberOfPayments,"",ROW()-ROW(PaymentSchedule3[[#Headers],[PMT NO]])),"")</f>
        <v>245</v>
      </c>
      <c r="C256" s="20">
        <f>IF(PaymentSchedule3[[#This Row],[PMT NO]]&lt;&gt;"",EOMONTH(LoanStartDate,ROW(PaymentSchedule3[[#This Row],[PMT NO]])-ROW(PaymentSchedule3[[#Headers],[PMT NO]])-2)+DAY(LoanStartDate),"")</f>
        <v>51075</v>
      </c>
      <c r="D256" s="19">
        <f>IF(PaymentSchedule3[[#This Row],[PMT NO]]&lt;&gt;"",IF(ROW()-ROW(PaymentSchedule3[[#Headers],[BEGINNING BALANCE]])=1,LoanAmount,INDEX(PaymentSchedule3[ENDING BALANCE],ROW()-ROW(PaymentSchedule3[[#Headers],[BEGINNING BALANCE]])-1)),"")</f>
        <v>1364260.9242260426</v>
      </c>
      <c r="E256" s="19">
        <f>IF(PaymentSchedule3[[#This Row],[PMT NO]]&lt;&gt;"",ScheduledPayment,"")</f>
        <v>8358.7693880762818</v>
      </c>
      <c r="F25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5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56" s="19">
        <f>IF(PaymentSchedule3[[#This Row],[PMT NO]]&lt;&gt;"",PaymentSchedule3[[#This Row],[TOTAL PAYMENT]]-PaymentSchedule3[[#This Row],[INTEREST]],"")</f>
        <v>3811.2329739894731</v>
      </c>
      <c r="I256" s="19">
        <f>IF(PaymentSchedule3[[#This Row],[PMT NO]]&lt;&gt;"",PaymentSchedule3[[#This Row],[BEGINNING BALANCE]]*(InterestRate/PaymentsPerYear),"")</f>
        <v>4547.5364140868087</v>
      </c>
      <c r="J25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1360449.691252053</v>
      </c>
      <c r="K256" s="19">
        <f>IF(PaymentSchedule3[[#This Row],[PMT NO]]&lt;&gt;"",SUM(INDEX(PaymentSchedule3[INTEREST],1,1):PaymentSchedule3[[#This Row],[INTEREST]]),"")</f>
        <v>1408348.1913307407</v>
      </c>
    </row>
    <row r="257" spans="2:11" x14ac:dyDescent="0.3">
      <c r="B257" s="21">
        <f>IF(LoanIsGood,IF(ROW()-ROW(PaymentSchedule3[[#Headers],[PMT NO]])&gt;ScheduledNumberOfPayments,"",ROW()-ROW(PaymentSchedule3[[#Headers],[PMT NO]])),"")</f>
        <v>246</v>
      </c>
      <c r="C257" s="20">
        <f>IF(PaymentSchedule3[[#This Row],[PMT NO]]&lt;&gt;"",EOMONTH(LoanStartDate,ROW(PaymentSchedule3[[#This Row],[PMT NO]])-ROW(PaymentSchedule3[[#Headers],[PMT NO]])-2)+DAY(LoanStartDate),"")</f>
        <v>51105</v>
      </c>
      <c r="D257" s="19">
        <f>IF(PaymentSchedule3[[#This Row],[PMT NO]]&lt;&gt;"",IF(ROW()-ROW(PaymentSchedule3[[#Headers],[BEGINNING BALANCE]])=1,LoanAmount,INDEX(PaymentSchedule3[ENDING BALANCE],ROW()-ROW(PaymentSchedule3[[#Headers],[BEGINNING BALANCE]])-1)),"")</f>
        <v>1360449.691252053</v>
      </c>
      <c r="E257" s="19">
        <f>IF(PaymentSchedule3[[#This Row],[PMT NO]]&lt;&gt;"",ScheduledPayment,"")</f>
        <v>8358.7693880762818</v>
      </c>
      <c r="F25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5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57" s="19">
        <f>IF(PaymentSchedule3[[#This Row],[PMT NO]]&lt;&gt;"",PaymentSchedule3[[#This Row],[TOTAL PAYMENT]]-PaymentSchedule3[[#This Row],[INTEREST]],"")</f>
        <v>3823.9370839027715</v>
      </c>
      <c r="I257" s="19">
        <f>IF(PaymentSchedule3[[#This Row],[PMT NO]]&lt;&gt;"",PaymentSchedule3[[#This Row],[BEGINNING BALANCE]]*(InterestRate/PaymentsPerYear),"")</f>
        <v>4534.8323041735102</v>
      </c>
      <c r="J25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1356625.7541681502</v>
      </c>
      <c r="K257" s="19">
        <f>IF(PaymentSchedule3[[#This Row],[PMT NO]]&lt;&gt;"",SUM(INDEX(PaymentSchedule3[INTEREST],1,1):PaymentSchedule3[[#This Row],[INTEREST]]),"")</f>
        <v>1412883.0236349143</v>
      </c>
    </row>
    <row r="258" spans="2:11" x14ac:dyDescent="0.3">
      <c r="B258" s="21">
        <f>IF(LoanIsGood,IF(ROW()-ROW(PaymentSchedule3[[#Headers],[PMT NO]])&gt;ScheduledNumberOfPayments,"",ROW()-ROW(PaymentSchedule3[[#Headers],[PMT NO]])),"")</f>
        <v>247</v>
      </c>
      <c r="C258" s="20">
        <f>IF(PaymentSchedule3[[#This Row],[PMT NO]]&lt;&gt;"",EOMONTH(LoanStartDate,ROW(PaymentSchedule3[[#This Row],[PMT NO]])-ROW(PaymentSchedule3[[#Headers],[PMT NO]])-2)+DAY(LoanStartDate),"")</f>
        <v>51136</v>
      </c>
      <c r="D258" s="19">
        <f>IF(PaymentSchedule3[[#This Row],[PMT NO]]&lt;&gt;"",IF(ROW()-ROW(PaymentSchedule3[[#Headers],[BEGINNING BALANCE]])=1,LoanAmount,INDEX(PaymentSchedule3[ENDING BALANCE],ROW()-ROW(PaymentSchedule3[[#Headers],[BEGINNING BALANCE]])-1)),"")</f>
        <v>1356625.7541681502</v>
      </c>
      <c r="E258" s="19">
        <f>IF(PaymentSchedule3[[#This Row],[PMT NO]]&lt;&gt;"",ScheduledPayment,"")</f>
        <v>8358.7693880762818</v>
      </c>
      <c r="F25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5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58" s="19">
        <f>IF(PaymentSchedule3[[#This Row],[PMT NO]]&lt;&gt;"",PaymentSchedule3[[#This Row],[TOTAL PAYMENT]]-PaymentSchedule3[[#This Row],[INTEREST]],"")</f>
        <v>3836.6835408491143</v>
      </c>
      <c r="I258" s="19">
        <f>IF(PaymentSchedule3[[#This Row],[PMT NO]]&lt;&gt;"",PaymentSchedule3[[#This Row],[BEGINNING BALANCE]]*(InterestRate/PaymentsPerYear),"")</f>
        <v>4522.0858472271675</v>
      </c>
      <c r="J25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1352789.0706273012</v>
      </c>
      <c r="K258" s="19">
        <f>IF(PaymentSchedule3[[#This Row],[PMT NO]]&lt;&gt;"",SUM(INDEX(PaymentSchedule3[INTEREST],1,1):PaymentSchedule3[[#This Row],[INTEREST]]),"")</f>
        <v>1417405.1094821414</v>
      </c>
    </row>
    <row r="259" spans="2:11" x14ac:dyDescent="0.3">
      <c r="B259" s="21">
        <f>IF(LoanIsGood,IF(ROW()-ROW(PaymentSchedule3[[#Headers],[PMT NO]])&gt;ScheduledNumberOfPayments,"",ROW()-ROW(PaymentSchedule3[[#Headers],[PMT NO]])),"")</f>
        <v>248</v>
      </c>
      <c r="C259" s="20">
        <f>IF(PaymentSchedule3[[#This Row],[PMT NO]]&lt;&gt;"",EOMONTH(LoanStartDate,ROW(PaymentSchedule3[[#This Row],[PMT NO]])-ROW(PaymentSchedule3[[#Headers],[PMT NO]])-2)+DAY(LoanStartDate),"")</f>
        <v>51167</v>
      </c>
      <c r="D259" s="19">
        <f>IF(PaymentSchedule3[[#This Row],[PMT NO]]&lt;&gt;"",IF(ROW()-ROW(PaymentSchedule3[[#Headers],[BEGINNING BALANCE]])=1,LoanAmount,INDEX(PaymentSchedule3[ENDING BALANCE],ROW()-ROW(PaymentSchedule3[[#Headers],[BEGINNING BALANCE]])-1)),"")</f>
        <v>1352789.0706273012</v>
      </c>
      <c r="E259" s="19">
        <f>IF(PaymentSchedule3[[#This Row],[PMT NO]]&lt;&gt;"",ScheduledPayment,"")</f>
        <v>8358.7693880762818</v>
      </c>
      <c r="F25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5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59" s="19">
        <f>IF(PaymentSchedule3[[#This Row],[PMT NO]]&lt;&gt;"",PaymentSchedule3[[#This Row],[TOTAL PAYMENT]]-PaymentSchedule3[[#This Row],[INTEREST]],"")</f>
        <v>3849.4724859852777</v>
      </c>
      <c r="I259" s="19">
        <f>IF(PaymentSchedule3[[#This Row],[PMT NO]]&lt;&gt;"",PaymentSchedule3[[#This Row],[BEGINNING BALANCE]]*(InterestRate/PaymentsPerYear),"")</f>
        <v>4509.2969020910041</v>
      </c>
      <c r="J25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1348939.5981413159</v>
      </c>
      <c r="K259" s="19">
        <f>IF(PaymentSchedule3[[#This Row],[PMT NO]]&lt;&gt;"",SUM(INDEX(PaymentSchedule3[INTEREST],1,1):PaymentSchedule3[[#This Row],[INTEREST]]),"")</f>
        <v>1421914.4063842325</v>
      </c>
    </row>
    <row r="260" spans="2:11" x14ac:dyDescent="0.3">
      <c r="B260" s="21">
        <f>IF(LoanIsGood,IF(ROW()-ROW(PaymentSchedule3[[#Headers],[PMT NO]])&gt;ScheduledNumberOfPayments,"",ROW()-ROW(PaymentSchedule3[[#Headers],[PMT NO]])),"")</f>
        <v>249</v>
      </c>
      <c r="C260" s="20">
        <f>IF(PaymentSchedule3[[#This Row],[PMT NO]]&lt;&gt;"",EOMONTH(LoanStartDate,ROW(PaymentSchedule3[[#This Row],[PMT NO]])-ROW(PaymentSchedule3[[#Headers],[PMT NO]])-2)+DAY(LoanStartDate),"")</f>
        <v>51196</v>
      </c>
      <c r="D260" s="19">
        <f>IF(PaymentSchedule3[[#This Row],[PMT NO]]&lt;&gt;"",IF(ROW()-ROW(PaymentSchedule3[[#Headers],[BEGINNING BALANCE]])=1,LoanAmount,INDEX(PaymentSchedule3[ENDING BALANCE],ROW()-ROW(PaymentSchedule3[[#Headers],[BEGINNING BALANCE]])-1)),"")</f>
        <v>1348939.5981413159</v>
      </c>
      <c r="E260" s="19">
        <f>IF(PaymentSchedule3[[#This Row],[PMT NO]]&lt;&gt;"",ScheduledPayment,"")</f>
        <v>8358.7693880762818</v>
      </c>
      <c r="F26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6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60" s="19">
        <f>IF(PaymentSchedule3[[#This Row],[PMT NO]]&lt;&gt;"",PaymentSchedule3[[#This Row],[TOTAL PAYMENT]]-PaymentSchedule3[[#This Row],[INTEREST]],"")</f>
        <v>3862.3040609385616</v>
      </c>
      <c r="I260" s="19">
        <f>IF(PaymentSchedule3[[#This Row],[PMT NO]]&lt;&gt;"",PaymentSchedule3[[#This Row],[BEGINNING BALANCE]]*(InterestRate/PaymentsPerYear),"")</f>
        <v>4496.4653271377201</v>
      </c>
      <c r="J26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1345077.2940803773</v>
      </c>
      <c r="K260" s="19">
        <f>IF(PaymentSchedule3[[#This Row],[PMT NO]]&lt;&gt;"",SUM(INDEX(PaymentSchedule3[INTEREST],1,1):PaymentSchedule3[[#This Row],[INTEREST]]),"")</f>
        <v>1426410.8717113701</v>
      </c>
    </row>
    <row r="261" spans="2:11" x14ac:dyDescent="0.3">
      <c r="B261" s="21">
        <f>IF(LoanIsGood,IF(ROW()-ROW(PaymentSchedule3[[#Headers],[PMT NO]])&gt;ScheduledNumberOfPayments,"",ROW()-ROW(PaymentSchedule3[[#Headers],[PMT NO]])),"")</f>
        <v>250</v>
      </c>
      <c r="C261" s="20">
        <f>IF(PaymentSchedule3[[#This Row],[PMT NO]]&lt;&gt;"",EOMONTH(LoanStartDate,ROW(PaymentSchedule3[[#This Row],[PMT NO]])-ROW(PaymentSchedule3[[#Headers],[PMT NO]])-2)+DAY(LoanStartDate),"")</f>
        <v>51227</v>
      </c>
      <c r="D261" s="19">
        <f>IF(PaymentSchedule3[[#This Row],[PMT NO]]&lt;&gt;"",IF(ROW()-ROW(PaymentSchedule3[[#Headers],[BEGINNING BALANCE]])=1,LoanAmount,INDEX(PaymentSchedule3[ENDING BALANCE],ROW()-ROW(PaymentSchedule3[[#Headers],[BEGINNING BALANCE]])-1)),"")</f>
        <v>1345077.2940803773</v>
      </c>
      <c r="E261" s="19">
        <f>IF(PaymentSchedule3[[#This Row],[PMT NO]]&lt;&gt;"",ScheduledPayment,"")</f>
        <v>8358.7693880762818</v>
      </c>
      <c r="F26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6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61" s="19">
        <f>IF(PaymentSchedule3[[#This Row],[PMT NO]]&lt;&gt;"",PaymentSchedule3[[#This Row],[TOTAL PAYMENT]]-PaymentSchedule3[[#This Row],[INTEREST]],"")</f>
        <v>3875.1784078083574</v>
      </c>
      <c r="I261" s="19">
        <f>IF(PaymentSchedule3[[#This Row],[PMT NO]]&lt;&gt;"",PaymentSchedule3[[#This Row],[BEGINNING BALANCE]]*(InterestRate/PaymentsPerYear),"")</f>
        <v>4483.5909802679244</v>
      </c>
      <c r="J26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1341202.115672569</v>
      </c>
      <c r="K261" s="19">
        <f>IF(PaymentSchedule3[[#This Row],[PMT NO]]&lt;&gt;"",SUM(INDEX(PaymentSchedule3[INTEREST],1,1):PaymentSchedule3[[#This Row],[INTEREST]]),"")</f>
        <v>1430894.4626916379</v>
      </c>
    </row>
    <row r="262" spans="2:11" x14ac:dyDescent="0.3">
      <c r="B262" s="21">
        <f>IF(LoanIsGood,IF(ROW()-ROW(PaymentSchedule3[[#Headers],[PMT NO]])&gt;ScheduledNumberOfPayments,"",ROW()-ROW(PaymentSchedule3[[#Headers],[PMT NO]])),"")</f>
        <v>251</v>
      </c>
      <c r="C262" s="20">
        <f>IF(PaymentSchedule3[[#This Row],[PMT NO]]&lt;&gt;"",EOMONTH(LoanStartDate,ROW(PaymentSchedule3[[#This Row],[PMT NO]])-ROW(PaymentSchedule3[[#Headers],[PMT NO]])-2)+DAY(LoanStartDate),"")</f>
        <v>51257</v>
      </c>
      <c r="D262" s="19">
        <f>IF(PaymentSchedule3[[#This Row],[PMT NO]]&lt;&gt;"",IF(ROW()-ROW(PaymentSchedule3[[#Headers],[BEGINNING BALANCE]])=1,LoanAmount,INDEX(PaymentSchedule3[ENDING BALANCE],ROW()-ROW(PaymentSchedule3[[#Headers],[BEGINNING BALANCE]])-1)),"")</f>
        <v>1341202.115672569</v>
      </c>
      <c r="E262" s="19">
        <f>IF(PaymentSchedule3[[#This Row],[PMT NO]]&lt;&gt;"",ScheduledPayment,"")</f>
        <v>8358.7693880762818</v>
      </c>
      <c r="F26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6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62" s="19">
        <f>IF(PaymentSchedule3[[#This Row],[PMT NO]]&lt;&gt;"",PaymentSchedule3[[#This Row],[TOTAL PAYMENT]]-PaymentSchedule3[[#This Row],[INTEREST]],"")</f>
        <v>3888.0956691677184</v>
      </c>
      <c r="I262" s="19">
        <f>IF(PaymentSchedule3[[#This Row],[PMT NO]]&lt;&gt;"",PaymentSchedule3[[#This Row],[BEGINNING BALANCE]]*(InterestRate/PaymentsPerYear),"")</f>
        <v>4470.6737189085634</v>
      </c>
      <c r="J26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1337314.0200034012</v>
      </c>
      <c r="K262" s="19">
        <f>IF(PaymentSchedule3[[#This Row],[PMT NO]]&lt;&gt;"",SUM(INDEX(PaymentSchedule3[INTEREST],1,1):PaymentSchedule3[[#This Row],[INTEREST]]),"")</f>
        <v>1435365.1364105465</v>
      </c>
    </row>
    <row r="263" spans="2:11" x14ac:dyDescent="0.3">
      <c r="B263" s="21">
        <f>IF(LoanIsGood,IF(ROW()-ROW(PaymentSchedule3[[#Headers],[PMT NO]])&gt;ScheduledNumberOfPayments,"",ROW()-ROW(PaymentSchedule3[[#Headers],[PMT NO]])),"")</f>
        <v>252</v>
      </c>
      <c r="C263" s="20">
        <f>IF(PaymentSchedule3[[#This Row],[PMT NO]]&lt;&gt;"",EOMONTH(LoanStartDate,ROW(PaymentSchedule3[[#This Row],[PMT NO]])-ROW(PaymentSchedule3[[#Headers],[PMT NO]])-2)+DAY(LoanStartDate),"")</f>
        <v>51288</v>
      </c>
      <c r="D263" s="19">
        <f>IF(PaymentSchedule3[[#This Row],[PMT NO]]&lt;&gt;"",IF(ROW()-ROW(PaymentSchedule3[[#Headers],[BEGINNING BALANCE]])=1,LoanAmount,INDEX(PaymentSchedule3[ENDING BALANCE],ROW()-ROW(PaymentSchedule3[[#Headers],[BEGINNING BALANCE]])-1)),"")</f>
        <v>1337314.0200034012</v>
      </c>
      <c r="E263" s="19">
        <f>IF(PaymentSchedule3[[#This Row],[PMT NO]]&lt;&gt;"",ScheduledPayment,"")</f>
        <v>8358.7693880762818</v>
      </c>
      <c r="F26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6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63" s="19">
        <f>IF(PaymentSchedule3[[#This Row],[PMT NO]]&lt;&gt;"",PaymentSchedule3[[#This Row],[TOTAL PAYMENT]]-PaymentSchedule3[[#This Row],[INTEREST]],"")</f>
        <v>3901.0559880649444</v>
      </c>
      <c r="I263" s="19">
        <f>IF(PaymentSchedule3[[#This Row],[PMT NO]]&lt;&gt;"",PaymentSchedule3[[#This Row],[BEGINNING BALANCE]]*(InterestRate/PaymentsPerYear),"")</f>
        <v>4457.7134000113374</v>
      </c>
      <c r="J26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1333412.9640153362</v>
      </c>
      <c r="K263" s="19">
        <f>IF(PaymentSchedule3[[#This Row],[PMT NO]]&lt;&gt;"",SUM(INDEX(PaymentSchedule3[INTEREST],1,1):PaymentSchedule3[[#This Row],[INTEREST]]),"")</f>
        <v>1439822.8498105579</v>
      </c>
    </row>
    <row r="264" spans="2:11" x14ac:dyDescent="0.3">
      <c r="B264" s="21">
        <f>IF(LoanIsGood,IF(ROW()-ROW(PaymentSchedule3[[#Headers],[PMT NO]])&gt;ScheduledNumberOfPayments,"",ROW()-ROW(PaymentSchedule3[[#Headers],[PMT NO]])),"")</f>
        <v>253</v>
      </c>
      <c r="C264" s="20">
        <f>IF(PaymentSchedule3[[#This Row],[PMT NO]]&lt;&gt;"",EOMONTH(LoanStartDate,ROW(PaymentSchedule3[[#This Row],[PMT NO]])-ROW(PaymentSchedule3[[#Headers],[PMT NO]])-2)+DAY(LoanStartDate),"")</f>
        <v>51318</v>
      </c>
      <c r="D264" s="19">
        <f>IF(PaymentSchedule3[[#This Row],[PMT NO]]&lt;&gt;"",IF(ROW()-ROW(PaymentSchedule3[[#Headers],[BEGINNING BALANCE]])=1,LoanAmount,INDEX(PaymentSchedule3[ENDING BALANCE],ROW()-ROW(PaymentSchedule3[[#Headers],[BEGINNING BALANCE]])-1)),"")</f>
        <v>1333412.9640153362</v>
      </c>
      <c r="E264" s="19">
        <f>IF(PaymentSchedule3[[#This Row],[PMT NO]]&lt;&gt;"",ScheduledPayment,"")</f>
        <v>8358.7693880762818</v>
      </c>
      <c r="F26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6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64" s="19">
        <f>IF(PaymentSchedule3[[#This Row],[PMT NO]]&lt;&gt;"",PaymentSchedule3[[#This Row],[TOTAL PAYMENT]]-PaymentSchedule3[[#This Row],[INTEREST]],"")</f>
        <v>3914.0595080251605</v>
      </c>
      <c r="I264" s="19">
        <f>IF(PaymentSchedule3[[#This Row],[PMT NO]]&lt;&gt;"",PaymentSchedule3[[#This Row],[BEGINNING BALANCE]]*(InterestRate/PaymentsPerYear),"")</f>
        <v>4444.7098800511212</v>
      </c>
      <c r="J26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1329498.9045073111</v>
      </c>
      <c r="K264" s="19">
        <f>IF(PaymentSchedule3[[#This Row],[PMT NO]]&lt;&gt;"",SUM(INDEX(PaymentSchedule3[INTEREST],1,1):PaymentSchedule3[[#This Row],[INTEREST]]),"")</f>
        <v>1444267.5596906091</v>
      </c>
    </row>
    <row r="265" spans="2:11" x14ac:dyDescent="0.3">
      <c r="B265" s="21">
        <f>IF(LoanIsGood,IF(ROW()-ROW(PaymentSchedule3[[#Headers],[PMT NO]])&gt;ScheduledNumberOfPayments,"",ROW()-ROW(PaymentSchedule3[[#Headers],[PMT NO]])),"")</f>
        <v>254</v>
      </c>
      <c r="C265" s="20">
        <f>IF(PaymentSchedule3[[#This Row],[PMT NO]]&lt;&gt;"",EOMONTH(LoanStartDate,ROW(PaymentSchedule3[[#This Row],[PMT NO]])-ROW(PaymentSchedule3[[#Headers],[PMT NO]])-2)+DAY(LoanStartDate),"")</f>
        <v>51349</v>
      </c>
      <c r="D265" s="19">
        <f>IF(PaymentSchedule3[[#This Row],[PMT NO]]&lt;&gt;"",IF(ROW()-ROW(PaymentSchedule3[[#Headers],[BEGINNING BALANCE]])=1,LoanAmount,INDEX(PaymentSchedule3[ENDING BALANCE],ROW()-ROW(PaymentSchedule3[[#Headers],[BEGINNING BALANCE]])-1)),"")</f>
        <v>1329498.9045073111</v>
      </c>
      <c r="E265" s="19">
        <f>IF(PaymentSchedule3[[#This Row],[PMT NO]]&lt;&gt;"",ScheduledPayment,"")</f>
        <v>8358.7693880762818</v>
      </c>
      <c r="F26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6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65" s="19">
        <f>IF(PaymentSchedule3[[#This Row],[PMT NO]]&lt;&gt;"",PaymentSchedule3[[#This Row],[TOTAL PAYMENT]]-PaymentSchedule3[[#This Row],[INTEREST]],"")</f>
        <v>3927.1063730519109</v>
      </c>
      <c r="I265" s="19">
        <f>IF(PaymentSchedule3[[#This Row],[PMT NO]]&lt;&gt;"",PaymentSchedule3[[#This Row],[BEGINNING BALANCE]]*(InterestRate/PaymentsPerYear),"")</f>
        <v>4431.6630150243709</v>
      </c>
      <c r="J26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1325571.7981342592</v>
      </c>
      <c r="K265" s="19">
        <f>IF(PaymentSchedule3[[#This Row],[PMT NO]]&lt;&gt;"",SUM(INDEX(PaymentSchedule3[INTEREST],1,1):PaymentSchedule3[[#This Row],[INTEREST]]),"")</f>
        <v>1448699.2227056334</v>
      </c>
    </row>
    <row r="266" spans="2:11" x14ac:dyDescent="0.3">
      <c r="B266" s="21">
        <f>IF(LoanIsGood,IF(ROW()-ROW(PaymentSchedule3[[#Headers],[PMT NO]])&gt;ScheduledNumberOfPayments,"",ROW()-ROW(PaymentSchedule3[[#Headers],[PMT NO]])),"")</f>
        <v>255</v>
      </c>
      <c r="C266" s="20">
        <f>IF(PaymentSchedule3[[#This Row],[PMT NO]]&lt;&gt;"",EOMONTH(LoanStartDate,ROW(PaymentSchedule3[[#This Row],[PMT NO]])-ROW(PaymentSchedule3[[#Headers],[PMT NO]])-2)+DAY(LoanStartDate),"")</f>
        <v>51380</v>
      </c>
      <c r="D266" s="19">
        <f>IF(PaymentSchedule3[[#This Row],[PMT NO]]&lt;&gt;"",IF(ROW()-ROW(PaymentSchedule3[[#Headers],[BEGINNING BALANCE]])=1,LoanAmount,INDEX(PaymentSchedule3[ENDING BALANCE],ROW()-ROW(PaymentSchedule3[[#Headers],[BEGINNING BALANCE]])-1)),"")</f>
        <v>1325571.7981342592</v>
      </c>
      <c r="E266" s="19">
        <f>IF(PaymentSchedule3[[#This Row],[PMT NO]]&lt;&gt;"",ScheduledPayment,"")</f>
        <v>8358.7693880762818</v>
      </c>
      <c r="F26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6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66" s="19">
        <f>IF(PaymentSchedule3[[#This Row],[PMT NO]]&lt;&gt;"",PaymentSchedule3[[#This Row],[TOTAL PAYMENT]]-PaymentSchedule3[[#This Row],[INTEREST]],"")</f>
        <v>3940.1967276287505</v>
      </c>
      <c r="I266" s="19">
        <f>IF(PaymentSchedule3[[#This Row],[PMT NO]]&lt;&gt;"",PaymentSchedule3[[#This Row],[BEGINNING BALANCE]]*(InterestRate/PaymentsPerYear),"")</f>
        <v>4418.5726604475312</v>
      </c>
      <c r="J26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1321631.6014066304</v>
      </c>
      <c r="K266" s="19">
        <f>IF(PaymentSchedule3[[#This Row],[PMT NO]]&lt;&gt;"",SUM(INDEX(PaymentSchedule3[INTEREST],1,1):PaymentSchedule3[[#This Row],[INTEREST]]),"")</f>
        <v>1453117.7953660809</v>
      </c>
    </row>
    <row r="267" spans="2:11" x14ac:dyDescent="0.3">
      <c r="B267" s="21">
        <f>IF(LoanIsGood,IF(ROW()-ROW(PaymentSchedule3[[#Headers],[PMT NO]])&gt;ScheduledNumberOfPayments,"",ROW()-ROW(PaymentSchedule3[[#Headers],[PMT NO]])),"")</f>
        <v>256</v>
      </c>
      <c r="C267" s="20">
        <f>IF(PaymentSchedule3[[#This Row],[PMT NO]]&lt;&gt;"",EOMONTH(LoanStartDate,ROW(PaymentSchedule3[[#This Row],[PMT NO]])-ROW(PaymentSchedule3[[#Headers],[PMT NO]])-2)+DAY(LoanStartDate),"")</f>
        <v>51410</v>
      </c>
      <c r="D267" s="19">
        <f>IF(PaymentSchedule3[[#This Row],[PMT NO]]&lt;&gt;"",IF(ROW()-ROW(PaymentSchedule3[[#Headers],[BEGINNING BALANCE]])=1,LoanAmount,INDEX(PaymentSchedule3[ENDING BALANCE],ROW()-ROW(PaymentSchedule3[[#Headers],[BEGINNING BALANCE]])-1)),"")</f>
        <v>1321631.6014066304</v>
      </c>
      <c r="E267" s="19">
        <f>IF(PaymentSchedule3[[#This Row],[PMT NO]]&lt;&gt;"",ScheduledPayment,"")</f>
        <v>8358.7693880762818</v>
      </c>
      <c r="F26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6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67" s="19">
        <f>IF(PaymentSchedule3[[#This Row],[PMT NO]]&lt;&gt;"",PaymentSchedule3[[#This Row],[TOTAL PAYMENT]]-PaymentSchedule3[[#This Row],[INTEREST]],"")</f>
        <v>3953.3307167208468</v>
      </c>
      <c r="I267" s="19">
        <f>IF(PaymentSchedule3[[#This Row],[PMT NO]]&lt;&gt;"",PaymentSchedule3[[#This Row],[BEGINNING BALANCE]]*(InterestRate/PaymentsPerYear),"")</f>
        <v>4405.438671355435</v>
      </c>
      <c r="J26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1317678.2706899096</v>
      </c>
      <c r="K267" s="19">
        <f>IF(PaymentSchedule3[[#This Row],[PMT NO]]&lt;&gt;"",SUM(INDEX(PaymentSchedule3[INTEREST],1,1):PaymentSchedule3[[#This Row],[INTEREST]]),"")</f>
        <v>1457523.2340374363</v>
      </c>
    </row>
    <row r="268" spans="2:11" x14ac:dyDescent="0.3">
      <c r="B268" s="21">
        <f>IF(LoanIsGood,IF(ROW()-ROW(PaymentSchedule3[[#Headers],[PMT NO]])&gt;ScheduledNumberOfPayments,"",ROW()-ROW(PaymentSchedule3[[#Headers],[PMT NO]])),"")</f>
        <v>257</v>
      </c>
      <c r="C268" s="20">
        <f>IF(PaymentSchedule3[[#This Row],[PMT NO]]&lt;&gt;"",EOMONTH(LoanStartDate,ROW(PaymentSchedule3[[#This Row],[PMT NO]])-ROW(PaymentSchedule3[[#Headers],[PMT NO]])-2)+DAY(LoanStartDate),"")</f>
        <v>51441</v>
      </c>
      <c r="D268" s="19">
        <f>IF(PaymentSchedule3[[#This Row],[PMT NO]]&lt;&gt;"",IF(ROW()-ROW(PaymentSchedule3[[#Headers],[BEGINNING BALANCE]])=1,LoanAmount,INDEX(PaymentSchedule3[ENDING BALANCE],ROW()-ROW(PaymentSchedule3[[#Headers],[BEGINNING BALANCE]])-1)),"")</f>
        <v>1317678.2706899096</v>
      </c>
      <c r="E268" s="19">
        <f>IF(PaymentSchedule3[[#This Row],[PMT NO]]&lt;&gt;"",ScheduledPayment,"")</f>
        <v>8358.7693880762818</v>
      </c>
      <c r="F26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6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68" s="19">
        <f>IF(PaymentSchedule3[[#This Row],[PMT NO]]&lt;&gt;"",PaymentSchedule3[[#This Row],[TOTAL PAYMENT]]-PaymentSchedule3[[#This Row],[INTEREST]],"")</f>
        <v>3966.5084857765833</v>
      </c>
      <c r="I268" s="19">
        <f>IF(PaymentSchedule3[[#This Row],[PMT NO]]&lt;&gt;"",PaymentSchedule3[[#This Row],[BEGINNING BALANCE]]*(InterestRate/PaymentsPerYear),"")</f>
        <v>4392.2609022996985</v>
      </c>
      <c r="J26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1313711.762204133</v>
      </c>
      <c r="K268" s="19">
        <f>IF(PaymentSchedule3[[#This Row],[PMT NO]]&lt;&gt;"",SUM(INDEX(PaymentSchedule3[INTEREST],1,1):PaymentSchedule3[[#This Row],[INTEREST]]),"")</f>
        <v>1461915.4949397361</v>
      </c>
    </row>
    <row r="269" spans="2:11" x14ac:dyDescent="0.3">
      <c r="B269" s="21">
        <f>IF(LoanIsGood,IF(ROW()-ROW(PaymentSchedule3[[#Headers],[PMT NO]])&gt;ScheduledNumberOfPayments,"",ROW()-ROW(PaymentSchedule3[[#Headers],[PMT NO]])),"")</f>
        <v>258</v>
      </c>
      <c r="C269" s="20">
        <f>IF(PaymentSchedule3[[#This Row],[PMT NO]]&lt;&gt;"",EOMONTH(LoanStartDate,ROW(PaymentSchedule3[[#This Row],[PMT NO]])-ROW(PaymentSchedule3[[#Headers],[PMT NO]])-2)+DAY(LoanStartDate),"")</f>
        <v>51471</v>
      </c>
      <c r="D269" s="19">
        <f>IF(PaymentSchedule3[[#This Row],[PMT NO]]&lt;&gt;"",IF(ROW()-ROW(PaymentSchedule3[[#Headers],[BEGINNING BALANCE]])=1,LoanAmount,INDEX(PaymentSchedule3[ENDING BALANCE],ROW()-ROW(PaymentSchedule3[[#Headers],[BEGINNING BALANCE]])-1)),"")</f>
        <v>1313711.762204133</v>
      </c>
      <c r="E269" s="19">
        <f>IF(PaymentSchedule3[[#This Row],[PMT NO]]&lt;&gt;"",ScheduledPayment,"")</f>
        <v>8358.7693880762818</v>
      </c>
      <c r="F26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6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69" s="19">
        <f>IF(PaymentSchedule3[[#This Row],[PMT NO]]&lt;&gt;"",PaymentSchedule3[[#This Row],[TOTAL PAYMENT]]-PaymentSchedule3[[#This Row],[INTEREST]],"")</f>
        <v>3979.7301807291715</v>
      </c>
      <c r="I269" s="19">
        <f>IF(PaymentSchedule3[[#This Row],[PMT NO]]&lt;&gt;"",PaymentSchedule3[[#This Row],[BEGINNING BALANCE]]*(InterestRate/PaymentsPerYear),"")</f>
        <v>4379.0392073471103</v>
      </c>
      <c r="J26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1309732.0320234038</v>
      </c>
      <c r="K269" s="19">
        <f>IF(PaymentSchedule3[[#This Row],[PMT NO]]&lt;&gt;"",SUM(INDEX(PaymentSchedule3[INTEREST],1,1):PaymentSchedule3[[#This Row],[INTEREST]]),"")</f>
        <v>1466294.5341470833</v>
      </c>
    </row>
    <row r="270" spans="2:11" x14ac:dyDescent="0.3">
      <c r="B270" s="21">
        <f>IF(LoanIsGood,IF(ROW()-ROW(PaymentSchedule3[[#Headers],[PMT NO]])&gt;ScheduledNumberOfPayments,"",ROW()-ROW(PaymentSchedule3[[#Headers],[PMT NO]])),"")</f>
        <v>259</v>
      </c>
      <c r="C270" s="20">
        <f>IF(PaymentSchedule3[[#This Row],[PMT NO]]&lt;&gt;"",EOMONTH(LoanStartDate,ROW(PaymentSchedule3[[#This Row],[PMT NO]])-ROW(PaymentSchedule3[[#Headers],[PMT NO]])-2)+DAY(LoanStartDate),"")</f>
        <v>51502</v>
      </c>
      <c r="D270" s="19">
        <f>IF(PaymentSchedule3[[#This Row],[PMT NO]]&lt;&gt;"",IF(ROW()-ROW(PaymentSchedule3[[#Headers],[BEGINNING BALANCE]])=1,LoanAmount,INDEX(PaymentSchedule3[ENDING BALANCE],ROW()-ROW(PaymentSchedule3[[#Headers],[BEGINNING BALANCE]])-1)),"")</f>
        <v>1309732.0320234038</v>
      </c>
      <c r="E270" s="19">
        <f>IF(PaymentSchedule3[[#This Row],[PMT NO]]&lt;&gt;"",ScheduledPayment,"")</f>
        <v>8358.7693880762818</v>
      </c>
      <c r="F27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7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70" s="19">
        <f>IF(PaymentSchedule3[[#This Row],[PMT NO]]&lt;&gt;"",PaymentSchedule3[[#This Row],[TOTAL PAYMENT]]-PaymentSchedule3[[#This Row],[INTEREST]],"")</f>
        <v>3992.995947998269</v>
      </c>
      <c r="I270" s="19">
        <f>IF(PaymentSchedule3[[#This Row],[PMT NO]]&lt;&gt;"",PaymentSchedule3[[#This Row],[BEGINNING BALANCE]]*(InterestRate/PaymentsPerYear),"")</f>
        <v>4365.7734400780128</v>
      </c>
      <c r="J27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1305739.0360754055</v>
      </c>
      <c r="K270" s="19">
        <f>IF(PaymentSchedule3[[#This Row],[PMT NO]]&lt;&gt;"",SUM(INDEX(PaymentSchedule3[INTEREST],1,1):PaymentSchedule3[[#This Row],[INTEREST]]),"")</f>
        <v>1470660.3075871612</v>
      </c>
    </row>
    <row r="271" spans="2:11" x14ac:dyDescent="0.3">
      <c r="B271" s="21">
        <f>IF(LoanIsGood,IF(ROW()-ROW(PaymentSchedule3[[#Headers],[PMT NO]])&gt;ScheduledNumberOfPayments,"",ROW()-ROW(PaymentSchedule3[[#Headers],[PMT NO]])),"")</f>
        <v>260</v>
      </c>
      <c r="C271" s="20">
        <f>IF(PaymentSchedule3[[#This Row],[PMT NO]]&lt;&gt;"",EOMONTH(LoanStartDate,ROW(PaymentSchedule3[[#This Row],[PMT NO]])-ROW(PaymentSchedule3[[#Headers],[PMT NO]])-2)+DAY(LoanStartDate),"")</f>
        <v>51533</v>
      </c>
      <c r="D271" s="19">
        <f>IF(PaymentSchedule3[[#This Row],[PMT NO]]&lt;&gt;"",IF(ROW()-ROW(PaymentSchedule3[[#Headers],[BEGINNING BALANCE]])=1,LoanAmount,INDEX(PaymentSchedule3[ENDING BALANCE],ROW()-ROW(PaymentSchedule3[[#Headers],[BEGINNING BALANCE]])-1)),"")</f>
        <v>1305739.0360754055</v>
      </c>
      <c r="E271" s="19">
        <f>IF(PaymentSchedule3[[#This Row],[PMT NO]]&lt;&gt;"",ScheduledPayment,"")</f>
        <v>8358.7693880762818</v>
      </c>
      <c r="F27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7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71" s="19">
        <f>IF(PaymentSchedule3[[#This Row],[PMT NO]]&lt;&gt;"",PaymentSchedule3[[#This Row],[TOTAL PAYMENT]]-PaymentSchedule3[[#This Row],[INTEREST]],"")</f>
        <v>4006.3059344915964</v>
      </c>
      <c r="I271" s="19">
        <f>IF(PaymentSchedule3[[#This Row],[PMT NO]]&lt;&gt;"",PaymentSchedule3[[#This Row],[BEGINNING BALANCE]]*(InterestRate/PaymentsPerYear),"")</f>
        <v>4352.4634535846853</v>
      </c>
      <c r="J27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1301732.730140914</v>
      </c>
      <c r="K271" s="19">
        <f>IF(PaymentSchedule3[[#This Row],[PMT NO]]&lt;&gt;"",SUM(INDEX(PaymentSchedule3[INTEREST],1,1):PaymentSchedule3[[#This Row],[INTEREST]]),"")</f>
        <v>1475012.7710407458</v>
      </c>
    </row>
    <row r="272" spans="2:11" x14ac:dyDescent="0.3">
      <c r="B272" s="21">
        <f>IF(LoanIsGood,IF(ROW()-ROW(PaymentSchedule3[[#Headers],[PMT NO]])&gt;ScheduledNumberOfPayments,"",ROW()-ROW(PaymentSchedule3[[#Headers],[PMT NO]])),"")</f>
        <v>261</v>
      </c>
      <c r="C272" s="20">
        <f>IF(PaymentSchedule3[[#This Row],[PMT NO]]&lt;&gt;"",EOMONTH(LoanStartDate,ROW(PaymentSchedule3[[#This Row],[PMT NO]])-ROW(PaymentSchedule3[[#Headers],[PMT NO]])-2)+DAY(LoanStartDate),"")</f>
        <v>51561</v>
      </c>
      <c r="D272" s="19">
        <f>IF(PaymentSchedule3[[#This Row],[PMT NO]]&lt;&gt;"",IF(ROW()-ROW(PaymentSchedule3[[#Headers],[BEGINNING BALANCE]])=1,LoanAmount,INDEX(PaymentSchedule3[ENDING BALANCE],ROW()-ROW(PaymentSchedule3[[#Headers],[BEGINNING BALANCE]])-1)),"")</f>
        <v>1301732.730140914</v>
      </c>
      <c r="E272" s="19">
        <f>IF(PaymentSchedule3[[#This Row],[PMT NO]]&lt;&gt;"",ScheduledPayment,"")</f>
        <v>8358.7693880762818</v>
      </c>
      <c r="F27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7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72" s="19">
        <f>IF(PaymentSchedule3[[#This Row],[PMT NO]]&lt;&gt;"",PaymentSchedule3[[#This Row],[TOTAL PAYMENT]]-PaymentSchedule3[[#This Row],[INTEREST]],"")</f>
        <v>4019.6602876065681</v>
      </c>
      <c r="I272" s="19">
        <f>IF(PaymentSchedule3[[#This Row],[PMT NO]]&lt;&gt;"",PaymentSchedule3[[#This Row],[BEGINNING BALANCE]]*(InterestRate/PaymentsPerYear),"")</f>
        <v>4339.1091004697137</v>
      </c>
      <c r="J27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1297713.0698533074</v>
      </c>
      <c r="K272" s="19">
        <f>IF(PaymentSchedule3[[#This Row],[PMT NO]]&lt;&gt;"",SUM(INDEX(PaymentSchedule3[INTEREST],1,1):PaymentSchedule3[[#This Row],[INTEREST]]),"")</f>
        <v>1479351.8801412154</v>
      </c>
    </row>
    <row r="273" spans="2:11" x14ac:dyDescent="0.3">
      <c r="B273" s="21">
        <f>IF(LoanIsGood,IF(ROW()-ROW(PaymentSchedule3[[#Headers],[PMT NO]])&gt;ScheduledNumberOfPayments,"",ROW()-ROW(PaymentSchedule3[[#Headers],[PMT NO]])),"")</f>
        <v>262</v>
      </c>
      <c r="C273" s="20">
        <f>IF(PaymentSchedule3[[#This Row],[PMT NO]]&lt;&gt;"",EOMONTH(LoanStartDate,ROW(PaymentSchedule3[[#This Row],[PMT NO]])-ROW(PaymentSchedule3[[#Headers],[PMT NO]])-2)+DAY(LoanStartDate),"")</f>
        <v>51592</v>
      </c>
      <c r="D273" s="19">
        <f>IF(PaymentSchedule3[[#This Row],[PMT NO]]&lt;&gt;"",IF(ROW()-ROW(PaymentSchedule3[[#Headers],[BEGINNING BALANCE]])=1,LoanAmount,INDEX(PaymentSchedule3[ENDING BALANCE],ROW()-ROW(PaymentSchedule3[[#Headers],[BEGINNING BALANCE]])-1)),"")</f>
        <v>1297713.0698533074</v>
      </c>
      <c r="E273" s="19">
        <f>IF(PaymentSchedule3[[#This Row],[PMT NO]]&lt;&gt;"",ScheduledPayment,"")</f>
        <v>8358.7693880762818</v>
      </c>
      <c r="F27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7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73" s="19">
        <f>IF(PaymentSchedule3[[#This Row],[PMT NO]]&lt;&gt;"",PaymentSchedule3[[#This Row],[TOTAL PAYMENT]]-PaymentSchedule3[[#This Row],[INTEREST]],"")</f>
        <v>4033.0591552319229</v>
      </c>
      <c r="I273" s="19">
        <f>IF(PaymentSchedule3[[#This Row],[PMT NO]]&lt;&gt;"",PaymentSchedule3[[#This Row],[BEGINNING BALANCE]]*(InterestRate/PaymentsPerYear),"")</f>
        <v>4325.7102328443589</v>
      </c>
      <c r="J27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1293680.0106980756</v>
      </c>
      <c r="K273" s="19">
        <f>IF(PaymentSchedule3[[#This Row],[PMT NO]]&lt;&gt;"",SUM(INDEX(PaymentSchedule3[INTEREST],1,1):PaymentSchedule3[[#This Row],[INTEREST]]),"")</f>
        <v>1483677.5903740597</v>
      </c>
    </row>
    <row r="274" spans="2:11" x14ac:dyDescent="0.3">
      <c r="B274" s="21">
        <f>IF(LoanIsGood,IF(ROW()-ROW(PaymentSchedule3[[#Headers],[PMT NO]])&gt;ScheduledNumberOfPayments,"",ROW()-ROW(PaymentSchedule3[[#Headers],[PMT NO]])),"")</f>
        <v>263</v>
      </c>
      <c r="C274" s="20">
        <f>IF(PaymentSchedule3[[#This Row],[PMT NO]]&lt;&gt;"",EOMONTH(LoanStartDate,ROW(PaymentSchedule3[[#This Row],[PMT NO]])-ROW(PaymentSchedule3[[#Headers],[PMT NO]])-2)+DAY(LoanStartDate),"")</f>
        <v>51622</v>
      </c>
      <c r="D274" s="19">
        <f>IF(PaymentSchedule3[[#This Row],[PMT NO]]&lt;&gt;"",IF(ROW()-ROW(PaymentSchedule3[[#Headers],[BEGINNING BALANCE]])=1,LoanAmount,INDEX(PaymentSchedule3[ENDING BALANCE],ROW()-ROW(PaymentSchedule3[[#Headers],[BEGINNING BALANCE]])-1)),"")</f>
        <v>1293680.0106980756</v>
      </c>
      <c r="E274" s="19">
        <f>IF(PaymentSchedule3[[#This Row],[PMT NO]]&lt;&gt;"",ScheduledPayment,"")</f>
        <v>8358.7693880762818</v>
      </c>
      <c r="F27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7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74" s="19">
        <f>IF(PaymentSchedule3[[#This Row],[PMT NO]]&lt;&gt;"",PaymentSchedule3[[#This Row],[TOTAL PAYMENT]]-PaymentSchedule3[[#This Row],[INTEREST]],"")</f>
        <v>4046.5026857493631</v>
      </c>
      <c r="I274" s="19">
        <f>IF(PaymentSchedule3[[#This Row],[PMT NO]]&lt;&gt;"",PaymentSchedule3[[#This Row],[BEGINNING BALANCE]]*(InterestRate/PaymentsPerYear),"")</f>
        <v>4312.2667023269187</v>
      </c>
      <c r="J27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1289633.5080123262</v>
      </c>
      <c r="K274" s="19">
        <f>IF(PaymentSchedule3[[#This Row],[PMT NO]]&lt;&gt;"",SUM(INDEX(PaymentSchedule3[INTEREST],1,1):PaymentSchedule3[[#This Row],[INTEREST]]),"")</f>
        <v>1487989.8570763867</v>
      </c>
    </row>
    <row r="275" spans="2:11" x14ac:dyDescent="0.3">
      <c r="B275" s="21">
        <f>IF(LoanIsGood,IF(ROW()-ROW(PaymentSchedule3[[#Headers],[PMT NO]])&gt;ScheduledNumberOfPayments,"",ROW()-ROW(PaymentSchedule3[[#Headers],[PMT NO]])),"")</f>
        <v>264</v>
      </c>
      <c r="C275" s="20">
        <f>IF(PaymentSchedule3[[#This Row],[PMT NO]]&lt;&gt;"",EOMONTH(LoanStartDate,ROW(PaymentSchedule3[[#This Row],[PMT NO]])-ROW(PaymentSchedule3[[#Headers],[PMT NO]])-2)+DAY(LoanStartDate),"")</f>
        <v>51653</v>
      </c>
      <c r="D275" s="19">
        <f>IF(PaymentSchedule3[[#This Row],[PMT NO]]&lt;&gt;"",IF(ROW()-ROW(PaymentSchedule3[[#Headers],[BEGINNING BALANCE]])=1,LoanAmount,INDEX(PaymentSchedule3[ENDING BALANCE],ROW()-ROW(PaymentSchedule3[[#Headers],[BEGINNING BALANCE]])-1)),"")</f>
        <v>1289633.5080123262</v>
      </c>
      <c r="E275" s="19">
        <f>IF(PaymentSchedule3[[#This Row],[PMT NO]]&lt;&gt;"",ScheduledPayment,"")</f>
        <v>8358.7693880762818</v>
      </c>
      <c r="F27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7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75" s="19">
        <f>IF(PaymentSchedule3[[#This Row],[PMT NO]]&lt;&gt;"",PaymentSchedule3[[#This Row],[TOTAL PAYMENT]]-PaymentSchedule3[[#This Row],[INTEREST]],"")</f>
        <v>4059.9910280351942</v>
      </c>
      <c r="I275" s="19">
        <f>IF(PaymentSchedule3[[#This Row],[PMT NO]]&lt;&gt;"",PaymentSchedule3[[#This Row],[BEGINNING BALANCE]]*(InterestRate/PaymentsPerYear),"")</f>
        <v>4298.7783600410876</v>
      </c>
      <c r="J27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1285573.5169842909</v>
      </c>
      <c r="K275" s="19">
        <f>IF(PaymentSchedule3[[#This Row],[PMT NO]]&lt;&gt;"",SUM(INDEX(PaymentSchedule3[INTEREST],1,1):PaymentSchedule3[[#This Row],[INTEREST]]),"")</f>
        <v>1492288.6354364278</v>
      </c>
    </row>
    <row r="276" spans="2:11" x14ac:dyDescent="0.3">
      <c r="B276" s="21">
        <f>IF(LoanIsGood,IF(ROW()-ROW(PaymentSchedule3[[#Headers],[PMT NO]])&gt;ScheduledNumberOfPayments,"",ROW()-ROW(PaymentSchedule3[[#Headers],[PMT NO]])),"")</f>
        <v>265</v>
      </c>
      <c r="C276" s="20">
        <f>IF(PaymentSchedule3[[#This Row],[PMT NO]]&lt;&gt;"",EOMONTH(LoanStartDate,ROW(PaymentSchedule3[[#This Row],[PMT NO]])-ROW(PaymentSchedule3[[#Headers],[PMT NO]])-2)+DAY(LoanStartDate),"")</f>
        <v>51683</v>
      </c>
      <c r="D276" s="19">
        <f>IF(PaymentSchedule3[[#This Row],[PMT NO]]&lt;&gt;"",IF(ROW()-ROW(PaymentSchedule3[[#Headers],[BEGINNING BALANCE]])=1,LoanAmount,INDEX(PaymentSchedule3[ENDING BALANCE],ROW()-ROW(PaymentSchedule3[[#Headers],[BEGINNING BALANCE]])-1)),"")</f>
        <v>1285573.5169842909</v>
      </c>
      <c r="E276" s="19">
        <f>IF(PaymentSchedule3[[#This Row],[PMT NO]]&lt;&gt;"",ScheduledPayment,"")</f>
        <v>8358.7693880762818</v>
      </c>
      <c r="F27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7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76" s="19">
        <f>IF(PaymentSchedule3[[#This Row],[PMT NO]]&lt;&gt;"",PaymentSchedule3[[#This Row],[TOTAL PAYMENT]]-PaymentSchedule3[[#This Row],[INTEREST]],"")</f>
        <v>4073.5243314619784</v>
      </c>
      <c r="I276" s="19">
        <f>IF(PaymentSchedule3[[#This Row],[PMT NO]]&lt;&gt;"",PaymentSchedule3[[#This Row],[BEGINNING BALANCE]]*(InterestRate/PaymentsPerYear),"")</f>
        <v>4285.2450566143034</v>
      </c>
      <c r="J27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1281499.992652829</v>
      </c>
      <c r="K276" s="19">
        <f>IF(PaymentSchedule3[[#This Row],[PMT NO]]&lt;&gt;"",SUM(INDEX(PaymentSchedule3[INTEREST],1,1):PaymentSchedule3[[#This Row],[INTEREST]]),"")</f>
        <v>1496573.8804930421</v>
      </c>
    </row>
    <row r="277" spans="2:11" x14ac:dyDescent="0.3">
      <c r="B277" s="21">
        <f>IF(LoanIsGood,IF(ROW()-ROW(PaymentSchedule3[[#Headers],[PMT NO]])&gt;ScheduledNumberOfPayments,"",ROW()-ROW(PaymentSchedule3[[#Headers],[PMT NO]])),"")</f>
        <v>266</v>
      </c>
      <c r="C277" s="20">
        <f>IF(PaymentSchedule3[[#This Row],[PMT NO]]&lt;&gt;"",EOMONTH(LoanStartDate,ROW(PaymentSchedule3[[#This Row],[PMT NO]])-ROW(PaymentSchedule3[[#Headers],[PMT NO]])-2)+DAY(LoanStartDate),"")</f>
        <v>51714</v>
      </c>
      <c r="D277" s="19">
        <f>IF(PaymentSchedule3[[#This Row],[PMT NO]]&lt;&gt;"",IF(ROW()-ROW(PaymentSchedule3[[#Headers],[BEGINNING BALANCE]])=1,LoanAmount,INDEX(PaymentSchedule3[ENDING BALANCE],ROW()-ROW(PaymentSchedule3[[#Headers],[BEGINNING BALANCE]])-1)),"")</f>
        <v>1281499.992652829</v>
      </c>
      <c r="E277" s="19">
        <f>IF(PaymentSchedule3[[#This Row],[PMT NO]]&lt;&gt;"",ScheduledPayment,"")</f>
        <v>8358.7693880762818</v>
      </c>
      <c r="F27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7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77" s="19">
        <f>IF(PaymentSchedule3[[#This Row],[PMT NO]]&lt;&gt;"",PaymentSchedule3[[#This Row],[TOTAL PAYMENT]]-PaymentSchedule3[[#This Row],[INTEREST]],"")</f>
        <v>4087.1027459001843</v>
      </c>
      <c r="I277" s="19">
        <f>IF(PaymentSchedule3[[#This Row],[PMT NO]]&lt;&gt;"",PaymentSchedule3[[#This Row],[BEGINNING BALANCE]]*(InterestRate/PaymentsPerYear),"")</f>
        <v>4271.6666421760974</v>
      </c>
      <c r="J27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1277412.8899069289</v>
      </c>
      <c r="K277" s="19">
        <f>IF(PaymentSchedule3[[#This Row],[PMT NO]]&lt;&gt;"",SUM(INDEX(PaymentSchedule3[INTEREST],1,1):PaymentSchedule3[[#This Row],[INTEREST]]),"")</f>
        <v>1500845.547135218</v>
      </c>
    </row>
    <row r="278" spans="2:11" x14ac:dyDescent="0.3">
      <c r="B278" s="21">
        <f>IF(LoanIsGood,IF(ROW()-ROW(PaymentSchedule3[[#Headers],[PMT NO]])&gt;ScheduledNumberOfPayments,"",ROW()-ROW(PaymentSchedule3[[#Headers],[PMT NO]])),"")</f>
        <v>267</v>
      </c>
      <c r="C278" s="20">
        <f>IF(PaymentSchedule3[[#This Row],[PMT NO]]&lt;&gt;"",EOMONTH(LoanStartDate,ROW(PaymentSchedule3[[#This Row],[PMT NO]])-ROW(PaymentSchedule3[[#Headers],[PMT NO]])-2)+DAY(LoanStartDate),"")</f>
        <v>51745</v>
      </c>
      <c r="D278" s="19">
        <f>IF(PaymentSchedule3[[#This Row],[PMT NO]]&lt;&gt;"",IF(ROW()-ROW(PaymentSchedule3[[#Headers],[BEGINNING BALANCE]])=1,LoanAmount,INDEX(PaymentSchedule3[ENDING BALANCE],ROW()-ROW(PaymentSchedule3[[#Headers],[BEGINNING BALANCE]])-1)),"")</f>
        <v>1277412.8899069289</v>
      </c>
      <c r="E278" s="19">
        <f>IF(PaymentSchedule3[[#This Row],[PMT NO]]&lt;&gt;"",ScheduledPayment,"")</f>
        <v>8358.7693880762818</v>
      </c>
      <c r="F27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7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78" s="19">
        <f>IF(PaymentSchedule3[[#This Row],[PMT NO]]&lt;&gt;"",PaymentSchedule3[[#This Row],[TOTAL PAYMENT]]-PaymentSchedule3[[#This Row],[INTEREST]],"")</f>
        <v>4100.7264217198517</v>
      </c>
      <c r="I278" s="19">
        <f>IF(PaymentSchedule3[[#This Row],[PMT NO]]&lt;&gt;"",PaymentSchedule3[[#This Row],[BEGINNING BALANCE]]*(InterestRate/PaymentsPerYear),"")</f>
        <v>4258.04296635643</v>
      </c>
      <c r="J27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1273312.163485209</v>
      </c>
      <c r="K278" s="19">
        <f>IF(PaymentSchedule3[[#This Row],[PMT NO]]&lt;&gt;"",SUM(INDEX(PaymentSchedule3[INTEREST],1,1):PaymentSchedule3[[#This Row],[INTEREST]]),"")</f>
        <v>1505103.5901015745</v>
      </c>
    </row>
    <row r="279" spans="2:11" x14ac:dyDescent="0.3">
      <c r="B279" s="21">
        <f>IF(LoanIsGood,IF(ROW()-ROW(PaymentSchedule3[[#Headers],[PMT NO]])&gt;ScheduledNumberOfPayments,"",ROW()-ROW(PaymentSchedule3[[#Headers],[PMT NO]])),"")</f>
        <v>268</v>
      </c>
      <c r="C279" s="20">
        <f>IF(PaymentSchedule3[[#This Row],[PMT NO]]&lt;&gt;"",EOMONTH(LoanStartDate,ROW(PaymentSchedule3[[#This Row],[PMT NO]])-ROW(PaymentSchedule3[[#Headers],[PMT NO]])-2)+DAY(LoanStartDate),"")</f>
        <v>51775</v>
      </c>
      <c r="D279" s="19">
        <f>IF(PaymentSchedule3[[#This Row],[PMT NO]]&lt;&gt;"",IF(ROW()-ROW(PaymentSchedule3[[#Headers],[BEGINNING BALANCE]])=1,LoanAmount,INDEX(PaymentSchedule3[ENDING BALANCE],ROW()-ROW(PaymentSchedule3[[#Headers],[BEGINNING BALANCE]])-1)),"")</f>
        <v>1273312.163485209</v>
      </c>
      <c r="E279" s="19">
        <f>IF(PaymentSchedule3[[#This Row],[PMT NO]]&lt;&gt;"",ScheduledPayment,"")</f>
        <v>8358.7693880762818</v>
      </c>
      <c r="F27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7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79" s="19">
        <f>IF(PaymentSchedule3[[#This Row],[PMT NO]]&lt;&gt;"",PaymentSchedule3[[#This Row],[TOTAL PAYMENT]]-PaymentSchedule3[[#This Row],[INTEREST]],"")</f>
        <v>4114.3955097922517</v>
      </c>
      <c r="I279" s="19">
        <f>IF(PaymentSchedule3[[#This Row],[PMT NO]]&lt;&gt;"",PaymentSchedule3[[#This Row],[BEGINNING BALANCE]]*(InterestRate/PaymentsPerYear),"")</f>
        <v>4244.3738782840301</v>
      </c>
      <c r="J27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1269197.7679754167</v>
      </c>
      <c r="K279" s="19">
        <f>IF(PaymentSchedule3[[#This Row],[PMT NO]]&lt;&gt;"",SUM(INDEX(PaymentSchedule3[INTEREST],1,1):PaymentSchedule3[[#This Row],[INTEREST]]),"")</f>
        <v>1509347.9639798587</v>
      </c>
    </row>
    <row r="280" spans="2:11" x14ac:dyDescent="0.3">
      <c r="B280" s="21">
        <f>IF(LoanIsGood,IF(ROW()-ROW(PaymentSchedule3[[#Headers],[PMT NO]])&gt;ScheduledNumberOfPayments,"",ROW()-ROW(PaymentSchedule3[[#Headers],[PMT NO]])),"")</f>
        <v>269</v>
      </c>
      <c r="C280" s="20">
        <f>IF(PaymentSchedule3[[#This Row],[PMT NO]]&lt;&gt;"",EOMONTH(LoanStartDate,ROW(PaymentSchedule3[[#This Row],[PMT NO]])-ROW(PaymentSchedule3[[#Headers],[PMT NO]])-2)+DAY(LoanStartDate),"")</f>
        <v>51806</v>
      </c>
      <c r="D280" s="19">
        <f>IF(PaymentSchedule3[[#This Row],[PMT NO]]&lt;&gt;"",IF(ROW()-ROW(PaymentSchedule3[[#Headers],[BEGINNING BALANCE]])=1,LoanAmount,INDEX(PaymentSchedule3[ENDING BALANCE],ROW()-ROW(PaymentSchedule3[[#Headers],[BEGINNING BALANCE]])-1)),"")</f>
        <v>1269197.7679754167</v>
      </c>
      <c r="E280" s="19">
        <f>IF(PaymentSchedule3[[#This Row],[PMT NO]]&lt;&gt;"",ScheduledPayment,"")</f>
        <v>8358.7693880762818</v>
      </c>
      <c r="F28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8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80" s="19">
        <f>IF(PaymentSchedule3[[#This Row],[PMT NO]]&lt;&gt;"",PaymentSchedule3[[#This Row],[TOTAL PAYMENT]]-PaymentSchedule3[[#This Row],[INTEREST]],"")</f>
        <v>4128.1101614915588</v>
      </c>
      <c r="I280" s="19">
        <f>IF(PaymentSchedule3[[#This Row],[PMT NO]]&lt;&gt;"",PaymentSchedule3[[#This Row],[BEGINNING BALANCE]]*(InterestRate/PaymentsPerYear),"")</f>
        <v>4230.659226584723</v>
      </c>
      <c r="J28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1265069.6578139251</v>
      </c>
      <c r="K280" s="19">
        <f>IF(PaymentSchedule3[[#This Row],[PMT NO]]&lt;&gt;"",SUM(INDEX(PaymentSchedule3[INTEREST],1,1):PaymentSchedule3[[#This Row],[INTEREST]]),"")</f>
        <v>1513578.6232064434</v>
      </c>
    </row>
    <row r="281" spans="2:11" x14ac:dyDescent="0.3">
      <c r="B281" s="21">
        <f>IF(LoanIsGood,IF(ROW()-ROW(PaymentSchedule3[[#Headers],[PMT NO]])&gt;ScheduledNumberOfPayments,"",ROW()-ROW(PaymentSchedule3[[#Headers],[PMT NO]])),"")</f>
        <v>270</v>
      </c>
      <c r="C281" s="20">
        <f>IF(PaymentSchedule3[[#This Row],[PMT NO]]&lt;&gt;"",EOMONTH(LoanStartDate,ROW(PaymentSchedule3[[#This Row],[PMT NO]])-ROW(PaymentSchedule3[[#Headers],[PMT NO]])-2)+DAY(LoanStartDate),"")</f>
        <v>51836</v>
      </c>
      <c r="D281" s="19">
        <f>IF(PaymentSchedule3[[#This Row],[PMT NO]]&lt;&gt;"",IF(ROW()-ROW(PaymentSchedule3[[#Headers],[BEGINNING BALANCE]])=1,LoanAmount,INDEX(PaymentSchedule3[ENDING BALANCE],ROW()-ROW(PaymentSchedule3[[#Headers],[BEGINNING BALANCE]])-1)),"")</f>
        <v>1265069.6578139251</v>
      </c>
      <c r="E281" s="19">
        <f>IF(PaymentSchedule3[[#This Row],[PMT NO]]&lt;&gt;"",ScheduledPayment,"")</f>
        <v>8358.7693880762818</v>
      </c>
      <c r="F28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8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81" s="19">
        <f>IF(PaymentSchedule3[[#This Row],[PMT NO]]&lt;&gt;"",PaymentSchedule3[[#This Row],[TOTAL PAYMENT]]-PaymentSchedule3[[#This Row],[INTEREST]],"")</f>
        <v>4141.8705286965314</v>
      </c>
      <c r="I281" s="19">
        <f>IF(PaymentSchedule3[[#This Row],[PMT NO]]&lt;&gt;"",PaymentSchedule3[[#This Row],[BEGINNING BALANCE]]*(InterestRate/PaymentsPerYear),"")</f>
        <v>4216.8988593797503</v>
      </c>
      <c r="J28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1260927.7872852285</v>
      </c>
      <c r="K281" s="19">
        <f>IF(PaymentSchedule3[[#This Row],[PMT NO]]&lt;&gt;"",SUM(INDEX(PaymentSchedule3[INTEREST],1,1):PaymentSchedule3[[#This Row],[INTEREST]]),"")</f>
        <v>1517795.5220658232</v>
      </c>
    </row>
    <row r="282" spans="2:11" x14ac:dyDescent="0.3">
      <c r="B282" s="21">
        <f>IF(LoanIsGood,IF(ROW()-ROW(PaymentSchedule3[[#Headers],[PMT NO]])&gt;ScheduledNumberOfPayments,"",ROW()-ROW(PaymentSchedule3[[#Headers],[PMT NO]])),"")</f>
        <v>271</v>
      </c>
      <c r="C282" s="20">
        <f>IF(PaymentSchedule3[[#This Row],[PMT NO]]&lt;&gt;"",EOMONTH(LoanStartDate,ROW(PaymentSchedule3[[#This Row],[PMT NO]])-ROW(PaymentSchedule3[[#Headers],[PMT NO]])-2)+DAY(LoanStartDate),"")</f>
        <v>51867</v>
      </c>
      <c r="D282" s="19">
        <f>IF(PaymentSchedule3[[#This Row],[PMT NO]]&lt;&gt;"",IF(ROW()-ROW(PaymentSchedule3[[#Headers],[BEGINNING BALANCE]])=1,LoanAmount,INDEX(PaymentSchedule3[ENDING BALANCE],ROW()-ROW(PaymentSchedule3[[#Headers],[BEGINNING BALANCE]])-1)),"")</f>
        <v>1260927.7872852285</v>
      </c>
      <c r="E282" s="19">
        <f>IF(PaymentSchedule3[[#This Row],[PMT NO]]&lt;&gt;"",ScheduledPayment,"")</f>
        <v>8358.7693880762818</v>
      </c>
      <c r="F28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8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82" s="19">
        <f>IF(PaymentSchedule3[[#This Row],[PMT NO]]&lt;&gt;"",PaymentSchedule3[[#This Row],[TOTAL PAYMENT]]-PaymentSchedule3[[#This Row],[INTEREST]],"")</f>
        <v>4155.6767637921866</v>
      </c>
      <c r="I282" s="19">
        <f>IF(PaymentSchedule3[[#This Row],[PMT NO]]&lt;&gt;"",PaymentSchedule3[[#This Row],[BEGINNING BALANCE]]*(InterestRate/PaymentsPerYear),"")</f>
        <v>4203.0926242840951</v>
      </c>
      <c r="J28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1256772.1105214362</v>
      </c>
      <c r="K282" s="19">
        <f>IF(PaymentSchedule3[[#This Row],[PMT NO]]&lt;&gt;"",SUM(INDEX(PaymentSchedule3[INTEREST],1,1):PaymentSchedule3[[#This Row],[INTEREST]]),"")</f>
        <v>1521998.6146901073</v>
      </c>
    </row>
    <row r="283" spans="2:11" x14ac:dyDescent="0.3">
      <c r="B283" s="21">
        <f>IF(LoanIsGood,IF(ROW()-ROW(PaymentSchedule3[[#Headers],[PMT NO]])&gt;ScheduledNumberOfPayments,"",ROW()-ROW(PaymentSchedule3[[#Headers],[PMT NO]])),"")</f>
        <v>272</v>
      </c>
      <c r="C283" s="20">
        <f>IF(PaymentSchedule3[[#This Row],[PMT NO]]&lt;&gt;"",EOMONTH(LoanStartDate,ROW(PaymentSchedule3[[#This Row],[PMT NO]])-ROW(PaymentSchedule3[[#Headers],[PMT NO]])-2)+DAY(LoanStartDate),"")</f>
        <v>51898</v>
      </c>
      <c r="D283" s="19">
        <f>IF(PaymentSchedule3[[#This Row],[PMT NO]]&lt;&gt;"",IF(ROW()-ROW(PaymentSchedule3[[#Headers],[BEGINNING BALANCE]])=1,LoanAmount,INDEX(PaymentSchedule3[ENDING BALANCE],ROW()-ROW(PaymentSchedule3[[#Headers],[BEGINNING BALANCE]])-1)),"")</f>
        <v>1256772.1105214362</v>
      </c>
      <c r="E283" s="19">
        <f>IF(PaymentSchedule3[[#This Row],[PMT NO]]&lt;&gt;"",ScheduledPayment,"")</f>
        <v>8358.7693880762818</v>
      </c>
      <c r="F28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8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83" s="19">
        <f>IF(PaymentSchedule3[[#This Row],[PMT NO]]&lt;&gt;"",PaymentSchedule3[[#This Row],[TOTAL PAYMENT]]-PaymentSchedule3[[#This Row],[INTEREST]],"")</f>
        <v>4169.5290196714941</v>
      </c>
      <c r="I283" s="19">
        <f>IF(PaymentSchedule3[[#This Row],[PMT NO]]&lt;&gt;"",PaymentSchedule3[[#This Row],[BEGINNING BALANCE]]*(InterestRate/PaymentsPerYear),"")</f>
        <v>4189.2403684047877</v>
      </c>
      <c r="J28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1252602.5815017647</v>
      </c>
      <c r="K283" s="19">
        <f>IF(PaymentSchedule3[[#This Row],[PMT NO]]&lt;&gt;"",SUM(INDEX(PaymentSchedule3[INTEREST],1,1):PaymentSchedule3[[#This Row],[INTEREST]]),"")</f>
        <v>1526187.8550585122</v>
      </c>
    </row>
    <row r="284" spans="2:11" x14ac:dyDescent="0.3">
      <c r="B284" s="21">
        <f>IF(LoanIsGood,IF(ROW()-ROW(PaymentSchedule3[[#Headers],[PMT NO]])&gt;ScheduledNumberOfPayments,"",ROW()-ROW(PaymentSchedule3[[#Headers],[PMT NO]])),"")</f>
        <v>273</v>
      </c>
      <c r="C284" s="20">
        <f>IF(PaymentSchedule3[[#This Row],[PMT NO]]&lt;&gt;"",EOMONTH(LoanStartDate,ROW(PaymentSchedule3[[#This Row],[PMT NO]])-ROW(PaymentSchedule3[[#Headers],[PMT NO]])-2)+DAY(LoanStartDate),"")</f>
        <v>51926</v>
      </c>
      <c r="D284" s="19">
        <f>IF(PaymentSchedule3[[#This Row],[PMT NO]]&lt;&gt;"",IF(ROW()-ROW(PaymentSchedule3[[#Headers],[BEGINNING BALANCE]])=1,LoanAmount,INDEX(PaymentSchedule3[ENDING BALANCE],ROW()-ROW(PaymentSchedule3[[#Headers],[BEGINNING BALANCE]])-1)),"")</f>
        <v>1252602.5815017647</v>
      </c>
      <c r="E284" s="19">
        <f>IF(PaymentSchedule3[[#This Row],[PMT NO]]&lt;&gt;"",ScheduledPayment,"")</f>
        <v>8358.7693880762818</v>
      </c>
      <c r="F28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8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84" s="19">
        <f>IF(PaymentSchedule3[[#This Row],[PMT NO]]&lt;&gt;"",PaymentSchedule3[[#This Row],[TOTAL PAYMENT]]-PaymentSchedule3[[#This Row],[INTEREST]],"")</f>
        <v>4183.4274497370661</v>
      </c>
      <c r="I284" s="19">
        <f>IF(PaymentSchedule3[[#This Row],[PMT NO]]&lt;&gt;"",PaymentSchedule3[[#This Row],[BEGINNING BALANCE]]*(InterestRate/PaymentsPerYear),"")</f>
        <v>4175.3419383392156</v>
      </c>
      <c r="J28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1248419.1540520277</v>
      </c>
      <c r="K284" s="19">
        <f>IF(PaymentSchedule3[[#This Row],[PMT NO]]&lt;&gt;"",SUM(INDEX(PaymentSchedule3[INTEREST],1,1):PaymentSchedule3[[#This Row],[INTEREST]]),"")</f>
        <v>1530363.1969968514</v>
      </c>
    </row>
    <row r="285" spans="2:11" x14ac:dyDescent="0.3">
      <c r="B285" s="21">
        <f>IF(LoanIsGood,IF(ROW()-ROW(PaymentSchedule3[[#Headers],[PMT NO]])&gt;ScheduledNumberOfPayments,"",ROW()-ROW(PaymentSchedule3[[#Headers],[PMT NO]])),"")</f>
        <v>274</v>
      </c>
      <c r="C285" s="20">
        <f>IF(PaymentSchedule3[[#This Row],[PMT NO]]&lt;&gt;"",EOMONTH(LoanStartDate,ROW(PaymentSchedule3[[#This Row],[PMT NO]])-ROW(PaymentSchedule3[[#Headers],[PMT NO]])-2)+DAY(LoanStartDate),"")</f>
        <v>51957</v>
      </c>
      <c r="D285" s="19">
        <f>IF(PaymentSchedule3[[#This Row],[PMT NO]]&lt;&gt;"",IF(ROW()-ROW(PaymentSchedule3[[#Headers],[BEGINNING BALANCE]])=1,LoanAmount,INDEX(PaymentSchedule3[ENDING BALANCE],ROW()-ROW(PaymentSchedule3[[#Headers],[BEGINNING BALANCE]])-1)),"")</f>
        <v>1248419.1540520277</v>
      </c>
      <c r="E285" s="19">
        <f>IF(PaymentSchedule3[[#This Row],[PMT NO]]&lt;&gt;"",ScheduledPayment,"")</f>
        <v>8358.7693880762818</v>
      </c>
      <c r="F28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8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85" s="19">
        <f>IF(PaymentSchedule3[[#This Row],[PMT NO]]&lt;&gt;"",PaymentSchedule3[[#This Row],[TOTAL PAYMENT]]-PaymentSchedule3[[#This Row],[INTEREST]],"")</f>
        <v>4197.3722079028557</v>
      </c>
      <c r="I285" s="19">
        <f>IF(PaymentSchedule3[[#This Row],[PMT NO]]&lt;&gt;"",PaymentSchedule3[[#This Row],[BEGINNING BALANCE]]*(InterestRate/PaymentsPerYear),"")</f>
        <v>4161.397180173426</v>
      </c>
      <c r="J28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1244221.7818441249</v>
      </c>
      <c r="K285" s="19">
        <f>IF(PaymentSchedule3[[#This Row],[PMT NO]]&lt;&gt;"",SUM(INDEX(PaymentSchedule3[INTEREST],1,1):PaymentSchedule3[[#This Row],[INTEREST]]),"")</f>
        <v>1534524.5941770247</v>
      </c>
    </row>
    <row r="286" spans="2:11" x14ac:dyDescent="0.3">
      <c r="B286" s="21">
        <f>IF(LoanIsGood,IF(ROW()-ROW(PaymentSchedule3[[#Headers],[PMT NO]])&gt;ScheduledNumberOfPayments,"",ROW()-ROW(PaymentSchedule3[[#Headers],[PMT NO]])),"")</f>
        <v>275</v>
      </c>
      <c r="C286" s="20">
        <f>IF(PaymentSchedule3[[#This Row],[PMT NO]]&lt;&gt;"",EOMONTH(LoanStartDate,ROW(PaymentSchedule3[[#This Row],[PMT NO]])-ROW(PaymentSchedule3[[#Headers],[PMT NO]])-2)+DAY(LoanStartDate),"")</f>
        <v>51987</v>
      </c>
      <c r="D286" s="19">
        <f>IF(PaymentSchedule3[[#This Row],[PMT NO]]&lt;&gt;"",IF(ROW()-ROW(PaymentSchedule3[[#Headers],[BEGINNING BALANCE]])=1,LoanAmount,INDEX(PaymentSchedule3[ENDING BALANCE],ROW()-ROW(PaymentSchedule3[[#Headers],[BEGINNING BALANCE]])-1)),"")</f>
        <v>1244221.7818441249</v>
      </c>
      <c r="E286" s="19">
        <f>IF(PaymentSchedule3[[#This Row],[PMT NO]]&lt;&gt;"",ScheduledPayment,"")</f>
        <v>8358.7693880762818</v>
      </c>
      <c r="F28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8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86" s="19">
        <f>IF(PaymentSchedule3[[#This Row],[PMT NO]]&lt;&gt;"",PaymentSchedule3[[#This Row],[TOTAL PAYMENT]]-PaymentSchedule3[[#This Row],[INTEREST]],"")</f>
        <v>4211.3634485958655</v>
      </c>
      <c r="I286" s="19">
        <f>IF(PaymentSchedule3[[#This Row],[PMT NO]]&lt;&gt;"",PaymentSchedule3[[#This Row],[BEGINNING BALANCE]]*(InterestRate/PaymentsPerYear),"")</f>
        <v>4147.4059394804162</v>
      </c>
      <c r="J28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1240010.418395529</v>
      </c>
      <c r="K286" s="19">
        <f>IF(PaymentSchedule3[[#This Row],[PMT NO]]&lt;&gt;"",SUM(INDEX(PaymentSchedule3[INTEREST],1,1):PaymentSchedule3[[#This Row],[INTEREST]]),"")</f>
        <v>1538672.0001165052</v>
      </c>
    </row>
    <row r="287" spans="2:11" x14ac:dyDescent="0.3">
      <c r="B287" s="21">
        <f>IF(LoanIsGood,IF(ROW()-ROW(PaymentSchedule3[[#Headers],[PMT NO]])&gt;ScheduledNumberOfPayments,"",ROW()-ROW(PaymentSchedule3[[#Headers],[PMT NO]])),"")</f>
        <v>276</v>
      </c>
      <c r="C287" s="20">
        <f>IF(PaymentSchedule3[[#This Row],[PMT NO]]&lt;&gt;"",EOMONTH(LoanStartDate,ROW(PaymentSchedule3[[#This Row],[PMT NO]])-ROW(PaymentSchedule3[[#Headers],[PMT NO]])-2)+DAY(LoanStartDate),"")</f>
        <v>52018</v>
      </c>
      <c r="D287" s="19">
        <f>IF(PaymentSchedule3[[#This Row],[PMT NO]]&lt;&gt;"",IF(ROW()-ROW(PaymentSchedule3[[#Headers],[BEGINNING BALANCE]])=1,LoanAmount,INDEX(PaymentSchedule3[ENDING BALANCE],ROW()-ROW(PaymentSchedule3[[#Headers],[BEGINNING BALANCE]])-1)),"")</f>
        <v>1240010.418395529</v>
      </c>
      <c r="E287" s="19">
        <f>IF(PaymentSchedule3[[#This Row],[PMT NO]]&lt;&gt;"",ScheduledPayment,"")</f>
        <v>8358.7693880762818</v>
      </c>
      <c r="F28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8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87" s="19">
        <f>IF(PaymentSchedule3[[#This Row],[PMT NO]]&lt;&gt;"",PaymentSchedule3[[#This Row],[TOTAL PAYMENT]]-PaymentSchedule3[[#This Row],[INTEREST]],"")</f>
        <v>4225.4013267578512</v>
      </c>
      <c r="I287" s="19">
        <f>IF(PaymentSchedule3[[#This Row],[PMT NO]]&lt;&gt;"",PaymentSchedule3[[#This Row],[BEGINNING BALANCE]]*(InterestRate/PaymentsPerYear),"")</f>
        <v>4133.3680613184306</v>
      </c>
      <c r="J28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1235785.0170687712</v>
      </c>
      <c r="K287" s="19">
        <f>IF(PaymentSchedule3[[#This Row],[PMT NO]]&lt;&gt;"",SUM(INDEX(PaymentSchedule3[INTEREST],1,1):PaymentSchedule3[[#This Row],[INTEREST]]),"")</f>
        <v>1542805.3681778237</v>
      </c>
    </row>
    <row r="288" spans="2:11" x14ac:dyDescent="0.3">
      <c r="B288" s="21">
        <f>IF(LoanIsGood,IF(ROW()-ROW(PaymentSchedule3[[#Headers],[PMT NO]])&gt;ScheduledNumberOfPayments,"",ROW()-ROW(PaymentSchedule3[[#Headers],[PMT NO]])),"")</f>
        <v>277</v>
      </c>
      <c r="C288" s="20">
        <f>IF(PaymentSchedule3[[#This Row],[PMT NO]]&lt;&gt;"",EOMONTH(LoanStartDate,ROW(PaymentSchedule3[[#This Row],[PMT NO]])-ROW(PaymentSchedule3[[#Headers],[PMT NO]])-2)+DAY(LoanStartDate),"")</f>
        <v>52048</v>
      </c>
      <c r="D288" s="19">
        <f>IF(PaymentSchedule3[[#This Row],[PMT NO]]&lt;&gt;"",IF(ROW()-ROW(PaymentSchedule3[[#Headers],[BEGINNING BALANCE]])=1,LoanAmount,INDEX(PaymentSchedule3[ENDING BALANCE],ROW()-ROW(PaymentSchedule3[[#Headers],[BEGINNING BALANCE]])-1)),"")</f>
        <v>1235785.0170687712</v>
      </c>
      <c r="E288" s="19">
        <f>IF(PaymentSchedule3[[#This Row],[PMT NO]]&lt;&gt;"",ScheduledPayment,"")</f>
        <v>8358.7693880762818</v>
      </c>
      <c r="F28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8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88" s="19">
        <f>IF(PaymentSchedule3[[#This Row],[PMT NO]]&lt;&gt;"",PaymentSchedule3[[#This Row],[TOTAL PAYMENT]]-PaymentSchedule3[[#This Row],[INTEREST]],"")</f>
        <v>4239.485997847044</v>
      </c>
      <c r="I288" s="19">
        <f>IF(PaymentSchedule3[[#This Row],[PMT NO]]&lt;&gt;"",PaymentSchedule3[[#This Row],[BEGINNING BALANCE]]*(InterestRate/PaymentsPerYear),"")</f>
        <v>4119.2833902292377</v>
      </c>
      <c r="J28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1231545.5310709241</v>
      </c>
      <c r="K288" s="19">
        <f>IF(PaymentSchedule3[[#This Row],[PMT NO]]&lt;&gt;"",SUM(INDEX(PaymentSchedule3[INTEREST],1,1):PaymentSchedule3[[#This Row],[INTEREST]]),"")</f>
        <v>1546924.6515680531</v>
      </c>
    </row>
    <row r="289" spans="2:11" x14ac:dyDescent="0.3">
      <c r="B289" s="21">
        <f>IF(LoanIsGood,IF(ROW()-ROW(PaymentSchedule3[[#Headers],[PMT NO]])&gt;ScheduledNumberOfPayments,"",ROW()-ROW(PaymentSchedule3[[#Headers],[PMT NO]])),"")</f>
        <v>278</v>
      </c>
      <c r="C289" s="20">
        <f>IF(PaymentSchedule3[[#This Row],[PMT NO]]&lt;&gt;"",EOMONTH(LoanStartDate,ROW(PaymentSchedule3[[#This Row],[PMT NO]])-ROW(PaymentSchedule3[[#Headers],[PMT NO]])-2)+DAY(LoanStartDate),"")</f>
        <v>52079</v>
      </c>
      <c r="D289" s="19">
        <f>IF(PaymentSchedule3[[#This Row],[PMT NO]]&lt;&gt;"",IF(ROW()-ROW(PaymentSchedule3[[#Headers],[BEGINNING BALANCE]])=1,LoanAmount,INDEX(PaymentSchedule3[ENDING BALANCE],ROW()-ROW(PaymentSchedule3[[#Headers],[BEGINNING BALANCE]])-1)),"")</f>
        <v>1231545.5310709241</v>
      </c>
      <c r="E289" s="19">
        <f>IF(PaymentSchedule3[[#This Row],[PMT NO]]&lt;&gt;"",ScheduledPayment,"")</f>
        <v>8358.7693880762818</v>
      </c>
      <c r="F28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8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89" s="19">
        <f>IF(PaymentSchedule3[[#This Row],[PMT NO]]&lt;&gt;"",PaymentSchedule3[[#This Row],[TOTAL PAYMENT]]-PaymentSchedule3[[#This Row],[INTEREST]],"")</f>
        <v>4253.6176178398673</v>
      </c>
      <c r="I289" s="19">
        <f>IF(PaymentSchedule3[[#This Row],[PMT NO]]&lt;&gt;"",PaymentSchedule3[[#This Row],[BEGINNING BALANCE]]*(InterestRate/PaymentsPerYear),"")</f>
        <v>4105.1517702364144</v>
      </c>
      <c r="J28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1227291.9134530842</v>
      </c>
      <c r="K289" s="19">
        <f>IF(PaymentSchedule3[[#This Row],[PMT NO]]&lt;&gt;"",SUM(INDEX(PaymentSchedule3[INTEREST],1,1):PaymentSchedule3[[#This Row],[INTEREST]]),"")</f>
        <v>1551029.8033382895</v>
      </c>
    </row>
    <row r="290" spans="2:11" x14ac:dyDescent="0.3">
      <c r="B290" s="21">
        <f>IF(LoanIsGood,IF(ROW()-ROW(PaymentSchedule3[[#Headers],[PMT NO]])&gt;ScheduledNumberOfPayments,"",ROW()-ROW(PaymentSchedule3[[#Headers],[PMT NO]])),"")</f>
        <v>279</v>
      </c>
      <c r="C290" s="20">
        <f>IF(PaymentSchedule3[[#This Row],[PMT NO]]&lt;&gt;"",EOMONTH(LoanStartDate,ROW(PaymentSchedule3[[#This Row],[PMT NO]])-ROW(PaymentSchedule3[[#Headers],[PMT NO]])-2)+DAY(LoanStartDate),"")</f>
        <v>52110</v>
      </c>
      <c r="D290" s="19">
        <f>IF(PaymentSchedule3[[#This Row],[PMT NO]]&lt;&gt;"",IF(ROW()-ROW(PaymentSchedule3[[#Headers],[BEGINNING BALANCE]])=1,LoanAmount,INDEX(PaymentSchedule3[ENDING BALANCE],ROW()-ROW(PaymentSchedule3[[#Headers],[BEGINNING BALANCE]])-1)),"")</f>
        <v>1227291.9134530842</v>
      </c>
      <c r="E290" s="19">
        <f>IF(PaymentSchedule3[[#This Row],[PMT NO]]&lt;&gt;"",ScheduledPayment,"")</f>
        <v>8358.7693880762818</v>
      </c>
      <c r="F29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9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90" s="19">
        <f>IF(PaymentSchedule3[[#This Row],[PMT NO]]&lt;&gt;"",PaymentSchedule3[[#This Row],[TOTAL PAYMENT]]-PaymentSchedule3[[#This Row],[INTEREST]],"")</f>
        <v>4267.7963432326669</v>
      </c>
      <c r="I290" s="19">
        <f>IF(PaymentSchedule3[[#This Row],[PMT NO]]&lt;&gt;"",PaymentSchedule3[[#This Row],[BEGINNING BALANCE]]*(InterestRate/PaymentsPerYear),"")</f>
        <v>4090.9730448436144</v>
      </c>
      <c r="J29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1223024.1171098514</v>
      </c>
      <c r="K290" s="19">
        <f>IF(PaymentSchedule3[[#This Row],[PMT NO]]&lt;&gt;"",SUM(INDEX(PaymentSchedule3[INTEREST],1,1):PaymentSchedule3[[#This Row],[INTEREST]]),"")</f>
        <v>1555120.7763831331</v>
      </c>
    </row>
    <row r="291" spans="2:11" x14ac:dyDescent="0.3">
      <c r="B291" s="21">
        <f>IF(LoanIsGood,IF(ROW()-ROW(PaymentSchedule3[[#Headers],[PMT NO]])&gt;ScheduledNumberOfPayments,"",ROW()-ROW(PaymentSchedule3[[#Headers],[PMT NO]])),"")</f>
        <v>280</v>
      </c>
      <c r="C291" s="20">
        <f>IF(PaymentSchedule3[[#This Row],[PMT NO]]&lt;&gt;"",EOMONTH(LoanStartDate,ROW(PaymentSchedule3[[#This Row],[PMT NO]])-ROW(PaymentSchedule3[[#Headers],[PMT NO]])-2)+DAY(LoanStartDate),"")</f>
        <v>52140</v>
      </c>
      <c r="D291" s="19">
        <f>IF(PaymentSchedule3[[#This Row],[PMT NO]]&lt;&gt;"",IF(ROW()-ROW(PaymentSchedule3[[#Headers],[BEGINNING BALANCE]])=1,LoanAmount,INDEX(PaymentSchedule3[ENDING BALANCE],ROW()-ROW(PaymentSchedule3[[#Headers],[BEGINNING BALANCE]])-1)),"")</f>
        <v>1223024.1171098514</v>
      </c>
      <c r="E291" s="19">
        <f>IF(PaymentSchedule3[[#This Row],[PMT NO]]&lt;&gt;"",ScheduledPayment,"")</f>
        <v>8358.7693880762818</v>
      </c>
      <c r="F29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9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91" s="19">
        <f>IF(PaymentSchedule3[[#This Row],[PMT NO]]&lt;&gt;"",PaymentSchedule3[[#This Row],[TOTAL PAYMENT]]-PaymentSchedule3[[#This Row],[INTEREST]],"")</f>
        <v>4282.022331043443</v>
      </c>
      <c r="I291" s="19">
        <f>IF(PaymentSchedule3[[#This Row],[PMT NO]]&lt;&gt;"",PaymentSchedule3[[#This Row],[BEGINNING BALANCE]]*(InterestRate/PaymentsPerYear),"")</f>
        <v>4076.7470570328383</v>
      </c>
      <c r="J29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1218742.0947788081</v>
      </c>
      <c r="K291" s="19">
        <f>IF(PaymentSchedule3[[#This Row],[PMT NO]]&lt;&gt;"",SUM(INDEX(PaymentSchedule3[INTEREST],1,1):PaymentSchedule3[[#This Row],[INTEREST]]),"")</f>
        <v>1559197.5234401659</v>
      </c>
    </row>
    <row r="292" spans="2:11" x14ac:dyDescent="0.3">
      <c r="B292" s="21">
        <f>IF(LoanIsGood,IF(ROW()-ROW(PaymentSchedule3[[#Headers],[PMT NO]])&gt;ScheduledNumberOfPayments,"",ROW()-ROW(PaymentSchedule3[[#Headers],[PMT NO]])),"")</f>
        <v>281</v>
      </c>
      <c r="C292" s="20">
        <f>IF(PaymentSchedule3[[#This Row],[PMT NO]]&lt;&gt;"",EOMONTH(LoanStartDate,ROW(PaymentSchedule3[[#This Row],[PMT NO]])-ROW(PaymentSchedule3[[#Headers],[PMT NO]])-2)+DAY(LoanStartDate),"")</f>
        <v>52171</v>
      </c>
      <c r="D292" s="19">
        <f>IF(PaymentSchedule3[[#This Row],[PMT NO]]&lt;&gt;"",IF(ROW()-ROW(PaymentSchedule3[[#Headers],[BEGINNING BALANCE]])=1,LoanAmount,INDEX(PaymentSchedule3[ENDING BALANCE],ROW()-ROW(PaymentSchedule3[[#Headers],[BEGINNING BALANCE]])-1)),"")</f>
        <v>1218742.0947788081</v>
      </c>
      <c r="E292" s="19">
        <f>IF(PaymentSchedule3[[#This Row],[PMT NO]]&lt;&gt;"",ScheduledPayment,"")</f>
        <v>8358.7693880762818</v>
      </c>
      <c r="F29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9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92" s="19">
        <f>IF(PaymentSchedule3[[#This Row],[PMT NO]]&lt;&gt;"",PaymentSchedule3[[#This Row],[TOTAL PAYMENT]]-PaymentSchedule3[[#This Row],[INTEREST]],"")</f>
        <v>4296.2957388135874</v>
      </c>
      <c r="I292" s="19">
        <f>IF(PaymentSchedule3[[#This Row],[PMT NO]]&lt;&gt;"",PaymentSchedule3[[#This Row],[BEGINNING BALANCE]]*(InterestRate/PaymentsPerYear),"")</f>
        <v>4062.4736492626939</v>
      </c>
      <c r="J29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1214445.7990399944</v>
      </c>
      <c r="K292" s="19">
        <f>IF(PaymentSchedule3[[#This Row],[PMT NO]]&lt;&gt;"",SUM(INDEX(PaymentSchedule3[INTEREST],1,1):PaymentSchedule3[[#This Row],[INTEREST]]),"")</f>
        <v>1563259.9970894286</v>
      </c>
    </row>
    <row r="293" spans="2:11" x14ac:dyDescent="0.3">
      <c r="B293" s="21">
        <f>IF(LoanIsGood,IF(ROW()-ROW(PaymentSchedule3[[#Headers],[PMT NO]])&gt;ScheduledNumberOfPayments,"",ROW()-ROW(PaymentSchedule3[[#Headers],[PMT NO]])),"")</f>
        <v>282</v>
      </c>
      <c r="C293" s="20">
        <f>IF(PaymentSchedule3[[#This Row],[PMT NO]]&lt;&gt;"",EOMONTH(LoanStartDate,ROW(PaymentSchedule3[[#This Row],[PMT NO]])-ROW(PaymentSchedule3[[#Headers],[PMT NO]])-2)+DAY(LoanStartDate),"")</f>
        <v>52201</v>
      </c>
      <c r="D293" s="19">
        <f>IF(PaymentSchedule3[[#This Row],[PMT NO]]&lt;&gt;"",IF(ROW()-ROW(PaymentSchedule3[[#Headers],[BEGINNING BALANCE]])=1,LoanAmount,INDEX(PaymentSchedule3[ENDING BALANCE],ROW()-ROW(PaymentSchedule3[[#Headers],[BEGINNING BALANCE]])-1)),"")</f>
        <v>1214445.7990399944</v>
      </c>
      <c r="E293" s="19">
        <f>IF(PaymentSchedule3[[#This Row],[PMT NO]]&lt;&gt;"",ScheduledPayment,"")</f>
        <v>8358.7693880762818</v>
      </c>
      <c r="F29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9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93" s="19">
        <f>IF(PaymentSchedule3[[#This Row],[PMT NO]]&lt;&gt;"",PaymentSchedule3[[#This Row],[TOTAL PAYMENT]]-PaymentSchedule3[[#This Row],[INTEREST]],"")</f>
        <v>4310.6167246096338</v>
      </c>
      <c r="I293" s="19">
        <f>IF(PaymentSchedule3[[#This Row],[PMT NO]]&lt;&gt;"",PaymentSchedule3[[#This Row],[BEGINNING BALANCE]]*(InterestRate/PaymentsPerYear),"")</f>
        <v>4048.1526634666479</v>
      </c>
      <c r="J29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1210135.1823153847</v>
      </c>
      <c r="K293" s="19">
        <f>IF(PaymentSchedule3[[#This Row],[PMT NO]]&lt;&gt;"",SUM(INDEX(PaymentSchedule3[INTEREST],1,1):PaymentSchedule3[[#This Row],[INTEREST]]),"")</f>
        <v>1567308.1497528953</v>
      </c>
    </row>
    <row r="294" spans="2:11" x14ac:dyDescent="0.3">
      <c r="B294" s="21">
        <f>IF(LoanIsGood,IF(ROW()-ROW(PaymentSchedule3[[#Headers],[PMT NO]])&gt;ScheduledNumberOfPayments,"",ROW()-ROW(PaymentSchedule3[[#Headers],[PMT NO]])),"")</f>
        <v>283</v>
      </c>
      <c r="C294" s="20">
        <f>IF(PaymentSchedule3[[#This Row],[PMT NO]]&lt;&gt;"",EOMONTH(LoanStartDate,ROW(PaymentSchedule3[[#This Row],[PMT NO]])-ROW(PaymentSchedule3[[#Headers],[PMT NO]])-2)+DAY(LoanStartDate),"")</f>
        <v>52232</v>
      </c>
      <c r="D294" s="19">
        <f>IF(PaymentSchedule3[[#This Row],[PMT NO]]&lt;&gt;"",IF(ROW()-ROW(PaymentSchedule3[[#Headers],[BEGINNING BALANCE]])=1,LoanAmount,INDEX(PaymentSchedule3[ENDING BALANCE],ROW()-ROW(PaymentSchedule3[[#Headers],[BEGINNING BALANCE]])-1)),"")</f>
        <v>1210135.1823153847</v>
      </c>
      <c r="E294" s="19">
        <f>IF(PaymentSchedule3[[#This Row],[PMT NO]]&lt;&gt;"",ScheduledPayment,"")</f>
        <v>8358.7693880762818</v>
      </c>
      <c r="F29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9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94" s="19">
        <f>IF(PaymentSchedule3[[#This Row],[PMT NO]]&lt;&gt;"",PaymentSchedule3[[#This Row],[TOTAL PAYMENT]]-PaymentSchedule3[[#This Row],[INTEREST]],"")</f>
        <v>4324.9854470249993</v>
      </c>
      <c r="I294" s="19">
        <f>IF(PaymentSchedule3[[#This Row],[PMT NO]]&lt;&gt;"",PaymentSchedule3[[#This Row],[BEGINNING BALANCE]]*(InterestRate/PaymentsPerYear),"")</f>
        <v>4033.7839410512829</v>
      </c>
      <c r="J29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1205810.1968683598</v>
      </c>
      <c r="K294" s="19">
        <f>IF(PaymentSchedule3[[#This Row],[PMT NO]]&lt;&gt;"",SUM(INDEX(PaymentSchedule3[INTEREST],1,1):PaymentSchedule3[[#This Row],[INTEREST]]),"")</f>
        <v>1571341.9336939466</v>
      </c>
    </row>
    <row r="295" spans="2:11" x14ac:dyDescent="0.3">
      <c r="B295" s="21">
        <f>IF(LoanIsGood,IF(ROW()-ROW(PaymentSchedule3[[#Headers],[PMT NO]])&gt;ScheduledNumberOfPayments,"",ROW()-ROW(PaymentSchedule3[[#Headers],[PMT NO]])),"")</f>
        <v>284</v>
      </c>
      <c r="C295" s="20">
        <f>IF(PaymentSchedule3[[#This Row],[PMT NO]]&lt;&gt;"",EOMONTH(LoanStartDate,ROW(PaymentSchedule3[[#This Row],[PMT NO]])-ROW(PaymentSchedule3[[#Headers],[PMT NO]])-2)+DAY(LoanStartDate),"")</f>
        <v>52263</v>
      </c>
      <c r="D295" s="19">
        <f>IF(PaymentSchedule3[[#This Row],[PMT NO]]&lt;&gt;"",IF(ROW()-ROW(PaymentSchedule3[[#Headers],[BEGINNING BALANCE]])=1,LoanAmount,INDEX(PaymentSchedule3[ENDING BALANCE],ROW()-ROW(PaymentSchedule3[[#Headers],[BEGINNING BALANCE]])-1)),"")</f>
        <v>1205810.1968683598</v>
      </c>
      <c r="E295" s="19">
        <f>IF(PaymentSchedule3[[#This Row],[PMT NO]]&lt;&gt;"",ScheduledPayment,"")</f>
        <v>8358.7693880762818</v>
      </c>
      <c r="F29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9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95" s="19">
        <f>IF(PaymentSchedule3[[#This Row],[PMT NO]]&lt;&gt;"",PaymentSchedule3[[#This Row],[TOTAL PAYMENT]]-PaymentSchedule3[[#This Row],[INTEREST]],"")</f>
        <v>4339.4020651817482</v>
      </c>
      <c r="I295" s="19">
        <f>IF(PaymentSchedule3[[#This Row],[PMT NO]]&lt;&gt;"",PaymentSchedule3[[#This Row],[BEGINNING BALANCE]]*(InterestRate/PaymentsPerYear),"")</f>
        <v>4019.3673228945331</v>
      </c>
      <c r="J29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1201470.7948031782</v>
      </c>
      <c r="K295" s="19">
        <f>IF(PaymentSchedule3[[#This Row],[PMT NO]]&lt;&gt;"",SUM(INDEX(PaymentSchedule3[INTEREST],1,1):PaymentSchedule3[[#This Row],[INTEREST]]),"")</f>
        <v>1575361.3010168411</v>
      </c>
    </row>
    <row r="296" spans="2:11" x14ac:dyDescent="0.3">
      <c r="B296" s="21">
        <f>IF(LoanIsGood,IF(ROW()-ROW(PaymentSchedule3[[#Headers],[PMT NO]])&gt;ScheduledNumberOfPayments,"",ROW()-ROW(PaymentSchedule3[[#Headers],[PMT NO]])),"")</f>
        <v>285</v>
      </c>
      <c r="C296" s="20">
        <f>IF(PaymentSchedule3[[#This Row],[PMT NO]]&lt;&gt;"",EOMONTH(LoanStartDate,ROW(PaymentSchedule3[[#This Row],[PMT NO]])-ROW(PaymentSchedule3[[#Headers],[PMT NO]])-2)+DAY(LoanStartDate),"")</f>
        <v>52291</v>
      </c>
      <c r="D296" s="19">
        <f>IF(PaymentSchedule3[[#This Row],[PMT NO]]&lt;&gt;"",IF(ROW()-ROW(PaymentSchedule3[[#Headers],[BEGINNING BALANCE]])=1,LoanAmount,INDEX(PaymentSchedule3[ENDING BALANCE],ROW()-ROW(PaymentSchedule3[[#Headers],[BEGINNING BALANCE]])-1)),"")</f>
        <v>1201470.7948031782</v>
      </c>
      <c r="E296" s="19">
        <f>IF(PaymentSchedule3[[#This Row],[PMT NO]]&lt;&gt;"",ScheduledPayment,"")</f>
        <v>8358.7693880762818</v>
      </c>
      <c r="F29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9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96" s="19">
        <f>IF(PaymentSchedule3[[#This Row],[PMT NO]]&lt;&gt;"",PaymentSchedule3[[#This Row],[TOTAL PAYMENT]]-PaymentSchedule3[[#This Row],[INTEREST]],"")</f>
        <v>4353.8667387323549</v>
      </c>
      <c r="I296" s="19">
        <f>IF(PaymentSchedule3[[#This Row],[PMT NO]]&lt;&gt;"",PaymentSchedule3[[#This Row],[BEGINNING BALANCE]]*(InterestRate/PaymentsPerYear),"")</f>
        <v>4004.9026493439274</v>
      </c>
      <c r="J29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1197116.9280644457</v>
      </c>
      <c r="K296" s="19">
        <f>IF(PaymentSchedule3[[#This Row],[PMT NO]]&lt;&gt;"",SUM(INDEX(PaymentSchedule3[INTEREST],1,1):PaymentSchedule3[[#This Row],[INTEREST]]),"")</f>
        <v>1579366.203666185</v>
      </c>
    </row>
    <row r="297" spans="2:11" x14ac:dyDescent="0.3">
      <c r="B297" s="21">
        <f>IF(LoanIsGood,IF(ROW()-ROW(PaymentSchedule3[[#Headers],[PMT NO]])&gt;ScheduledNumberOfPayments,"",ROW()-ROW(PaymentSchedule3[[#Headers],[PMT NO]])),"")</f>
        <v>286</v>
      </c>
      <c r="C297" s="20">
        <f>IF(PaymentSchedule3[[#This Row],[PMT NO]]&lt;&gt;"",EOMONTH(LoanStartDate,ROW(PaymentSchedule3[[#This Row],[PMT NO]])-ROW(PaymentSchedule3[[#Headers],[PMT NO]])-2)+DAY(LoanStartDate),"")</f>
        <v>52322</v>
      </c>
      <c r="D297" s="19">
        <f>IF(PaymentSchedule3[[#This Row],[PMT NO]]&lt;&gt;"",IF(ROW()-ROW(PaymentSchedule3[[#Headers],[BEGINNING BALANCE]])=1,LoanAmount,INDEX(PaymentSchedule3[ENDING BALANCE],ROW()-ROW(PaymentSchedule3[[#Headers],[BEGINNING BALANCE]])-1)),"")</f>
        <v>1197116.9280644457</v>
      </c>
      <c r="E297" s="19">
        <f>IF(PaymentSchedule3[[#This Row],[PMT NO]]&lt;&gt;"",ScheduledPayment,"")</f>
        <v>8358.7693880762818</v>
      </c>
      <c r="F29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9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97" s="19">
        <f>IF(PaymentSchedule3[[#This Row],[PMT NO]]&lt;&gt;"",PaymentSchedule3[[#This Row],[TOTAL PAYMENT]]-PaymentSchedule3[[#This Row],[INTEREST]],"")</f>
        <v>4368.3796278614627</v>
      </c>
      <c r="I297" s="19">
        <f>IF(PaymentSchedule3[[#This Row],[PMT NO]]&lt;&gt;"",PaymentSchedule3[[#This Row],[BEGINNING BALANCE]]*(InterestRate/PaymentsPerYear),"")</f>
        <v>3990.3897602148195</v>
      </c>
      <c r="J29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1192748.5484365842</v>
      </c>
      <c r="K297" s="19">
        <f>IF(PaymentSchedule3[[#This Row],[PMT NO]]&lt;&gt;"",SUM(INDEX(PaymentSchedule3[INTEREST],1,1):PaymentSchedule3[[#This Row],[INTEREST]]),"")</f>
        <v>1583356.5934263999</v>
      </c>
    </row>
    <row r="298" spans="2:11" x14ac:dyDescent="0.3">
      <c r="B298" s="21">
        <f>IF(LoanIsGood,IF(ROW()-ROW(PaymentSchedule3[[#Headers],[PMT NO]])&gt;ScheduledNumberOfPayments,"",ROW()-ROW(PaymentSchedule3[[#Headers],[PMT NO]])),"")</f>
        <v>287</v>
      </c>
      <c r="C298" s="20">
        <f>IF(PaymentSchedule3[[#This Row],[PMT NO]]&lt;&gt;"",EOMONTH(LoanStartDate,ROW(PaymentSchedule3[[#This Row],[PMT NO]])-ROW(PaymentSchedule3[[#Headers],[PMT NO]])-2)+DAY(LoanStartDate),"")</f>
        <v>52352</v>
      </c>
      <c r="D298" s="19">
        <f>IF(PaymentSchedule3[[#This Row],[PMT NO]]&lt;&gt;"",IF(ROW()-ROW(PaymentSchedule3[[#Headers],[BEGINNING BALANCE]])=1,LoanAmount,INDEX(PaymentSchedule3[ENDING BALANCE],ROW()-ROW(PaymentSchedule3[[#Headers],[BEGINNING BALANCE]])-1)),"")</f>
        <v>1192748.5484365842</v>
      </c>
      <c r="E298" s="19">
        <f>IF(PaymentSchedule3[[#This Row],[PMT NO]]&lt;&gt;"",ScheduledPayment,"")</f>
        <v>8358.7693880762818</v>
      </c>
      <c r="F29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9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98" s="19">
        <f>IF(PaymentSchedule3[[#This Row],[PMT NO]]&lt;&gt;"",PaymentSchedule3[[#This Row],[TOTAL PAYMENT]]-PaymentSchedule3[[#This Row],[INTEREST]],"")</f>
        <v>4382.9408932876677</v>
      </c>
      <c r="I298" s="19">
        <f>IF(PaymentSchedule3[[#This Row],[PMT NO]]&lt;&gt;"",PaymentSchedule3[[#This Row],[BEGINNING BALANCE]]*(InterestRate/PaymentsPerYear),"")</f>
        <v>3975.8284947886141</v>
      </c>
      <c r="J29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1188365.6075432964</v>
      </c>
      <c r="K298" s="19">
        <f>IF(PaymentSchedule3[[#This Row],[PMT NO]]&lt;&gt;"",SUM(INDEX(PaymentSchedule3[INTEREST],1,1):PaymentSchedule3[[#This Row],[INTEREST]]),"")</f>
        <v>1587332.4219211885</v>
      </c>
    </row>
    <row r="299" spans="2:11" x14ac:dyDescent="0.3">
      <c r="B299" s="21">
        <f>IF(LoanIsGood,IF(ROW()-ROW(PaymentSchedule3[[#Headers],[PMT NO]])&gt;ScheduledNumberOfPayments,"",ROW()-ROW(PaymentSchedule3[[#Headers],[PMT NO]])),"")</f>
        <v>288</v>
      </c>
      <c r="C299" s="20">
        <f>IF(PaymentSchedule3[[#This Row],[PMT NO]]&lt;&gt;"",EOMONTH(LoanStartDate,ROW(PaymentSchedule3[[#This Row],[PMT NO]])-ROW(PaymentSchedule3[[#Headers],[PMT NO]])-2)+DAY(LoanStartDate),"")</f>
        <v>52383</v>
      </c>
      <c r="D299" s="19">
        <f>IF(PaymentSchedule3[[#This Row],[PMT NO]]&lt;&gt;"",IF(ROW()-ROW(PaymentSchedule3[[#Headers],[BEGINNING BALANCE]])=1,LoanAmount,INDEX(PaymentSchedule3[ENDING BALANCE],ROW()-ROW(PaymentSchedule3[[#Headers],[BEGINNING BALANCE]])-1)),"")</f>
        <v>1188365.6075432964</v>
      </c>
      <c r="E299" s="19">
        <f>IF(PaymentSchedule3[[#This Row],[PMT NO]]&lt;&gt;"",ScheduledPayment,"")</f>
        <v>8358.7693880762818</v>
      </c>
      <c r="F29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29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299" s="19">
        <f>IF(PaymentSchedule3[[#This Row],[PMT NO]]&lt;&gt;"",PaymentSchedule3[[#This Row],[TOTAL PAYMENT]]-PaymentSchedule3[[#This Row],[INTEREST]],"")</f>
        <v>4397.5506962652935</v>
      </c>
      <c r="I299" s="19">
        <f>IF(PaymentSchedule3[[#This Row],[PMT NO]]&lt;&gt;"",PaymentSchedule3[[#This Row],[BEGINNING BALANCE]]*(InterestRate/PaymentsPerYear),"")</f>
        <v>3961.2186918109883</v>
      </c>
      <c r="J29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1183968.0568470312</v>
      </c>
      <c r="K299" s="19">
        <f>IF(PaymentSchedule3[[#This Row],[PMT NO]]&lt;&gt;"",SUM(INDEX(PaymentSchedule3[INTEREST],1,1):PaymentSchedule3[[#This Row],[INTEREST]]),"")</f>
        <v>1591293.6406129994</v>
      </c>
    </row>
    <row r="300" spans="2:11" x14ac:dyDescent="0.3">
      <c r="B300" s="21">
        <f>IF(LoanIsGood,IF(ROW()-ROW(PaymentSchedule3[[#Headers],[PMT NO]])&gt;ScheduledNumberOfPayments,"",ROW()-ROW(PaymentSchedule3[[#Headers],[PMT NO]])),"")</f>
        <v>289</v>
      </c>
      <c r="C300" s="20">
        <f>IF(PaymentSchedule3[[#This Row],[PMT NO]]&lt;&gt;"",EOMONTH(LoanStartDate,ROW(PaymentSchedule3[[#This Row],[PMT NO]])-ROW(PaymentSchedule3[[#Headers],[PMT NO]])-2)+DAY(LoanStartDate),"")</f>
        <v>52413</v>
      </c>
      <c r="D300" s="19">
        <f>IF(PaymentSchedule3[[#This Row],[PMT NO]]&lt;&gt;"",IF(ROW()-ROW(PaymentSchedule3[[#Headers],[BEGINNING BALANCE]])=1,LoanAmount,INDEX(PaymentSchedule3[ENDING BALANCE],ROW()-ROW(PaymentSchedule3[[#Headers],[BEGINNING BALANCE]])-1)),"")</f>
        <v>1183968.0568470312</v>
      </c>
      <c r="E300" s="19">
        <f>IF(PaymentSchedule3[[#This Row],[PMT NO]]&lt;&gt;"",ScheduledPayment,"")</f>
        <v>8358.7693880762818</v>
      </c>
      <c r="F30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0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00" s="19">
        <f>IF(PaymentSchedule3[[#This Row],[PMT NO]]&lt;&gt;"",PaymentSchedule3[[#This Row],[TOTAL PAYMENT]]-PaymentSchedule3[[#This Row],[INTEREST]],"")</f>
        <v>4412.2091985861771</v>
      </c>
      <c r="I300" s="19">
        <f>IF(PaymentSchedule3[[#This Row],[PMT NO]]&lt;&gt;"",PaymentSchedule3[[#This Row],[BEGINNING BALANCE]]*(InterestRate/PaymentsPerYear),"")</f>
        <v>3946.5601894901042</v>
      </c>
      <c r="J30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1179555.8476484451</v>
      </c>
      <c r="K300" s="19">
        <f>IF(PaymentSchedule3[[#This Row],[PMT NO]]&lt;&gt;"",SUM(INDEX(PaymentSchedule3[INTEREST],1,1):PaymentSchedule3[[#This Row],[INTEREST]]),"")</f>
        <v>1595240.2008024896</v>
      </c>
    </row>
    <row r="301" spans="2:11" x14ac:dyDescent="0.3">
      <c r="B301" s="21">
        <f>IF(LoanIsGood,IF(ROW()-ROW(PaymentSchedule3[[#Headers],[PMT NO]])&gt;ScheduledNumberOfPayments,"",ROW()-ROW(PaymentSchedule3[[#Headers],[PMT NO]])),"")</f>
        <v>290</v>
      </c>
      <c r="C301" s="20">
        <f>IF(PaymentSchedule3[[#This Row],[PMT NO]]&lt;&gt;"",EOMONTH(LoanStartDate,ROW(PaymentSchedule3[[#This Row],[PMT NO]])-ROW(PaymentSchedule3[[#Headers],[PMT NO]])-2)+DAY(LoanStartDate),"")</f>
        <v>52444</v>
      </c>
      <c r="D301" s="19">
        <f>IF(PaymentSchedule3[[#This Row],[PMT NO]]&lt;&gt;"",IF(ROW()-ROW(PaymentSchedule3[[#Headers],[BEGINNING BALANCE]])=1,LoanAmount,INDEX(PaymentSchedule3[ENDING BALANCE],ROW()-ROW(PaymentSchedule3[[#Headers],[BEGINNING BALANCE]])-1)),"")</f>
        <v>1179555.8476484451</v>
      </c>
      <c r="E301" s="19">
        <f>IF(PaymentSchedule3[[#This Row],[PMT NO]]&lt;&gt;"",ScheduledPayment,"")</f>
        <v>8358.7693880762818</v>
      </c>
      <c r="F30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0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01" s="19">
        <f>IF(PaymentSchedule3[[#This Row],[PMT NO]]&lt;&gt;"",PaymentSchedule3[[#This Row],[TOTAL PAYMENT]]-PaymentSchedule3[[#This Row],[INTEREST]],"")</f>
        <v>4426.9165625814649</v>
      </c>
      <c r="I301" s="19">
        <f>IF(PaymentSchedule3[[#This Row],[PMT NO]]&lt;&gt;"",PaymentSchedule3[[#This Row],[BEGINNING BALANCE]]*(InterestRate/PaymentsPerYear),"")</f>
        <v>3931.8528254948169</v>
      </c>
      <c r="J30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1175128.9310858636</v>
      </c>
      <c r="K301" s="19">
        <f>IF(PaymentSchedule3[[#This Row],[PMT NO]]&lt;&gt;"",SUM(INDEX(PaymentSchedule3[INTEREST],1,1):PaymentSchedule3[[#This Row],[INTEREST]]),"")</f>
        <v>1599172.0536279844</v>
      </c>
    </row>
    <row r="302" spans="2:11" x14ac:dyDescent="0.3">
      <c r="B302" s="21">
        <f>IF(LoanIsGood,IF(ROW()-ROW(PaymentSchedule3[[#Headers],[PMT NO]])&gt;ScheduledNumberOfPayments,"",ROW()-ROW(PaymentSchedule3[[#Headers],[PMT NO]])),"")</f>
        <v>291</v>
      </c>
      <c r="C302" s="20">
        <f>IF(PaymentSchedule3[[#This Row],[PMT NO]]&lt;&gt;"",EOMONTH(LoanStartDate,ROW(PaymentSchedule3[[#This Row],[PMT NO]])-ROW(PaymentSchedule3[[#Headers],[PMT NO]])-2)+DAY(LoanStartDate),"")</f>
        <v>52475</v>
      </c>
      <c r="D302" s="19">
        <f>IF(PaymentSchedule3[[#This Row],[PMT NO]]&lt;&gt;"",IF(ROW()-ROW(PaymentSchedule3[[#Headers],[BEGINNING BALANCE]])=1,LoanAmount,INDEX(PaymentSchedule3[ENDING BALANCE],ROW()-ROW(PaymentSchedule3[[#Headers],[BEGINNING BALANCE]])-1)),"")</f>
        <v>1175128.9310858636</v>
      </c>
      <c r="E302" s="19">
        <f>IF(PaymentSchedule3[[#This Row],[PMT NO]]&lt;&gt;"",ScheduledPayment,"")</f>
        <v>8358.7693880762818</v>
      </c>
      <c r="F30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0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02" s="19">
        <f>IF(PaymentSchedule3[[#This Row],[PMT NO]]&lt;&gt;"",PaymentSchedule3[[#This Row],[TOTAL PAYMENT]]-PaymentSchedule3[[#This Row],[INTEREST]],"")</f>
        <v>4441.6729511234025</v>
      </c>
      <c r="I302" s="19">
        <f>IF(PaymentSchedule3[[#This Row],[PMT NO]]&lt;&gt;"",PaymentSchedule3[[#This Row],[BEGINNING BALANCE]]*(InterestRate/PaymentsPerYear),"")</f>
        <v>3917.0964369528788</v>
      </c>
      <c r="J30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1170687.2581347402</v>
      </c>
      <c r="K302" s="19">
        <f>IF(PaymentSchedule3[[#This Row],[PMT NO]]&lt;&gt;"",SUM(INDEX(PaymentSchedule3[INTEREST],1,1):PaymentSchedule3[[#This Row],[INTEREST]]),"")</f>
        <v>1603089.1500649373</v>
      </c>
    </row>
    <row r="303" spans="2:11" x14ac:dyDescent="0.3">
      <c r="B303" s="21">
        <f>IF(LoanIsGood,IF(ROW()-ROW(PaymentSchedule3[[#Headers],[PMT NO]])&gt;ScheduledNumberOfPayments,"",ROW()-ROW(PaymentSchedule3[[#Headers],[PMT NO]])),"")</f>
        <v>292</v>
      </c>
      <c r="C303" s="20">
        <f>IF(PaymentSchedule3[[#This Row],[PMT NO]]&lt;&gt;"",EOMONTH(LoanStartDate,ROW(PaymentSchedule3[[#This Row],[PMT NO]])-ROW(PaymentSchedule3[[#Headers],[PMT NO]])-2)+DAY(LoanStartDate),"")</f>
        <v>52505</v>
      </c>
      <c r="D303" s="19">
        <f>IF(PaymentSchedule3[[#This Row],[PMT NO]]&lt;&gt;"",IF(ROW()-ROW(PaymentSchedule3[[#Headers],[BEGINNING BALANCE]])=1,LoanAmount,INDEX(PaymentSchedule3[ENDING BALANCE],ROW()-ROW(PaymentSchedule3[[#Headers],[BEGINNING BALANCE]])-1)),"")</f>
        <v>1170687.2581347402</v>
      </c>
      <c r="E303" s="19">
        <f>IF(PaymentSchedule3[[#This Row],[PMT NO]]&lt;&gt;"",ScheduledPayment,"")</f>
        <v>8358.7693880762818</v>
      </c>
      <c r="F30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0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03" s="19">
        <f>IF(PaymentSchedule3[[#This Row],[PMT NO]]&lt;&gt;"",PaymentSchedule3[[#This Row],[TOTAL PAYMENT]]-PaymentSchedule3[[#This Row],[INTEREST]],"")</f>
        <v>4456.4785276271477</v>
      </c>
      <c r="I303" s="19">
        <f>IF(PaymentSchedule3[[#This Row],[PMT NO]]&lt;&gt;"",PaymentSchedule3[[#This Row],[BEGINNING BALANCE]]*(InterestRate/PaymentsPerYear),"")</f>
        <v>3902.290860449134</v>
      </c>
      <c r="J30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1166230.779607113</v>
      </c>
      <c r="K303" s="19">
        <f>IF(PaymentSchedule3[[#This Row],[PMT NO]]&lt;&gt;"",SUM(INDEX(PaymentSchedule3[INTEREST],1,1):PaymentSchedule3[[#This Row],[INTEREST]]),"")</f>
        <v>1606991.4409253865</v>
      </c>
    </row>
    <row r="304" spans="2:11" x14ac:dyDescent="0.3">
      <c r="B304" s="21">
        <f>IF(LoanIsGood,IF(ROW()-ROW(PaymentSchedule3[[#Headers],[PMT NO]])&gt;ScheduledNumberOfPayments,"",ROW()-ROW(PaymentSchedule3[[#Headers],[PMT NO]])),"")</f>
        <v>293</v>
      </c>
      <c r="C304" s="20">
        <f>IF(PaymentSchedule3[[#This Row],[PMT NO]]&lt;&gt;"",EOMONTH(LoanStartDate,ROW(PaymentSchedule3[[#This Row],[PMT NO]])-ROW(PaymentSchedule3[[#Headers],[PMT NO]])-2)+DAY(LoanStartDate),"")</f>
        <v>52536</v>
      </c>
      <c r="D304" s="19">
        <f>IF(PaymentSchedule3[[#This Row],[PMT NO]]&lt;&gt;"",IF(ROW()-ROW(PaymentSchedule3[[#Headers],[BEGINNING BALANCE]])=1,LoanAmount,INDEX(PaymentSchedule3[ENDING BALANCE],ROW()-ROW(PaymentSchedule3[[#Headers],[BEGINNING BALANCE]])-1)),"")</f>
        <v>1166230.779607113</v>
      </c>
      <c r="E304" s="19">
        <f>IF(PaymentSchedule3[[#This Row],[PMT NO]]&lt;&gt;"",ScheduledPayment,"")</f>
        <v>8358.7693880762818</v>
      </c>
      <c r="F30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0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04" s="19">
        <f>IF(PaymentSchedule3[[#This Row],[PMT NO]]&lt;&gt;"",PaymentSchedule3[[#This Row],[TOTAL PAYMENT]]-PaymentSchedule3[[#This Row],[INTEREST]],"")</f>
        <v>4471.3334560525709</v>
      </c>
      <c r="I304" s="19">
        <f>IF(PaymentSchedule3[[#This Row],[PMT NO]]&lt;&gt;"",PaymentSchedule3[[#This Row],[BEGINNING BALANCE]]*(InterestRate/PaymentsPerYear),"")</f>
        <v>3887.4359320237104</v>
      </c>
      <c r="J30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1161759.4461510605</v>
      </c>
      <c r="K304" s="19">
        <f>IF(PaymentSchedule3[[#This Row],[PMT NO]]&lt;&gt;"",SUM(INDEX(PaymentSchedule3[INTEREST],1,1):PaymentSchedule3[[#This Row],[INTEREST]]),"")</f>
        <v>1610878.8768574102</v>
      </c>
    </row>
    <row r="305" spans="2:11" x14ac:dyDescent="0.3">
      <c r="B305" s="21">
        <f>IF(LoanIsGood,IF(ROW()-ROW(PaymentSchedule3[[#Headers],[PMT NO]])&gt;ScheduledNumberOfPayments,"",ROW()-ROW(PaymentSchedule3[[#Headers],[PMT NO]])),"")</f>
        <v>294</v>
      </c>
      <c r="C305" s="20">
        <f>IF(PaymentSchedule3[[#This Row],[PMT NO]]&lt;&gt;"",EOMONTH(LoanStartDate,ROW(PaymentSchedule3[[#This Row],[PMT NO]])-ROW(PaymentSchedule3[[#Headers],[PMT NO]])-2)+DAY(LoanStartDate),"")</f>
        <v>52566</v>
      </c>
      <c r="D305" s="19">
        <f>IF(PaymentSchedule3[[#This Row],[PMT NO]]&lt;&gt;"",IF(ROW()-ROW(PaymentSchedule3[[#Headers],[BEGINNING BALANCE]])=1,LoanAmount,INDEX(PaymentSchedule3[ENDING BALANCE],ROW()-ROW(PaymentSchedule3[[#Headers],[BEGINNING BALANCE]])-1)),"")</f>
        <v>1161759.4461510605</v>
      </c>
      <c r="E305" s="19">
        <f>IF(PaymentSchedule3[[#This Row],[PMT NO]]&lt;&gt;"",ScheduledPayment,"")</f>
        <v>8358.7693880762818</v>
      </c>
      <c r="F30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0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05" s="19">
        <f>IF(PaymentSchedule3[[#This Row],[PMT NO]]&lt;&gt;"",PaymentSchedule3[[#This Row],[TOTAL PAYMENT]]-PaymentSchedule3[[#This Row],[INTEREST]],"")</f>
        <v>4486.2379009060796</v>
      </c>
      <c r="I305" s="19">
        <f>IF(PaymentSchedule3[[#This Row],[PMT NO]]&lt;&gt;"",PaymentSchedule3[[#This Row],[BEGINNING BALANCE]]*(InterestRate/PaymentsPerYear),"")</f>
        <v>3872.5314871702021</v>
      </c>
      <c r="J30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1157273.2082501545</v>
      </c>
      <c r="K305" s="19">
        <f>IF(PaymentSchedule3[[#This Row],[PMT NO]]&lt;&gt;"",SUM(INDEX(PaymentSchedule3[INTEREST],1,1):PaymentSchedule3[[#This Row],[INTEREST]]),"")</f>
        <v>1614751.4083445803</v>
      </c>
    </row>
    <row r="306" spans="2:11" x14ac:dyDescent="0.3">
      <c r="B306" s="21">
        <f>IF(LoanIsGood,IF(ROW()-ROW(PaymentSchedule3[[#Headers],[PMT NO]])&gt;ScheduledNumberOfPayments,"",ROW()-ROW(PaymentSchedule3[[#Headers],[PMT NO]])),"")</f>
        <v>295</v>
      </c>
      <c r="C306" s="20">
        <f>IF(PaymentSchedule3[[#This Row],[PMT NO]]&lt;&gt;"",EOMONTH(LoanStartDate,ROW(PaymentSchedule3[[#This Row],[PMT NO]])-ROW(PaymentSchedule3[[#Headers],[PMT NO]])-2)+DAY(LoanStartDate),"")</f>
        <v>52597</v>
      </c>
      <c r="D306" s="19">
        <f>IF(PaymentSchedule3[[#This Row],[PMT NO]]&lt;&gt;"",IF(ROW()-ROW(PaymentSchedule3[[#Headers],[BEGINNING BALANCE]])=1,LoanAmount,INDEX(PaymentSchedule3[ENDING BALANCE],ROW()-ROW(PaymentSchedule3[[#Headers],[BEGINNING BALANCE]])-1)),"")</f>
        <v>1157273.2082501545</v>
      </c>
      <c r="E306" s="19">
        <f>IF(PaymentSchedule3[[#This Row],[PMT NO]]&lt;&gt;"",ScheduledPayment,"")</f>
        <v>8358.7693880762818</v>
      </c>
      <c r="F30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0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06" s="19">
        <f>IF(PaymentSchedule3[[#This Row],[PMT NO]]&lt;&gt;"",PaymentSchedule3[[#This Row],[TOTAL PAYMENT]]-PaymentSchedule3[[#This Row],[INTEREST]],"")</f>
        <v>4501.1920272424331</v>
      </c>
      <c r="I306" s="19">
        <f>IF(PaymentSchedule3[[#This Row],[PMT NO]]&lt;&gt;"",PaymentSchedule3[[#This Row],[BEGINNING BALANCE]]*(InterestRate/PaymentsPerYear),"")</f>
        <v>3857.5773608338486</v>
      </c>
      <c r="J30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1152772.0162229121</v>
      </c>
      <c r="K306" s="19">
        <f>IF(PaymentSchedule3[[#This Row],[PMT NO]]&lt;&gt;"",SUM(INDEX(PaymentSchedule3[INTEREST],1,1):PaymentSchedule3[[#This Row],[INTEREST]]),"")</f>
        <v>1618608.9857054141</v>
      </c>
    </row>
    <row r="307" spans="2:11" x14ac:dyDescent="0.3">
      <c r="B307" s="21">
        <f>IF(LoanIsGood,IF(ROW()-ROW(PaymentSchedule3[[#Headers],[PMT NO]])&gt;ScheduledNumberOfPayments,"",ROW()-ROW(PaymentSchedule3[[#Headers],[PMT NO]])),"")</f>
        <v>296</v>
      </c>
      <c r="C307" s="20">
        <f>IF(PaymentSchedule3[[#This Row],[PMT NO]]&lt;&gt;"",EOMONTH(LoanStartDate,ROW(PaymentSchedule3[[#This Row],[PMT NO]])-ROW(PaymentSchedule3[[#Headers],[PMT NO]])-2)+DAY(LoanStartDate),"")</f>
        <v>52628</v>
      </c>
      <c r="D307" s="19">
        <f>IF(PaymentSchedule3[[#This Row],[PMT NO]]&lt;&gt;"",IF(ROW()-ROW(PaymentSchedule3[[#Headers],[BEGINNING BALANCE]])=1,LoanAmount,INDEX(PaymentSchedule3[ENDING BALANCE],ROW()-ROW(PaymentSchedule3[[#Headers],[BEGINNING BALANCE]])-1)),"")</f>
        <v>1152772.0162229121</v>
      </c>
      <c r="E307" s="19">
        <f>IF(PaymentSchedule3[[#This Row],[PMT NO]]&lt;&gt;"",ScheduledPayment,"")</f>
        <v>8358.7693880762818</v>
      </c>
      <c r="F30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0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07" s="19">
        <f>IF(PaymentSchedule3[[#This Row],[PMT NO]]&lt;&gt;"",PaymentSchedule3[[#This Row],[TOTAL PAYMENT]]-PaymentSchedule3[[#This Row],[INTEREST]],"")</f>
        <v>4516.196000666574</v>
      </c>
      <c r="I307" s="19">
        <f>IF(PaymentSchedule3[[#This Row],[PMT NO]]&lt;&gt;"",PaymentSchedule3[[#This Row],[BEGINNING BALANCE]]*(InterestRate/PaymentsPerYear),"")</f>
        <v>3842.5733874097073</v>
      </c>
      <c r="J30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1148255.8202222455</v>
      </c>
      <c r="K307" s="19">
        <f>IF(PaymentSchedule3[[#This Row],[PMT NO]]&lt;&gt;"",SUM(INDEX(PaymentSchedule3[INTEREST],1,1):PaymentSchedule3[[#This Row],[INTEREST]]),"")</f>
        <v>1622451.5590928239</v>
      </c>
    </row>
    <row r="308" spans="2:11" x14ac:dyDescent="0.3">
      <c r="B308" s="21">
        <f>IF(LoanIsGood,IF(ROW()-ROW(PaymentSchedule3[[#Headers],[PMT NO]])&gt;ScheduledNumberOfPayments,"",ROW()-ROW(PaymentSchedule3[[#Headers],[PMT NO]])),"")</f>
        <v>297</v>
      </c>
      <c r="C308" s="20">
        <f>IF(PaymentSchedule3[[#This Row],[PMT NO]]&lt;&gt;"",EOMONTH(LoanStartDate,ROW(PaymentSchedule3[[#This Row],[PMT NO]])-ROW(PaymentSchedule3[[#Headers],[PMT NO]])-2)+DAY(LoanStartDate),"")</f>
        <v>52657</v>
      </c>
      <c r="D308" s="19">
        <f>IF(PaymentSchedule3[[#This Row],[PMT NO]]&lt;&gt;"",IF(ROW()-ROW(PaymentSchedule3[[#Headers],[BEGINNING BALANCE]])=1,LoanAmount,INDEX(PaymentSchedule3[ENDING BALANCE],ROW()-ROW(PaymentSchedule3[[#Headers],[BEGINNING BALANCE]])-1)),"")</f>
        <v>1148255.8202222455</v>
      </c>
      <c r="E308" s="19">
        <f>IF(PaymentSchedule3[[#This Row],[PMT NO]]&lt;&gt;"",ScheduledPayment,"")</f>
        <v>8358.7693880762818</v>
      </c>
      <c r="F30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0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08" s="19">
        <f>IF(PaymentSchedule3[[#This Row],[PMT NO]]&lt;&gt;"",PaymentSchedule3[[#This Row],[TOTAL PAYMENT]]-PaymentSchedule3[[#This Row],[INTEREST]],"")</f>
        <v>4531.2499873354627</v>
      </c>
      <c r="I308" s="19">
        <f>IF(PaymentSchedule3[[#This Row],[PMT NO]]&lt;&gt;"",PaymentSchedule3[[#This Row],[BEGINNING BALANCE]]*(InterestRate/PaymentsPerYear),"")</f>
        <v>3827.5194007408186</v>
      </c>
      <c r="J30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1143724.5702349101</v>
      </c>
      <c r="K308" s="19">
        <f>IF(PaymentSchedule3[[#This Row],[PMT NO]]&lt;&gt;"",SUM(INDEX(PaymentSchedule3[INTEREST],1,1):PaymentSchedule3[[#This Row],[INTEREST]]),"")</f>
        <v>1626279.0784935646</v>
      </c>
    </row>
    <row r="309" spans="2:11" x14ac:dyDescent="0.3">
      <c r="B309" s="21">
        <f>IF(LoanIsGood,IF(ROW()-ROW(PaymentSchedule3[[#Headers],[PMT NO]])&gt;ScheduledNumberOfPayments,"",ROW()-ROW(PaymentSchedule3[[#Headers],[PMT NO]])),"")</f>
        <v>298</v>
      </c>
      <c r="C309" s="20">
        <f>IF(PaymentSchedule3[[#This Row],[PMT NO]]&lt;&gt;"",EOMONTH(LoanStartDate,ROW(PaymentSchedule3[[#This Row],[PMT NO]])-ROW(PaymentSchedule3[[#Headers],[PMT NO]])-2)+DAY(LoanStartDate),"")</f>
        <v>52688</v>
      </c>
      <c r="D309" s="19">
        <f>IF(PaymentSchedule3[[#This Row],[PMT NO]]&lt;&gt;"",IF(ROW()-ROW(PaymentSchedule3[[#Headers],[BEGINNING BALANCE]])=1,LoanAmount,INDEX(PaymentSchedule3[ENDING BALANCE],ROW()-ROW(PaymentSchedule3[[#Headers],[BEGINNING BALANCE]])-1)),"")</f>
        <v>1143724.5702349101</v>
      </c>
      <c r="E309" s="19">
        <f>IF(PaymentSchedule3[[#This Row],[PMT NO]]&lt;&gt;"",ScheduledPayment,"")</f>
        <v>8358.7693880762818</v>
      </c>
      <c r="F30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0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09" s="19">
        <f>IF(PaymentSchedule3[[#This Row],[PMT NO]]&lt;&gt;"",PaymentSchedule3[[#This Row],[TOTAL PAYMENT]]-PaymentSchedule3[[#This Row],[INTEREST]],"")</f>
        <v>4546.3541539599146</v>
      </c>
      <c r="I309" s="19">
        <f>IF(PaymentSchedule3[[#This Row],[PMT NO]]&lt;&gt;"",PaymentSchedule3[[#This Row],[BEGINNING BALANCE]]*(InterestRate/PaymentsPerYear),"")</f>
        <v>3812.4152341163672</v>
      </c>
      <c r="J30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1139178.2160809501</v>
      </c>
      <c r="K309" s="19">
        <f>IF(PaymentSchedule3[[#This Row],[PMT NO]]&lt;&gt;"",SUM(INDEX(PaymentSchedule3[INTEREST],1,1):PaymentSchedule3[[#This Row],[INTEREST]]),"")</f>
        <v>1630091.493727681</v>
      </c>
    </row>
    <row r="310" spans="2:11" x14ac:dyDescent="0.3">
      <c r="B310" s="21">
        <f>IF(LoanIsGood,IF(ROW()-ROW(PaymentSchedule3[[#Headers],[PMT NO]])&gt;ScheduledNumberOfPayments,"",ROW()-ROW(PaymentSchedule3[[#Headers],[PMT NO]])),"")</f>
        <v>299</v>
      </c>
      <c r="C310" s="20">
        <f>IF(PaymentSchedule3[[#This Row],[PMT NO]]&lt;&gt;"",EOMONTH(LoanStartDate,ROW(PaymentSchedule3[[#This Row],[PMT NO]])-ROW(PaymentSchedule3[[#Headers],[PMT NO]])-2)+DAY(LoanStartDate),"")</f>
        <v>52718</v>
      </c>
      <c r="D310" s="19">
        <f>IF(PaymentSchedule3[[#This Row],[PMT NO]]&lt;&gt;"",IF(ROW()-ROW(PaymentSchedule3[[#Headers],[BEGINNING BALANCE]])=1,LoanAmount,INDEX(PaymentSchedule3[ENDING BALANCE],ROW()-ROW(PaymentSchedule3[[#Headers],[BEGINNING BALANCE]])-1)),"")</f>
        <v>1139178.2160809501</v>
      </c>
      <c r="E310" s="19">
        <f>IF(PaymentSchedule3[[#This Row],[PMT NO]]&lt;&gt;"",ScheduledPayment,"")</f>
        <v>8358.7693880762818</v>
      </c>
      <c r="F31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1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10" s="19">
        <f>IF(PaymentSchedule3[[#This Row],[PMT NO]]&lt;&gt;"",PaymentSchedule3[[#This Row],[TOTAL PAYMENT]]-PaymentSchedule3[[#This Row],[INTEREST]],"")</f>
        <v>4561.5086678064472</v>
      </c>
      <c r="I310" s="19">
        <f>IF(PaymentSchedule3[[#This Row],[PMT NO]]&lt;&gt;"",PaymentSchedule3[[#This Row],[BEGINNING BALANCE]]*(InterestRate/PaymentsPerYear),"")</f>
        <v>3797.2607202698341</v>
      </c>
      <c r="J31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1134616.7074131437</v>
      </c>
      <c r="K310" s="19">
        <f>IF(PaymentSchedule3[[#This Row],[PMT NO]]&lt;&gt;"",SUM(INDEX(PaymentSchedule3[INTEREST],1,1):PaymentSchedule3[[#This Row],[INTEREST]]),"")</f>
        <v>1633888.7544479507</v>
      </c>
    </row>
    <row r="311" spans="2:11" x14ac:dyDescent="0.3">
      <c r="B311" s="21">
        <f>IF(LoanIsGood,IF(ROW()-ROW(PaymentSchedule3[[#Headers],[PMT NO]])&gt;ScheduledNumberOfPayments,"",ROW()-ROW(PaymentSchedule3[[#Headers],[PMT NO]])),"")</f>
        <v>300</v>
      </c>
      <c r="C311" s="20">
        <f>IF(PaymentSchedule3[[#This Row],[PMT NO]]&lt;&gt;"",EOMONTH(LoanStartDate,ROW(PaymentSchedule3[[#This Row],[PMT NO]])-ROW(PaymentSchedule3[[#Headers],[PMT NO]])-2)+DAY(LoanStartDate),"")</f>
        <v>52749</v>
      </c>
      <c r="D311" s="19">
        <f>IF(PaymentSchedule3[[#This Row],[PMT NO]]&lt;&gt;"",IF(ROW()-ROW(PaymentSchedule3[[#Headers],[BEGINNING BALANCE]])=1,LoanAmount,INDEX(PaymentSchedule3[ENDING BALANCE],ROW()-ROW(PaymentSchedule3[[#Headers],[BEGINNING BALANCE]])-1)),"")</f>
        <v>1134616.7074131437</v>
      </c>
      <c r="E311" s="19">
        <f>IF(PaymentSchedule3[[#This Row],[PMT NO]]&lt;&gt;"",ScheduledPayment,"")</f>
        <v>8358.7693880762818</v>
      </c>
      <c r="F31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1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11" s="19">
        <f>IF(PaymentSchedule3[[#This Row],[PMT NO]]&lt;&gt;"",PaymentSchedule3[[#This Row],[TOTAL PAYMENT]]-PaymentSchedule3[[#This Row],[INTEREST]],"")</f>
        <v>4576.7136966991357</v>
      </c>
      <c r="I311" s="19">
        <f>IF(PaymentSchedule3[[#This Row],[PMT NO]]&lt;&gt;"",PaymentSchedule3[[#This Row],[BEGINNING BALANCE]]*(InterestRate/PaymentsPerYear),"")</f>
        <v>3782.0556913771461</v>
      </c>
      <c r="J31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1130039.9937164446</v>
      </c>
      <c r="K311" s="19">
        <f>IF(PaymentSchedule3[[#This Row],[PMT NO]]&lt;&gt;"",SUM(INDEX(PaymentSchedule3[INTEREST],1,1):PaymentSchedule3[[#This Row],[INTEREST]]),"")</f>
        <v>1637670.810139328</v>
      </c>
    </row>
    <row r="312" spans="2:11" x14ac:dyDescent="0.3">
      <c r="B312" s="21">
        <f>IF(LoanIsGood,IF(ROW()-ROW(PaymentSchedule3[[#Headers],[PMT NO]])&gt;ScheduledNumberOfPayments,"",ROW()-ROW(PaymentSchedule3[[#Headers],[PMT NO]])),"")</f>
        <v>301</v>
      </c>
      <c r="C312" s="20">
        <f>IF(PaymentSchedule3[[#This Row],[PMT NO]]&lt;&gt;"",EOMONTH(LoanStartDate,ROW(PaymentSchedule3[[#This Row],[PMT NO]])-ROW(PaymentSchedule3[[#Headers],[PMT NO]])-2)+DAY(LoanStartDate),"")</f>
        <v>52779</v>
      </c>
      <c r="D312" s="19">
        <f>IF(PaymentSchedule3[[#This Row],[PMT NO]]&lt;&gt;"",IF(ROW()-ROW(PaymentSchedule3[[#Headers],[BEGINNING BALANCE]])=1,LoanAmount,INDEX(PaymentSchedule3[ENDING BALANCE],ROW()-ROW(PaymentSchedule3[[#Headers],[BEGINNING BALANCE]])-1)),"")</f>
        <v>1130039.9937164446</v>
      </c>
      <c r="E312" s="19">
        <f>IF(PaymentSchedule3[[#This Row],[PMT NO]]&lt;&gt;"",ScheduledPayment,"")</f>
        <v>8358.7693880762818</v>
      </c>
      <c r="F31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1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12" s="19">
        <f>IF(PaymentSchedule3[[#This Row],[PMT NO]]&lt;&gt;"",PaymentSchedule3[[#This Row],[TOTAL PAYMENT]]-PaymentSchedule3[[#This Row],[INTEREST]],"")</f>
        <v>4591.9694090214662</v>
      </c>
      <c r="I312" s="19">
        <f>IF(PaymentSchedule3[[#This Row],[PMT NO]]&lt;&gt;"",PaymentSchedule3[[#This Row],[BEGINNING BALANCE]]*(InterestRate/PaymentsPerYear),"")</f>
        <v>3766.7999790548156</v>
      </c>
      <c r="J31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1125448.024307423</v>
      </c>
      <c r="K312" s="19">
        <f>IF(PaymentSchedule3[[#This Row],[PMT NO]]&lt;&gt;"",SUM(INDEX(PaymentSchedule3[INTEREST],1,1):PaymentSchedule3[[#This Row],[INTEREST]]),"")</f>
        <v>1641437.6101183828</v>
      </c>
    </row>
    <row r="313" spans="2:11" x14ac:dyDescent="0.3">
      <c r="B313" s="21">
        <f>IF(LoanIsGood,IF(ROW()-ROW(PaymentSchedule3[[#Headers],[PMT NO]])&gt;ScheduledNumberOfPayments,"",ROW()-ROW(PaymentSchedule3[[#Headers],[PMT NO]])),"")</f>
        <v>302</v>
      </c>
      <c r="C313" s="20">
        <f>IF(PaymentSchedule3[[#This Row],[PMT NO]]&lt;&gt;"",EOMONTH(LoanStartDate,ROW(PaymentSchedule3[[#This Row],[PMT NO]])-ROW(PaymentSchedule3[[#Headers],[PMT NO]])-2)+DAY(LoanStartDate),"")</f>
        <v>52810</v>
      </c>
      <c r="D313" s="19">
        <f>IF(PaymentSchedule3[[#This Row],[PMT NO]]&lt;&gt;"",IF(ROW()-ROW(PaymentSchedule3[[#Headers],[BEGINNING BALANCE]])=1,LoanAmount,INDEX(PaymentSchedule3[ENDING BALANCE],ROW()-ROW(PaymentSchedule3[[#Headers],[BEGINNING BALANCE]])-1)),"")</f>
        <v>1125448.024307423</v>
      </c>
      <c r="E313" s="19">
        <f>IF(PaymentSchedule3[[#This Row],[PMT NO]]&lt;&gt;"",ScheduledPayment,"")</f>
        <v>8358.7693880762818</v>
      </c>
      <c r="F31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1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13" s="19">
        <f>IF(PaymentSchedule3[[#This Row],[PMT NO]]&lt;&gt;"",PaymentSchedule3[[#This Row],[TOTAL PAYMENT]]-PaymentSchedule3[[#This Row],[INTEREST]],"")</f>
        <v>4607.2759737182041</v>
      </c>
      <c r="I313" s="19">
        <f>IF(PaymentSchedule3[[#This Row],[PMT NO]]&lt;&gt;"",PaymentSchedule3[[#This Row],[BEGINNING BALANCE]]*(InterestRate/PaymentsPerYear),"")</f>
        <v>3751.4934143580772</v>
      </c>
      <c r="J31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1120840.7483337049</v>
      </c>
      <c r="K313" s="19">
        <f>IF(PaymentSchedule3[[#This Row],[PMT NO]]&lt;&gt;"",SUM(INDEX(PaymentSchedule3[INTEREST],1,1):PaymentSchedule3[[#This Row],[INTEREST]]),"")</f>
        <v>1645189.1035327408</v>
      </c>
    </row>
    <row r="314" spans="2:11" x14ac:dyDescent="0.3">
      <c r="B314" s="21">
        <f>IF(LoanIsGood,IF(ROW()-ROW(PaymentSchedule3[[#Headers],[PMT NO]])&gt;ScheduledNumberOfPayments,"",ROW()-ROW(PaymentSchedule3[[#Headers],[PMT NO]])),"")</f>
        <v>303</v>
      </c>
      <c r="C314" s="20">
        <f>IF(PaymentSchedule3[[#This Row],[PMT NO]]&lt;&gt;"",EOMONTH(LoanStartDate,ROW(PaymentSchedule3[[#This Row],[PMT NO]])-ROW(PaymentSchedule3[[#Headers],[PMT NO]])-2)+DAY(LoanStartDate),"")</f>
        <v>52841</v>
      </c>
      <c r="D314" s="19">
        <f>IF(PaymentSchedule3[[#This Row],[PMT NO]]&lt;&gt;"",IF(ROW()-ROW(PaymentSchedule3[[#Headers],[BEGINNING BALANCE]])=1,LoanAmount,INDEX(PaymentSchedule3[ENDING BALANCE],ROW()-ROW(PaymentSchedule3[[#Headers],[BEGINNING BALANCE]])-1)),"")</f>
        <v>1120840.7483337049</v>
      </c>
      <c r="E314" s="19">
        <f>IF(PaymentSchedule3[[#This Row],[PMT NO]]&lt;&gt;"",ScheduledPayment,"")</f>
        <v>8358.7693880762818</v>
      </c>
      <c r="F31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1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14" s="19">
        <f>IF(PaymentSchedule3[[#This Row],[PMT NO]]&lt;&gt;"",PaymentSchedule3[[#This Row],[TOTAL PAYMENT]]-PaymentSchedule3[[#This Row],[INTEREST]],"")</f>
        <v>4622.6335602972649</v>
      </c>
      <c r="I314" s="19">
        <f>IF(PaymentSchedule3[[#This Row],[PMT NO]]&lt;&gt;"",PaymentSchedule3[[#This Row],[BEGINNING BALANCE]]*(InterestRate/PaymentsPerYear),"")</f>
        <v>3736.1358277790164</v>
      </c>
      <c r="J31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1116218.1147734076</v>
      </c>
      <c r="K314" s="19">
        <f>IF(PaymentSchedule3[[#This Row],[PMT NO]]&lt;&gt;"",SUM(INDEX(PaymentSchedule3[INTEREST],1,1):PaymentSchedule3[[#This Row],[INTEREST]]),"")</f>
        <v>1648925.2393605199</v>
      </c>
    </row>
    <row r="315" spans="2:11" x14ac:dyDescent="0.3">
      <c r="B315" s="21">
        <f>IF(LoanIsGood,IF(ROW()-ROW(PaymentSchedule3[[#Headers],[PMT NO]])&gt;ScheduledNumberOfPayments,"",ROW()-ROW(PaymentSchedule3[[#Headers],[PMT NO]])),"")</f>
        <v>304</v>
      </c>
      <c r="C315" s="20">
        <f>IF(PaymentSchedule3[[#This Row],[PMT NO]]&lt;&gt;"",EOMONTH(LoanStartDate,ROW(PaymentSchedule3[[#This Row],[PMT NO]])-ROW(PaymentSchedule3[[#Headers],[PMT NO]])-2)+DAY(LoanStartDate),"")</f>
        <v>52871</v>
      </c>
      <c r="D315" s="19">
        <f>IF(PaymentSchedule3[[#This Row],[PMT NO]]&lt;&gt;"",IF(ROW()-ROW(PaymentSchedule3[[#Headers],[BEGINNING BALANCE]])=1,LoanAmount,INDEX(PaymentSchedule3[ENDING BALANCE],ROW()-ROW(PaymentSchedule3[[#Headers],[BEGINNING BALANCE]])-1)),"")</f>
        <v>1116218.1147734076</v>
      </c>
      <c r="E315" s="19">
        <f>IF(PaymentSchedule3[[#This Row],[PMT NO]]&lt;&gt;"",ScheduledPayment,"")</f>
        <v>8358.7693880762818</v>
      </c>
      <c r="F31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1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15" s="19">
        <f>IF(PaymentSchedule3[[#This Row],[PMT NO]]&lt;&gt;"",PaymentSchedule3[[#This Row],[TOTAL PAYMENT]]-PaymentSchedule3[[#This Row],[INTEREST]],"")</f>
        <v>4638.0423388315894</v>
      </c>
      <c r="I315" s="19">
        <f>IF(PaymentSchedule3[[#This Row],[PMT NO]]&lt;&gt;"",PaymentSchedule3[[#This Row],[BEGINNING BALANCE]]*(InterestRate/PaymentsPerYear),"")</f>
        <v>3720.7270492446924</v>
      </c>
      <c r="J31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1111580.072434576</v>
      </c>
      <c r="K315" s="19">
        <f>IF(PaymentSchedule3[[#This Row],[PMT NO]]&lt;&gt;"",SUM(INDEX(PaymentSchedule3[INTEREST],1,1):PaymentSchedule3[[#This Row],[INTEREST]]),"")</f>
        <v>1652645.9664097647</v>
      </c>
    </row>
    <row r="316" spans="2:11" x14ac:dyDescent="0.3">
      <c r="B316" s="21">
        <f>IF(LoanIsGood,IF(ROW()-ROW(PaymentSchedule3[[#Headers],[PMT NO]])&gt;ScheduledNumberOfPayments,"",ROW()-ROW(PaymentSchedule3[[#Headers],[PMT NO]])),"")</f>
        <v>305</v>
      </c>
      <c r="C316" s="20">
        <f>IF(PaymentSchedule3[[#This Row],[PMT NO]]&lt;&gt;"",EOMONTH(LoanStartDate,ROW(PaymentSchedule3[[#This Row],[PMT NO]])-ROW(PaymentSchedule3[[#Headers],[PMT NO]])-2)+DAY(LoanStartDate),"")</f>
        <v>52902</v>
      </c>
      <c r="D316" s="19">
        <f>IF(PaymentSchedule3[[#This Row],[PMT NO]]&lt;&gt;"",IF(ROW()-ROW(PaymentSchedule3[[#Headers],[BEGINNING BALANCE]])=1,LoanAmount,INDEX(PaymentSchedule3[ENDING BALANCE],ROW()-ROW(PaymentSchedule3[[#Headers],[BEGINNING BALANCE]])-1)),"")</f>
        <v>1111580.072434576</v>
      </c>
      <c r="E316" s="19">
        <f>IF(PaymentSchedule3[[#This Row],[PMT NO]]&lt;&gt;"",ScheduledPayment,"")</f>
        <v>8358.7693880762818</v>
      </c>
      <c r="F31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1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16" s="19">
        <f>IF(PaymentSchedule3[[#This Row],[PMT NO]]&lt;&gt;"",PaymentSchedule3[[#This Row],[TOTAL PAYMENT]]-PaymentSchedule3[[#This Row],[INTEREST]],"")</f>
        <v>4653.5024799610283</v>
      </c>
      <c r="I316" s="19">
        <f>IF(PaymentSchedule3[[#This Row],[PMT NO]]&lt;&gt;"",PaymentSchedule3[[#This Row],[BEGINNING BALANCE]]*(InterestRate/PaymentsPerYear),"")</f>
        <v>3705.2669081152535</v>
      </c>
      <c r="J31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1106926.5699546149</v>
      </c>
      <c r="K316" s="19">
        <f>IF(PaymentSchedule3[[#This Row],[PMT NO]]&lt;&gt;"",SUM(INDEX(PaymentSchedule3[INTEREST],1,1):PaymentSchedule3[[#This Row],[INTEREST]]),"")</f>
        <v>1656351.23331788</v>
      </c>
    </row>
    <row r="317" spans="2:11" x14ac:dyDescent="0.3">
      <c r="B317" s="21">
        <f>IF(LoanIsGood,IF(ROW()-ROW(PaymentSchedule3[[#Headers],[PMT NO]])&gt;ScheduledNumberOfPayments,"",ROW()-ROW(PaymentSchedule3[[#Headers],[PMT NO]])),"")</f>
        <v>306</v>
      </c>
      <c r="C317" s="20">
        <f>IF(PaymentSchedule3[[#This Row],[PMT NO]]&lt;&gt;"",EOMONTH(LoanStartDate,ROW(PaymentSchedule3[[#This Row],[PMT NO]])-ROW(PaymentSchedule3[[#Headers],[PMT NO]])-2)+DAY(LoanStartDate),"")</f>
        <v>52932</v>
      </c>
      <c r="D317" s="19">
        <f>IF(PaymentSchedule3[[#This Row],[PMT NO]]&lt;&gt;"",IF(ROW()-ROW(PaymentSchedule3[[#Headers],[BEGINNING BALANCE]])=1,LoanAmount,INDEX(PaymentSchedule3[ENDING BALANCE],ROW()-ROW(PaymentSchedule3[[#Headers],[BEGINNING BALANCE]])-1)),"")</f>
        <v>1106926.5699546149</v>
      </c>
      <c r="E317" s="19">
        <f>IF(PaymentSchedule3[[#This Row],[PMT NO]]&lt;&gt;"",ScheduledPayment,"")</f>
        <v>8358.7693880762818</v>
      </c>
      <c r="F31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1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17" s="19">
        <f>IF(PaymentSchedule3[[#This Row],[PMT NO]]&lt;&gt;"",PaymentSchedule3[[#This Row],[TOTAL PAYMENT]]-PaymentSchedule3[[#This Row],[INTEREST]],"")</f>
        <v>4669.014154894232</v>
      </c>
      <c r="I317" s="19">
        <f>IF(PaymentSchedule3[[#This Row],[PMT NO]]&lt;&gt;"",PaymentSchedule3[[#This Row],[BEGINNING BALANCE]]*(InterestRate/PaymentsPerYear),"")</f>
        <v>3689.7552331820498</v>
      </c>
      <c r="J31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1102257.5557997206</v>
      </c>
      <c r="K317" s="19">
        <f>IF(PaymentSchedule3[[#This Row],[PMT NO]]&lt;&gt;"",SUM(INDEX(PaymentSchedule3[INTEREST],1,1):PaymentSchedule3[[#This Row],[INTEREST]]),"")</f>
        <v>1660040.9885510621</v>
      </c>
    </row>
    <row r="318" spans="2:11" x14ac:dyDescent="0.3">
      <c r="B318" s="21">
        <f>IF(LoanIsGood,IF(ROW()-ROW(PaymentSchedule3[[#Headers],[PMT NO]])&gt;ScheduledNumberOfPayments,"",ROW()-ROW(PaymentSchedule3[[#Headers],[PMT NO]])),"")</f>
        <v>307</v>
      </c>
      <c r="C318" s="20">
        <f>IF(PaymentSchedule3[[#This Row],[PMT NO]]&lt;&gt;"",EOMONTH(LoanStartDate,ROW(PaymentSchedule3[[#This Row],[PMT NO]])-ROW(PaymentSchedule3[[#Headers],[PMT NO]])-2)+DAY(LoanStartDate),"")</f>
        <v>52963</v>
      </c>
      <c r="D318" s="19">
        <f>IF(PaymentSchedule3[[#This Row],[PMT NO]]&lt;&gt;"",IF(ROW()-ROW(PaymentSchedule3[[#Headers],[BEGINNING BALANCE]])=1,LoanAmount,INDEX(PaymentSchedule3[ENDING BALANCE],ROW()-ROW(PaymentSchedule3[[#Headers],[BEGINNING BALANCE]])-1)),"")</f>
        <v>1102257.5557997206</v>
      </c>
      <c r="E318" s="19">
        <f>IF(PaymentSchedule3[[#This Row],[PMT NO]]&lt;&gt;"",ScheduledPayment,"")</f>
        <v>8358.7693880762818</v>
      </c>
      <c r="F31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1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18" s="19">
        <f>IF(PaymentSchedule3[[#This Row],[PMT NO]]&lt;&gt;"",PaymentSchedule3[[#This Row],[TOTAL PAYMENT]]-PaymentSchedule3[[#This Row],[INTEREST]],"")</f>
        <v>4684.5775354105463</v>
      </c>
      <c r="I318" s="19">
        <f>IF(PaymentSchedule3[[#This Row],[PMT NO]]&lt;&gt;"",PaymentSchedule3[[#This Row],[BEGINNING BALANCE]]*(InterestRate/PaymentsPerYear),"")</f>
        <v>3674.1918526657355</v>
      </c>
      <c r="J31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1097572.9782643099</v>
      </c>
      <c r="K318" s="19">
        <f>IF(PaymentSchedule3[[#This Row],[PMT NO]]&lt;&gt;"",SUM(INDEX(PaymentSchedule3[INTEREST],1,1):PaymentSchedule3[[#This Row],[INTEREST]]),"")</f>
        <v>1663715.1804037278</v>
      </c>
    </row>
    <row r="319" spans="2:11" x14ac:dyDescent="0.3">
      <c r="B319" s="21">
        <f>IF(LoanIsGood,IF(ROW()-ROW(PaymentSchedule3[[#Headers],[PMT NO]])&gt;ScheduledNumberOfPayments,"",ROW()-ROW(PaymentSchedule3[[#Headers],[PMT NO]])),"")</f>
        <v>308</v>
      </c>
      <c r="C319" s="20">
        <f>IF(PaymentSchedule3[[#This Row],[PMT NO]]&lt;&gt;"",EOMONTH(LoanStartDate,ROW(PaymentSchedule3[[#This Row],[PMT NO]])-ROW(PaymentSchedule3[[#Headers],[PMT NO]])-2)+DAY(LoanStartDate),"")</f>
        <v>52994</v>
      </c>
      <c r="D319" s="19">
        <f>IF(PaymentSchedule3[[#This Row],[PMT NO]]&lt;&gt;"",IF(ROW()-ROW(PaymentSchedule3[[#Headers],[BEGINNING BALANCE]])=1,LoanAmount,INDEX(PaymentSchedule3[ENDING BALANCE],ROW()-ROW(PaymentSchedule3[[#Headers],[BEGINNING BALANCE]])-1)),"")</f>
        <v>1097572.9782643099</v>
      </c>
      <c r="E319" s="19">
        <f>IF(PaymentSchedule3[[#This Row],[PMT NO]]&lt;&gt;"",ScheduledPayment,"")</f>
        <v>8358.7693880762818</v>
      </c>
      <c r="F31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1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19" s="19">
        <f>IF(PaymentSchedule3[[#This Row],[PMT NO]]&lt;&gt;"",PaymentSchedule3[[#This Row],[TOTAL PAYMENT]]-PaymentSchedule3[[#This Row],[INTEREST]],"")</f>
        <v>4700.1927938619156</v>
      </c>
      <c r="I319" s="19">
        <f>IF(PaymentSchedule3[[#This Row],[PMT NO]]&lt;&gt;"",PaymentSchedule3[[#This Row],[BEGINNING BALANCE]]*(InterestRate/PaymentsPerYear),"")</f>
        <v>3658.5765942143667</v>
      </c>
      <c r="J31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1092872.785470448</v>
      </c>
      <c r="K319" s="19">
        <f>IF(PaymentSchedule3[[#This Row],[PMT NO]]&lt;&gt;"",SUM(INDEX(PaymentSchedule3[INTEREST],1,1):PaymentSchedule3[[#This Row],[INTEREST]]),"")</f>
        <v>1667373.7569979422</v>
      </c>
    </row>
    <row r="320" spans="2:11" x14ac:dyDescent="0.3">
      <c r="B320" s="21">
        <f>IF(LoanIsGood,IF(ROW()-ROW(PaymentSchedule3[[#Headers],[PMT NO]])&gt;ScheduledNumberOfPayments,"",ROW()-ROW(PaymentSchedule3[[#Headers],[PMT NO]])),"")</f>
        <v>309</v>
      </c>
      <c r="C320" s="20">
        <f>IF(PaymentSchedule3[[#This Row],[PMT NO]]&lt;&gt;"",EOMONTH(LoanStartDate,ROW(PaymentSchedule3[[#This Row],[PMT NO]])-ROW(PaymentSchedule3[[#Headers],[PMT NO]])-2)+DAY(LoanStartDate),"")</f>
        <v>53022</v>
      </c>
      <c r="D320" s="19">
        <f>IF(PaymentSchedule3[[#This Row],[PMT NO]]&lt;&gt;"",IF(ROW()-ROW(PaymentSchedule3[[#Headers],[BEGINNING BALANCE]])=1,LoanAmount,INDEX(PaymentSchedule3[ENDING BALANCE],ROW()-ROW(PaymentSchedule3[[#Headers],[BEGINNING BALANCE]])-1)),"")</f>
        <v>1092872.785470448</v>
      </c>
      <c r="E320" s="19">
        <f>IF(PaymentSchedule3[[#This Row],[PMT NO]]&lt;&gt;"",ScheduledPayment,"")</f>
        <v>8358.7693880762818</v>
      </c>
      <c r="F32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2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20" s="19">
        <f>IF(PaymentSchedule3[[#This Row],[PMT NO]]&lt;&gt;"",PaymentSchedule3[[#This Row],[TOTAL PAYMENT]]-PaymentSchedule3[[#This Row],[INTEREST]],"")</f>
        <v>4715.8601031747885</v>
      </c>
      <c r="I320" s="19">
        <f>IF(PaymentSchedule3[[#This Row],[PMT NO]]&lt;&gt;"",PaymentSchedule3[[#This Row],[BEGINNING BALANCE]]*(InterestRate/PaymentsPerYear),"")</f>
        <v>3642.9092849014933</v>
      </c>
      <c r="J32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1088156.9253672732</v>
      </c>
      <c r="K320" s="19">
        <f>IF(PaymentSchedule3[[#This Row],[PMT NO]]&lt;&gt;"",SUM(INDEX(PaymentSchedule3[INTEREST],1,1):PaymentSchedule3[[#This Row],[INTEREST]]),"")</f>
        <v>1671016.6662828438</v>
      </c>
    </row>
    <row r="321" spans="2:11" x14ac:dyDescent="0.3">
      <c r="B321" s="21">
        <f>IF(LoanIsGood,IF(ROW()-ROW(PaymentSchedule3[[#Headers],[PMT NO]])&gt;ScheduledNumberOfPayments,"",ROW()-ROW(PaymentSchedule3[[#Headers],[PMT NO]])),"")</f>
        <v>310</v>
      </c>
      <c r="C321" s="20">
        <f>IF(PaymentSchedule3[[#This Row],[PMT NO]]&lt;&gt;"",EOMONTH(LoanStartDate,ROW(PaymentSchedule3[[#This Row],[PMT NO]])-ROW(PaymentSchedule3[[#Headers],[PMT NO]])-2)+DAY(LoanStartDate),"")</f>
        <v>53053</v>
      </c>
      <c r="D321" s="19">
        <f>IF(PaymentSchedule3[[#This Row],[PMT NO]]&lt;&gt;"",IF(ROW()-ROW(PaymentSchedule3[[#Headers],[BEGINNING BALANCE]])=1,LoanAmount,INDEX(PaymentSchedule3[ENDING BALANCE],ROW()-ROW(PaymentSchedule3[[#Headers],[BEGINNING BALANCE]])-1)),"")</f>
        <v>1088156.9253672732</v>
      </c>
      <c r="E321" s="19">
        <f>IF(PaymentSchedule3[[#This Row],[PMT NO]]&lt;&gt;"",ScheduledPayment,"")</f>
        <v>8358.7693880762818</v>
      </c>
      <c r="F32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2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21" s="19">
        <f>IF(PaymentSchedule3[[#This Row],[PMT NO]]&lt;&gt;"",PaymentSchedule3[[#This Row],[TOTAL PAYMENT]]-PaymentSchedule3[[#This Row],[INTEREST]],"")</f>
        <v>4731.5796368520378</v>
      </c>
      <c r="I321" s="19">
        <f>IF(PaymentSchedule3[[#This Row],[PMT NO]]&lt;&gt;"",PaymentSchedule3[[#This Row],[BEGINNING BALANCE]]*(InterestRate/PaymentsPerYear),"")</f>
        <v>3627.189751224244</v>
      </c>
      <c r="J32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1083425.3457304211</v>
      </c>
      <c r="K321" s="19">
        <f>IF(PaymentSchedule3[[#This Row],[PMT NO]]&lt;&gt;"",SUM(INDEX(PaymentSchedule3[INTEREST],1,1):PaymentSchedule3[[#This Row],[INTEREST]]),"")</f>
        <v>1674643.8560340682</v>
      </c>
    </row>
    <row r="322" spans="2:11" x14ac:dyDescent="0.3">
      <c r="B322" s="21">
        <f>IF(LoanIsGood,IF(ROW()-ROW(PaymentSchedule3[[#Headers],[PMT NO]])&gt;ScheduledNumberOfPayments,"",ROW()-ROW(PaymentSchedule3[[#Headers],[PMT NO]])),"")</f>
        <v>311</v>
      </c>
      <c r="C322" s="20">
        <f>IF(PaymentSchedule3[[#This Row],[PMT NO]]&lt;&gt;"",EOMONTH(LoanStartDate,ROW(PaymentSchedule3[[#This Row],[PMT NO]])-ROW(PaymentSchedule3[[#Headers],[PMT NO]])-2)+DAY(LoanStartDate),"")</f>
        <v>53083</v>
      </c>
      <c r="D322" s="19">
        <f>IF(PaymentSchedule3[[#This Row],[PMT NO]]&lt;&gt;"",IF(ROW()-ROW(PaymentSchedule3[[#Headers],[BEGINNING BALANCE]])=1,LoanAmount,INDEX(PaymentSchedule3[ENDING BALANCE],ROW()-ROW(PaymentSchedule3[[#Headers],[BEGINNING BALANCE]])-1)),"")</f>
        <v>1083425.3457304211</v>
      </c>
      <c r="E322" s="19">
        <f>IF(PaymentSchedule3[[#This Row],[PMT NO]]&lt;&gt;"",ScheduledPayment,"")</f>
        <v>8358.7693880762818</v>
      </c>
      <c r="F32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2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22" s="19">
        <f>IF(PaymentSchedule3[[#This Row],[PMT NO]]&lt;&gt;"",PaymentSchedule3[[#This Row],[TOTAL PAYMENT]]-PaymentSchedule3[[#This Row],[INTEREST]],"")</f>
        <v>4747.3515689748783</v>
      </c>
      <c r="I322" s="19">
        <f>IF(PaymentSchedule3[[#This Row],[PMT NO]]&lt;&gt;"",PaymentSchedule3[[#This Row],[BEGINNING BALANCE]]*(InterestRate/PaymentsPerYear),"")</f>
        <v>3611.4178191014039</v>
      </c>
      <c r="J32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1078677.9941614463</v>
      </c>
      <c r="K322" s="19">
        <f>IF(PaymentSchedule3[[#This Row],[PMT NO]]&lt;&gt;"",SUM(INDEX(PaymentSchedule3[INTEREST],1,1):PaymentSchedule3[[#This Row],[INTEREST]]),"")</f>
        <v>1678255.2738531695</v>
      </c>
    </row>
    <row r="323" spans="2:11" x14ac:dyDescent="0.3">
      <c r="B323" s="21">
        <f>IF(LoanIsGood,IF(ROW()-ROW(PaymentSchedule3[[#Headers],[PMT NO]])&gt;ScheduledNumberOfPayments,"",ROW()-ROW(PaymentSchedule3[[#Headers],[PMT NO]])),"")</f>
        <v>312</v>
      </c>
      <c r="C323" s="20">
        <f>IF(PaymentSchedule3[[#This Row],[PMT NO]]&lt;&gt;"",EOMONTH(LoanStartDate,ROW(PaymentSchedule3[[#This Row],[PMT NO]])-ROW(PaymentSchedule3[[#Headers],[PMT NO]])-2)+DAY(LoanStartDate),"")</f>
        <v>53114</v>
      </c>
      <c r="D323" s="19">
        <f>IF(PaymentSchedule3[[#This Row],[PMT NO]]&lt;&gt;"",IF(ROW()-ROW(PaymentSchedule3[[#Headers],[BEGINNING BALANCE]])=1,LoanAmount,INDEX(PaymentSchedule3[ENDING BALANCE],ROW()-ROW(PaymentSchedule3[[#Headers],[BEGINNING BALANCE]])-1)),"")</f>
        <v>1078677.9941614463</v>
      </c>
      <c r="E323" s="19">
        <f>IF(PaymentSchedule3[[#This Row],[PMT NO]]&lt;&gt;"",ScheduledPayment,"")</f>
        <v>8358.7693880762818</v>
      </c>
      <c r="F32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2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23" s="19">
        <f>IF(PaymentSchedule3[[#This Row],[PMT NO]]&lt;&gt;"",PaymentSchedule3[[#This Row],[TOTAL PAYMENT]]-PaymentSchedule3[[#This Row],[INTEREST]],"")</f>
        <v>4763.1760742047936</v>
      </c>
      <c r="I323" s="19">
        <f>IF(PaymentSchedule3[[#This Row],[PMT NO]]&lt;&gt;"",PaymentSchedule3[[#This Row],[BEGINNING BALANCE]]*(InterestRate/PaymentsPerYear),"")</f>
        <v>3595.5933138714881</v>
      </c>
      <c r="J32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1073914.8180872416</v>
      </c>
      <c r="K323" s="19">
        <f>IF(PaymentSchedule3[[#This Row],[PMT NO]]&lt;&gt;"",SUM(INDEX(PaymentSchedule3[INTEREST],1,1):PaymentSchedule3[[#This Row],[INTEREST]]),"")</f>
        <v>1681850.8671670409</v>
      </c>
    </row>
    <row r="324" spans="2:11" x14ac:dyDescent="0.3">
      <c r="B324" s="21">
        <f>IF(LoanIsGood,IF(ROW()-ROW(PaymentSchedule3[[#Headers],[PMT NO]])&gt;ScheduledNumberOfPayments,"",ROW()-ROW(PaymentSchedule3[[#Headers],[PMT NO]])),"")</f>
        <v>313</v>
      </c>
      <c r="C324" s="20">
        <f>IF(PaymentSchedule3[[#This Row],[PMT NO]]&lt;&gt;"",EOMONTH(LoanStartDate,ROW(PaymentSchedule3[[#This Row],[PMT NO]])-ROW(PaymentSchedule3[[#Headers],[PMT NO]])-2)+DAY(LoanStartDate),"")</f>
        <v>53144</v>
      </c>
      <c r="D324" s="19">
        <f>IF(PaymentSchedule3[[#This Row],[PMT NO]]&lt;&gt;"",IF(ROW()-ROW(PaymentSchedule3[[#Headers],[BEGINNING BALANCE]])=1,LoanAmount,INDEX(PaymentSchedule3[ENDING BALANCE],ROW()-ROW(PaymentSchedule3[[#Headers],[BEGINNING BALANCE]])-1)),"")</f>
        <v>1073914.8180872416</v>
      </c>
      <c r="E324" s="19">
        <f>IF(PaymentSchedule3[[#This Row],[PMT NO]]&lt;&gt;"",ScheduledPayment,"")</f>
        <v>8358.7693880762818</v>
      </c>
      <c r="F32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2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24" s="19">
        <f>IF(PaymentSchedule3[[#This Row],[PMT NO]]&lt;&gt;"",PaymentSchedule3[[#This Row],[TOTAL PAYMENT]]-PaymentSchedule3[[#This Row],[INTEREST]],"")</f>
        <v>4779.0533277854756</v>
      </c>
      <c r="I324" s="19">
        <f>IF(PaymentSchedule3[[#This Row],[PMT NO]]&lt;&gt;"",PaymentSchedule3[[#This Row],[BEGINNING BALANCE]]*(InterestRate/PaymentsPerYear),"")</f>
        <v>3579.7160602908057</v>
      </c>
      <c r="J32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1069135.764759456</v>
      </c>
      <c r="K324" s="19">
        <f>IF(PaymentSchedule3[[#This Row],[PMT NO]]&lt;&gt;"",SUM(INDEX(PaymentSchedule3[INTEREST],1,1):PaymentSchedule3[[#This Row],[INTEREST]]),"")</f>
        <v>1685430.5832273318</v>
      </c>
    </row>
    <row r="325" spans="2:11" x14ac:dyDescent="0.3">
      <c r="B325" s="21">
        <f>IF(LoanIsGood,IF(ROW()-ROW(PaymentSchedule3[[#Headers],[PMT NO]])&gt;ScheduledNumberOfPayments,"",ROW()-ROW(PaymentSchedule3[[#Headers],[PMT NO]])),"")</f>
        <v>314</v>
      </c>
      <c r="C325" s="20">
        <f>IF(PaymentSchedule3[[#This Row],[PMT NO]]&lt;&gt;"",EOMONTH(LoanStartDate,ROW(PaymentSchedule3[[#This Row],[PMT NO]])-ROW(PaymentSchedule3[[#Headers],[PMT NO]])-2)+DAY(LoanStartDate),"")</f>
        <v>53175</v>
      </c>
      <c r="D325" s="19">
        <f>IF(PaymentSchedule3[[#This Row],[PMT NO]]&lt;&gt;"",IF(ROW()-ROW(PaymentSchedule3[[#Headers],[BEGINNING BALANCE]])=1,LoanAmount,INDEX(PaymentSchedule3[ENDING BALANCE],ROW()-ROW(PaymentSchedule3[[#Headers],[BEGINNING BALANCE]])-1)),"")</f>
        <v>1069135.764759456</v>
      </c>
      <c r="E325" s="19">
        <f>IF(PaymentSchedule3[[#This Row],[PMT NO]]&lt;&gt;"",ScheduledPayment,"")</f>
        <v>8358.7693880762818</v>
      </c>
      <c r="F32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2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25" s="19">
        <f>IF(PaymentSchedule3[[#This Row],[PMT NO]]&lt;&gt;"",PaymentSchedule3[[#This Row],[TOTAL PAYMENT]]-PaymentSchedule3[[#This Row],[INTEREST]],"")</f>
        <v>4794.983505544762</v>
      </c>
      <c r="I325" s="19">
        <f>IF(PaymentSchedule3[[#This Row],[PMT NO]]&lt;&gt;"",PaymentSchedule3[[#This Row],[BEGINNING BALANCE]]*(InterestRate/PaymentsPerYear),"")</f>
        <v>3563.7858825315202</v>
      </c>
      <c r="J32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1064340.7812539113</v>
      </c>
      <c r="K325" s="19">
        <f>IF(PaymentSchedule3[[#This Row],[PMT NO]]&lt;&gt;"",SUM(INDEX(PaymentSchedule3[INTEREST],1,1):PaymentSchedule3[[#This Row],[INTEREST]]),"")</f>
        <v>1688994.3691098632</v>
      </c>
    </row>
    <row r="326" spans="2:11" x14ac:dyDescent="0.3">
      <c r="B326" s="21">
        <f>IF(LoanIsGood,IF(ROW()-ROW(PaymentSchedule3[[#Headers],[PMT NO]])&gt;ScheduledNumberOfPayments,"",ROW()-ROW(PaymentSchedule3[[#Headers],[PMT NO]])),"")</f>
        <v>315</v>
      </c>
      <c r="C326" s="20">
        <f>IF(PaymentSchedule3[[#This Row],[PMT NO]]&lt;&gt;"",EOMONTH(LoanStartDate,ROW(PaymentSchedule3[[#This Row],[PMT NO]])-ROW(PaymentSchedule3[[#Headers],[PMT NO]])-2)+DAY(LoanStartDate),"")</f>
        <v>53206</v>
      </c>
      <c r="D326" s="19">
        <f>IF(PaymentSchedule3[[#This Row],[PMT NO]]&lt;&gt;"",IF(ROW()-ROW(PaymentSchedule3[[#Headers],[BEGINNING BALANCE]])=1,LoanAmount,INDEX(PaymentSchedule3[ENDING BALANCE],ROW()-ROW(PaymentSchedule3[[#Headers],[BEGINNING BALANCE]])-1)),"")</f>
        <v>1064340.7812539113</v>
      </c>
      <c r="E326" s="19">
        <f>IF(PaymentSchedule3[[#This Row],[PMT NO]]&lt;&gt;"",ScheduledPayment,"")</f>
        <v>8358.7693880762818</v>
      </c>
      <c r="F32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2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26" s="19">
        <f>IF(PaymentSchedule3[[#This Row],[PMT NO]]&lt;&gt;"",PaymentSchedule3[[#This Row],[TOTAL PAYMENT]]-PaymentSchedule3[[#This Row],[INTEREST]],"")</f>
        <v>4810.966783896577</v>
      </c>
      <c r="I326" s="19">
        <f>IF(PaymentSchedule3[[#This Row],[PMT NO]]&lt;&gt;"",PaymentSchedule3[[#This Row],[BEGINNING BALANCE]]*(InterestRate/PaymentsPerYear),"")</f>
        <v>3547.8026041797048</v>
      </c>
      <c r="J32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1059529.8144700148</v>
      </c>
      <c r="K326" s="19">
        <f>IF(PaymentSchedule3[[#This Row],[PMT NO]]&lt;&gt;"",SUM(INDEX(PaymentSchedule3[INTEREST],1,1):PaymentSchedule3[[#This Row],[INTEREST]]),"")</f>
        <v>1692542.1717140428</v>
      </c>
    </row>
    <row r="327" spans="2:11" x14ac:dyDescent="0.3">
      <c r="B327" s="21">
        <f>IF(LoanIsGood,IF(ROW()-ROW(PaymentSchedule3[[#Headers],[PMT NO]])&gt;ScheduledNumberOfPayments,"",ROW()-ROW(PaymentSchedule3[[#Headers],[PMT NO]])),"")</f>
        <v>316</v>
      </c>
      <c r="C327" s="20">
        <f>IF(PaymentSchedule3[[#This Row],[PMT NO]]&lt;&gt;"",EOMONTH(LoanStartDate,ROW(PaymentSchedule3[[#This Row],[PMT NO]])-ROW(PaymentSchedule3[[#Headers],[PMT NO]])-2)+DAY(LoanStartDate),"")</f>
        <v>53236</v>
      </c>
      <c r="D327" s="19">
        <f>IF(PaymentSchedule3[[#This Row],[PMT NO]]&lt;&gt;"",IF(ROW()-ROW(PaymentSchedule3[[#Headers],[BEGINNING BALANCE]])=1,LoanAmount,INDEX(PaymentSchedule3[ENDING BALANCE],ROW()-ROW(PaymentSchedule3[[#Headers],[BEGINNING BALANCE]])-1)),"")</f>
        <v>1059529.8144700148</v>
      </c>
      <c r="E327" s="19">
        <f>IF(PaymentSchedule3[[#This Row],[PMT NO]]&lt;&gt;"",ScheduledPayment,"")</f>
        <v>8358.7693880762818</v>
      </c>
      <c r="F32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2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27" s="19">
        <f>IF(PaymentSchedule3[[#This Row],[PMT NO]]&lt;&gt;"",PaymentSchedule3[[#This Row],[TOTAL PAYMENT]]-PaymentSchedule3[[#This Row],[INTEREST]],"")</f>
        <v>4827.0033398428986</v>
      </c>
      <c r="I327" s="19">
        <f>IF(PaymentSchedule3[[#This Row],[PMT NO]]&lt;&gt;"",PaymentSchedule3[[#This Row],[BEGINNING BALANCE]]*(InterestRate/PaymentsPerYear),"")</f>
        <v>3531.7660482333827</v>
      </c>
      <c r="J32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1054702.8111301719</v>
      </c>
      <c r="K327" s="19">
        <f>IF(PaymentSchedule3[[#This Row],[PMT NO]]&lt;&gt;"",SUM(INDEX(PaymentSchedule3[INTEREST],1,1):PaymentSchedule3[[#This Row],[INTEREST]]),"")</f>
        <v>1696073.9377622763</v>
      </c>
    </row>
    <row r="328" spans="2:11" x14ac:dyDescent="0.3">
      <c r="B328" s="21">
        <f>IF(LoanIsGood,IF(ROW()-ROW(PaymentSchedule3[[#Headers],[PMT NO]])&gt;ScheduledNumberOfPayments,"",ROW()-ROW(PaymentSchedule3[[#Headers],[PMT NO]])),"")</f>
        <v>317</v>
      </c>
      <c r="C328" s="20">
        <f>IF(PaymentSchedule3[[#This Row],[PMT NO]]&lt;&gt;"",EOMONTH(LoanStartDate,ROW(PaymentSchedule3[[#This Row],[PMT NO]])-ROW(PaymentSchedule3[[#Headers],[PMT NO]])-2)+DAY(LoanStartDate),"")</f>
        <v>53267</v>
      </c>
      <c r="D328" s="19">
        <f>IF(PaymentSchedule3[[#This Row],[PMT NO]]&lt;&gt;"",IF(ROW()-ROW(PaymentSchedule3[[#Headers],[BEGINNING BALANCE]])=1,LoanAmount,INDEX(PaymentSchedule3[ENDING BALANCE],ROW()-ROW(PaymentSchedule3[[#Headers],[BEGINNING BALANCE]])-1)),"")</f>
        <v>1054702.8111301719</v>
      </c>
      <c r="E328" s="19">
        <f>IF(PaymentSchedule3[[#This Row],[PMT NO]]&lt;&gt;"",ScheduledPayment,"")</f>
        <v>8358.7693880762818</v>
      </c>
      <c r="F32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2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28" s="19">
        <f>IF(PaymentSchedule3[[#This Row],[PMT NO]]&lt;&gt;"",PaymentSchedule3[[#This Row],[TOTAL PAYMENT]]-PaymentSchedule3[[#This Row],[INTEREST]],"")</f>
        <v>4843.0933509757087</v>
      </c>
      <c r="I328" s="19">
        <f>IF(PaymentSchedule3[[#This Row],[PMT NO]]&lt;&gt;"",PaymentSchedule3[[#This Row],[BEGINNING BALANCE]]*(InterestRate/PaymentsPerYear),"")</f>
        <v>3515.676037100573</v>
      </c>
      <c r="J32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1049859.7177791961</v>
      </c>
      <c r="K328" s="19">
        <f>IF(PaymentSchedule3[[#This Row],[PMT NO]]&lt;&gt;"",SUM(INDEX(PaymentSchedule3[INTEREST],1,1):PaymentSchedule3[[#This Row],[INTEREST]]),"")</f>
        <v>1699589.6137993769</v>
      </c>
    </row>
    <row r="329" spans="2:11" x14ac:dyDescent="0.3">
      <c r="B329" s="21">
        <f>IF(LoanIsGood,IF(ROW()-ROW(PaymentSchedule3[[#Headers],[PMT NO]])&gt;ScheduledNumberOfPayments,"",ROW()-ROW(PaymentSchedule3[[#Headers],[PMT NO]])),"")</f>
        <v>318</v>
      </c>
      <c r="C329" s="20">
        <f>IF(PaymentSchedule3[[#This Row],[PMT NO]]&lt;&gt;"",EOMONTH(LoanStartDate,ROW(PaymentSchedule3[[#This Row],[PMT NO]])-ROW(PaymentSchedule3[[#Headers],[PMT NO]])-2)+DAY(LoanStartDate),"")</f>
        <v>53297</v>
      </c>
      <c r="D329" s="19">
        <f>IF(PaymentSchedule3[[#This Row],[PMT NO]]&lt;&gt;"",IF(ROW()-ROW(PaymentSchedule3[[#Headers],[BEGINNING BALANCE]])=1,LoanAmount,INDEX(PaymentSchedule3[ENDING BALANCE],ROW()-ROW(PaymentSchedule3[[#Headers],[BEGINNING BALANCE]])-1)),"")</f>
        <v>1049859.7177791961</v>
      </c>
      <c r="E329" s="19">
        <f>IF(PaymentSchedule3[[#This Row],[PMT NO]]&lt;&gt;"",ScheduledPayment,"")</f>
        <v>8358.7693880762818</v>
      </c>
      <c r="F32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2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29" s="19">
        <f>IF(PaymentSchedule3[[#This Row],[PMT NO]]&lt;&gt;"",PaymentSchedule3[[#This Row],[TOTAL PAYMENT]]-PaymentSchedule3[[#This Row],[INTEREST]],"")</f>
        <v>4859.236995478961</v>
      </c>
      <c r="I329" s="19">
        <f>IF(PaymentSchedule3[[#This Row],[PMT NO]]&lt;&gt;"",PaymentSchedule3[[#This Row],[BEGINNING BALANCE]]*(InterestRate/PaymentsPerYear),"")</f>
        <v>3499.5323925973207</v>
      </c>
      <c r="J32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1045000.4807837171</v>
      </c>
      <c r="K329" s="19">
        <f>IF(PaymentSchedule3[[#This Row],[PMT NO]]&lt;&gt;"",SUM(INDEX(PaymentSchedule3[INTEREST],1,1):PaymentSchedule3[[#This Row],[INTEREST]]),"")</f>
        <v>1703089.1461919742</v>
      </c>
    </row>
    <row r="330" spans="2:11" x14ac:dyDescent="0.3">
      <c r="B330" s="21">
        <f>IF(LoanIsGood,IF(ROW()-ROW(PaymentSchedule3[[#Headers],[PMT NO]])&gt;ScheduledNumberOfPayments,"",ROW()-ROW(PaymentSchedule3[[#Headers],[PMT NO]])),"")</f>
        <v>319</v>
      </c>
      <c r="C330" s="20">
        <f>IF(PaymentSchedule3[[#This Row],[PMT NO]]&lt;&gt;"",EOMONTH(LoanStartDate,ROW(PaymentSchedule3[[#This Row],[PMT NO]])-ROW(PaymentSchedule3[[#Headers],[PMT NO]])-2)+DAY(LoanStartDate),"")</f>
        <v>53328</v>
      </c>
      <c r="D330" s="19">
        <f>IF(PaymentSchedule3[[#This Row],[PMT NO]]&lt;&gt;"",IF(ROW()-ROW(PaymentSchedule3[[#Headers],[BEGINNING BALANCE]])=1,LoanAmount,INDEX(PaymentSchedule3[ENDING BALANCE],ROW()-ROW(PaymentSchedule3[[#Headers],[BEGINNING BALANCE]])-1)),"")</f>
        <v>1045000.4807837171</v>
      </c>
      <c r="E330" s="19">
        <f>IF(PaymentSchedule3[[#This Row],[PMT NO]]&lt;&gt;"",ScheduledPayment,"")</f>
        <v>8358.7693880762818</v>
      </c>
      <c r="F33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3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30" s="19">
        <f>IF(PaymentSchedule3[[#This Row],[PMT NO]]&lt;&gt;"",PaymentSchedule3[[#This Row],[TOTAL PAYMENT]]-PaymentSchedule3[[#This Row],[INTEREST]],"")</f>
        <v>4875.4344521305575</v>
      </c>
      <c r="I330" s="19">
        <f>IF(PaymentSchedule3[[#This Row],[PMT NO]]&lt;&gt;"",PaymentSchedule3[[#This Row],[BEGINNING BALANCE]]*(InterestRate/PaymentsPerYear),"")</f>
        <v>3483.3349359457238</v>
      </c>
      <c r="J33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1040125.0463315865</v>
      </c>
      <c r="K330" s="19">
        <f>IF(PaymentSchedule3[[#This Row],[PMT NO]]&lt;&gt;"",SUM(INDEX(PaymentSchedule3[INTEREST],1,1):PaymentSchedule3[[#This Row],[INTEREST]]),"")</f>
        <v>1706572.4811279199</v>
      </c>
    </row>
    <row r="331" spans="2:11" x14ac:dyDescent="0.3">
      <c r="B331" s="21">
        <f>IF(LoanIsGood,IF(ROW()-ROW(PaymentSchedule3[[#Headers],[PMT NO]])&gt;ScheduledNumberOfPayments,"",ROW()-ROW(PaymentSchedule3[[#Headers],[PMT NO]])),"")</f>
        <v>320</v>
      </c>
      <c r="C331" s="20">
        <f>IF(PaymentSchedule3[[#This Row],[PMT NO]]&lt;&gt;"",EOMONTH(LoanStartDate,ROW(PaymentSchedule3[[#This Row],[PMT NO]])-ROW(PaymentSchedule3[[#Headers],[PMT NO]])-2)+DAY(LoanStartDate),"")</f>
        <v>53359</v>
      </c>
      <c r="D331" s="19">
        <f>IF(PaymentSchedule3[[#This Row],[PMT NO]]&lt;&gt;"",IF(ROW()-ROW(PaymentSchedule3[[#Headers],[BEGINNING BALANCE]])=1,LoanAmount,INDEX(PaymentSchedule3[ENDING BALANCE],ROW()-ROW(PaymentSchedule3[[#Headers],[BEGINNING BALANCE]])-1)),"")</f>
        <v>1040125.0463315865</v>
      </c>
      <c r="E331" s="19">
        <f>IF(PaymentSchedule3[[#This Row],[PMT NO]]&lt;&gt;"",ScheduledPayment,"")</f>
        <v>8358.7693880762818</v>
      </c>
      <c r="F33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3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31" s="19">
        <f>IF(PaymentSchedule3[[#This Row],[PMT NO]]&lt;&gt;"",PaymentSchedule3[[#This Row],[TOTAL PAYMENT]]-PaymentSchedule3[[#This Row],[INTEREST]],"")</f>
        <v>4891.6859003043264</v>
      </c>
      <c r="I331" s="19">
        <f>IF(PaymentSchedule3[[#This Row],[PMT NO]]&lt;&gt;"",PaymentSchedule3[[#This Row],[BEGINNING BALANCE]]*(InterestRate/PaymentsPerYear),"")</f>
        <v>3467.0834877719553</v>
      </c>
      <c r="J33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1035233.3604312822</v>
      </c>
      <c r="K331" s="19">
        <f>IF(PaymentSchedule3[[#This Row],[PMT NO]]&lt;&gt;"",SUM(INDEX(PaymentSchedule3[INTEREST],1,1):PaymentSchedule3[[#This Row],[INTEREST]]),"")</f>
        <v>1710039.5646156918</v>
      </c>
    </row>
    <row r="332" spans="2:11" x14ac:dyDescent="0.3">
      <c r="B332" s="21">
        <f>IF(LoanIsGood,IF(ROW()-ROW(PaymentSchedule3[[#Headers],[PMT NO]])&gt;ScheduledNumberOfPayments,"",ROW()-ROW(PaymentSchedule3[[#Headers],[PMT NO]])),"")</f>
        <v>321</v>
      </c>
      <c r="C332" s="20">
        <f>IF(PaymentSchedule3[[#This Row],[PMT NO]]&lt;&gt;"",EOMONTH(LoanStartDate,ROW(PaymentSchedule3[[#This Row],[PMT NO]])-ROW(PaymentSchedule3[[#Headers],[PMT NO]])-2)+DAY(LoanStartDate),"")</f>
        <v>53387</v>
      </c>
      <c r="D332" s="19">
        <f>IF(PaymentSchedule3[[#This Row],[PMT NO]]&lt;&gt;"",IF(ROW()-ROW(PaymentSchedule3[[#Headers],[BEGINNING BALANCE]])=1,LoanAmount,INDEX(PaymentSchedule3[ENDING BALANCE],ROW()-ROW(PaymentSchedule3[[#Headers],[BEGINNING BALANCE]])-1)),"")</f>
        <v>1035233.3604312822</v>
      </c>
      <c r="E332" s="19">
        <f>IF(PaymentSchedule3[[#This Row],[PMT NO]]&lt;&gt;"",ScheduledPayment,"")</f>
        <v>8358.7693880762818</v>
      </c>
      <c r="F33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3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32" s="19">
        <f>IF(PaymentSchedule3[[#This Row],[PMT NO]]&lt;&gt;"",PaymentSchedule3[[#This Row],[TOTAL PAYMENT]]-PaymentSchedule3[[#This Row],[INTEREST]],"")</f>
        <v>4907.9915199720072</v>
      </c>
      <c r="I332" s="19">
        <f>IF(PaymentSchedule3[[#This Row],[PMT NO]]&lt;&gt;"",PaymentSchedule3[[#This Row],[BEGINNING BALANCE]]*(InterestRate/PaymentsPerYear),"")</f>
        <v>3450.7778681042741</v>
      </c>
      <c r="J33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1030325.3689113102</v>
      </c>
      <c r="K332" s="19">
        <f>IF(PaymentSchedule3[[#This Row],[PMT NO]]&lt;&gt;"",SUM(INDEX(PaymentSchedule3[INTEREST],1,1):PaymentSchedule3[[#This Row],[INTEREST]]),"")</f>
        <v>1713490.3424837959</v>
      </c>
    </row>
    <row r="333" spans="2:11" x14ac:dyDescent="0.3">
      <c r="B333" s="21">
        <f>IF(LoanIsGood,IF(ROW()-ROW(PaymentSchedule3[[#Headers],[PMT NO]])&gt;ScheduledNumberOfPayments,"",ROW()-ROW(PaymentSchedule3[[#Headers],[PMT NO]])),"")</f>
        <v>322</v>
      </c>
      <c r="C333" s="20">
        <f>IF(PaymentSchedule3[[#This Row],[PMT NO]]&lt;&gt;"",EOMONTH(LoanStartDate,ROW(PaymentSchedule3[[#This Row],[PMT NO]])-ROW(PaymentSchedule3[[#Headers],[PMT NO]])-2)+DAY(LoanStartDate),"")</f>
        <v>53418</v>
      </c>
      <c r="D333" s="19">
        <f>IF(PaymentSchedule3[[#This Row],[PMT NO]]&lt;&gt;"",IF(ROW()-ROW(PaymentSchedule3[[#Headers],[BEGINNING BALANCE]])=1,LoanAmount,INDEX(PaymentSchedule3[ENDING BALANCE],ROW()-ROW(PaymentSchedule3[[#Headers],[BEGINNING BALANCE]])-1)),"")</f>
        <v>1030325.3689113102</v>
      </c>
      <c r="E333" s="19">
        <f>IF(PaymentSchedule3[[#This Row],[PMT NO]]&lt;&gt;"",ScheduledPayment,"")</f>
        <v>8358.7693880762818</v>
      </c>
      <c r="F33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3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33" s="19">
        <f>IF(PaymentSchedule3[[#This Row],[PMT NO]]&lt;&gt;"",PaymentSchedule3[[#This Row],[TOTAL PAYMENT]]-PaymentSchedule3[[#This Row],[INTEREST]],"")</f>
        <v>4924.3514917052471</v>
      </c>
      <c r="I333" s="19">
        <f>IF(PaymentSchedule3[[#This Row],[PMT NO]]&lt;&gt;"",PaymentSchedule3[[#This Row],[BEGINNING BALANCE]]*(InterestRate/PaymentsPerYear),"")</f>
        <v>3434.4178963710342</v>
      </c>
      <c r="J33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1025401.0174196049</v>
      </c>
      <c r="K333" s="19">
        <f>IF(PaymentSchedule3[[#This Row],[PMT NO]]&lt;&gt;"",SUM(INDEX(PaymentSchedule3[INTEREST],1,1):PaymentSchedule3[[#This Row],[INTEREST]]),"")</f>
        <v>1716924.760380167</v>
      </c>
    </row>
    <row r="334" spans="2:11" x14ac:dyDescent="0.3">
      <c r="B334" s="21">
        <f>IF(LoanIsGood,IF(ROW()-ROW(PaymentSchedule3[[#Headers],[PMT NO]])&gt;ScheduledNumberOfPayments,"",ROW()-ROW(PaymentSchedule3[[#Headers],[PMT NO]])),"")</f>
        <v>323</v>
      </c>
      <c r="C334" s="20">
        <f>IF(PaymentSchedule3[[#This Row],[PMT NO]]&lt;&gt;"",EOMONTH(LoanStartDate,ROW(PaymentSchedule3[[#This Row],[PMT NO]])-ROW(PaymentSchedule3[[#Headers],[PMT NO]])-2)+DAY(LoanStartDate),"")</f>
        <v>53448</v>
      </c>
      <c r="D334" s="19">
        <f>IF(PaymentSchedule3[[#This Row],[PMT NO]]&lt;&gt;"",IF(ROW()-ROW(PaymentSchedule3[[#Headers],[BEGINNING BALANCE]])=1,LoanAmount,INDEX(PaymentSchedule3[ENDING BALANCE],ROW()-ROW(PaymentSchedule3[[#Headers],[BEGINNING BALANCE]])-1)),"")</f>
        <v>1025401.0174196049</v>
      </c>
      <c r="E334" s="19">
        <f>IF(PaymentSchedule3[[#This Row],[PMT NO]]&lt;&gt;"",ScheduledPayment,"")</f>
        <v>8358.7693880762818</v>
      </c>
      <c r="F33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3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34" s="19">
        <f>IF(PaymentSchedule3[[#This Row],[PMT NO]]&lt;&gt;"",PaymentSchedule3[[#This Row],[TOTAL PAYMENT]]-PaymentSchedule3[[#This Row],[INTEREST]],"")</f>
        <v>4940.7659966775991</v>
      </c>
      <c r="I334" s="19">
        <f>IF(PaymentSchedule3[[#This Row],[PMT NO]]&lt;&gt;"",PaymentSchedule3[[#This Row],[BEGINNING BALANCE]]*(InterestRate/PaymentsPerYear),"")</f>
        <v>3418.0033913986831</v>
      </c>
      <c r="J33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1020460.2514229274</v>
      </c>
      <c r="K334" s="19">
        <f>IF(PaymentSchedule3[[#This Row],[PMT NO]]&lt;&gt;"",SUM(INDEX(PaymentSchedule3[INTEREST],1,1):PaymentSchedule3[[#This Row],[INTEREST]]),"")</f>
        <v>1720342.7637715656</v>
      </c>
    </row>
    <row r="335" spans="2:11" x14ac:dyDescent="0.3">
      <c r="B335" s="21">
        <f>IF(LoanIsGood,IF(ROW()-ROW(PaymentSchedule3[[#Headers],[PMT NO]])&gt;ScheduledNumberOfPayments,"",ROW()-ROW(PaymentSchedule3[[#Headers],[PMT NO]])),"")</f>
        <v>324</v>
      </c>
      <c r="C335" s="20">
        <f>IF(PaymentSchedule3[[#This Row],[PMT NO]]&lt;&gt;"",EOMONTH(LoanStartDate,ROW(PaymentSchedule3[[#This Row],[PMT NO]])-ROW(PaymentSchedule3[[#Headers],[PMT NO]])-2)+DAY(LoanStartDate),"")</f>
        <v>53479</v>
      </c>
      <c r="D335" s="19">
        <f>IF(PaymentSchedule3[[#This Row],[PMT NO]]&lt;&gt;"",IF(ROW()-ROW(PaymentSchedule3[[#Headers],[BEGINNING BALANCE]])=1,LoanAmount,INDEX(PaymentSchedule3[ENDING BALANCE],ROW()-ROW(PaymentSchedule3[[#Headers],[BEGINNING BALANCE]])-1)),"")</f>
        <v>1020460.2514229274</v>
      </c>
      <c r="E335" s="19">
        <f>IF(PaymentSchedule3[[#This Row],[PMT NO]]&lt;&gt;"",ScheduledPayment,"")</f>
        <v>8358.7693880762818</v>
      </c>
      <c r="F33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3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35" s="19">
        <f>IF(PaymentSchedule3[[#This Row],[PMT NO]]&lt;&gt;"",PaymentSchedule3[[#This Row],[TOTAL PAYMENT]]-PaymentSchedule3[[#This Row],[INTEREST]],"")</f>
        <v>4957.2352166665241</v>
      </c>
      <c r="I335" s="19">
        <f>IF(PaymentSchedule3[[#This Row],[PMT NO]]&lt;&gt;"",PaymentSchedule3[[#This Row],[BEGINNING BALANCE]]*(InterestRate/PaymentsPerYear),"")</f>
        <v>3401.5341714097581</v>
      </c>
      <c r="J33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1015503.0162062609</v>
      </c>
      <c r="K335" s="19">
        <f>IF(PaymentSchedule3[[#This Row],[PMT NO]]&lt;&gt;"",SUM(INDEX(PaymentSchedule3[INTEREST],1,1):PaymentSchedule3[[#This Row],[INTEREST]]),"")</f>
        <v>1723744.2979429753</v>
      </c>
    </row>
    <row r="336" spans="2:11" x14ac:dyDescent="0.3">
      <c r="B336" s="21">
        <f>IF(LoanIsGood,IF(ROW()-ROW(PaymentSchedule3[[#Headers],[PMT NO]])&gt;ScheduledNumberOfPayments,"",ROW()-ROW(PaymentSchedule3[[#Headers],[PMT NO]])),"")</f>
        <v>325</v>
      </c>
      <c r="C336" s="20">
        <f>IF(PaymentSchedule3[[#This Row],[PMT NO]]&lt;&gt;"",EOMONTH(LoanStartDate,ROW(PaymentSchedule3[[#This Row],[PMT NO]])-ROW(PaymentSchedule3[[#Headers],[PMT NO]])-2)+DAY(LoanStartDate),"")</f>
        <v>53509</v>
      </c>
      <c r="D336" s="19">
        <f>IF(PaymentSchedule3[[#This Row],[PMT NO]]&lt;&gt;"",IF(ROW()-ROW(PaymentSchedule3[[#Headers],[BEGINNING BALANCE]])=1,LoanAmount,INDEX(PaymentSchedule3[ENDING BALANCE],ROW()-ROW(PaymentSchedule3[[#Headers],[BEGINNING BALANCE]])-1)),"")</f>
        <v>1015503.0162062609</v>
      </c>
      <c r="E336" s="19">
        <f>IF(PaymentSchedule3[[#This Row],[PMT NO]]&lt;&gt;"",ScheduledPayment,"")</f>
        <v>8358.7693880762818</v>
      </c>
      <c r="F33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3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36" s="19">
        <f>IF(PaymentSchedule3[[#This Row],[PMT NO]]&lt;&gt;"",PaymentSchedule3[[#This Row],[TOTAL PAYMENT]]-PaymentSchedule3[[#This Row],[INTEREST]],"")</f>
        <v>4973.7593340554122</v>
      </c>
      <c r="I336" s="19">
        <f>IF(PaymentSchedule3[[#This Row],[PMT NO]]&lt;&gt;"",PaymentSchedule3[[#This Row],[BEGINNING BALANCE]]*(InterestRate/PaymentsPerYear),"")</f>
        <v>3385.01005402087</v>
      </c>
      <c r="J33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1010529.2568722055</v>
      </c>
      <c r="K336" s="19">
        <f>IF(PaymentSchedule3[[#This Row],[PMT NO]]&lt;&gt;"",SUM(INDEX(PaymentSchedule3[INTEREST],1,1):PaymentSchedule3[[#This Row],[INTEREST]]),"")</f>
        <v>1727129.3079969962</v>
      </c>
    </row>
    <row r="337" spans="2:11" x14ac:dyDescent="0.3">
      <c r="B337" s="21">
        <f>IF(LoanIsGood,IF(ROW()-ROW(PaymentSchedule3[[#Headers],[PMT NO]])&gt;ScheduledNumberOfPayments,"",ROW()-ROW(PaymentSchedule3[[#Headers],[PMT NO]])),"")</f>
        <v>326</v>
      </c>
      <c r="C337" s="20">
        <f>IF(PaymentSchedule3[[#This Row],[PMT NO]]&lt;&gt;"",EOMONTH(LoanStartDate,ROW(PaymentSchedule3[[#This Row],[PMT NO]])-ROW(PaymentSchedule3[[#Headers],[PMT NO]])-2)+DAY(LoanStartDate),"")</f>
        <v>53540</v>
      </c>
      <c r="D337" s="19">
        <f>IF(PaymentSchedule3[[#This Row],[PMT NO]]&lt;&gt;"",IF(ROW()-ROW(PaymentSchedule3[[#Headers],[BEGINNING BALANCE]])=1,LoanAmount,INDEX(PaymentSchedule3[ENDING BALANCE],ROW()-ROW(PaymentSchedule3[[#Headers],[BEGINNING BALANCE]])-1)),"")</f>
        <v>1010529.2568722055</v>
      </c>
      <c r="E337" s="19">
        <f>IF(PaymentSchedule3[[#This Row],[PMT NO]]&lt;&gt;"",ScheduledPayment,"")</f>
        <v>8358.7693880762818</v>
      </c>
      <c r="F33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3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37" s="19">
        <f>IF(PaymentSchedule3[[#This Row],[PMT NO]]&lt;&gt;"",PaymentSchedule3[[#This Row],[TOTAL PAYMENT]]-PaymentSchedule3[[#This Row],[INTEREST]],"")</f>
        <v>4990.3385318355959</v>
      </c>
      <c r="I337" s="19">
        <f>IF(PaymentSchedule3[[#This Row],[PMT NO]]&lt;&gt;"",PaymentSchedule3[[#This Row],[BEGINNING BALANCE]]*(InterestRate/PaymentsPerYear),"")</f>
        <v>3368.4308562406854</v>
      </c>
      <c r="J33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1005538.9183403699</v>
      </c>
      <c r="K337" s="19">
        <f>IF(PaymentSchedule3[[#This Row],[PMT NO]]&lt;&gt;"",SUM(INDEX(PaymentSchedule3[INTEREST],1,1):PaymentSchedule3[[#This Row],[INTEREST]]),"")</f>
        <v>1730497.7388532369</v>
      </c>
    </row>
    <row r="338" spans="2:11" x14ac:dyDescent="0.3">
      <c r="B338" s="21">
        <f>IF(LoanIsGood,IF(ROW()-ROW(PaymentSchedule3[[#Headers],[PMT NO]])&gt;ScheduledNumberOfPayments,"",ROW()-ROW(PaymentSchedule3[[#Headers],[PMT NO]])),"")</f>
        <v>327</v>
      </c>
      <c r="C338" s="20">
        <f>IF(PaymentSchedule3[[#This Row],[PMT NO]]&lt;&gt;"",EOMONTH(LoanStartDate,ROW(PaymentSchedule3[[#This Row],[PMT NO]])-ROW(PaymentSchedule3[[#Headers],[PMT NO]])-2)+DAY(LoanStartDate),"")</f>
        <v>53571</v>
      </c>
      <c r="D338" s="19">
        <f>IF(PaymentSchedule3[[#This Row],[PMT NO]]&lt;&gt;"",IF(ROW()-ROW(PaymentSchedule3[[#Headers],[BEGINNING BALANCE]])=1,LoanAmount,INDEX(PaymentSchedule3[ENDING BALANCE],ROW()-ROW(PaymentSchedule3[[#Headers],[BEGINNING BALANCE]])-1)),"")</f>
        <v>1005538.9183403699</v>
      </c>
      <c r="E338" s="19">
        <f>IF(PaymentSchedule3[[#This Row],[PMT NO]]&lt;&gt;"",ScheduledPayment,"")</f>
        <v>8358.7693880762818</v>
      </c>
      <c r="F33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3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38" s="19">
        <f>IF(PaymentSchedule3[[#This Row],[PMT NO]]&lt;&gt;"",PaymentSchedule3[[#This Row],[TOTAL PAYMENT]]-PaymentSchedule3[[#This Row],[INTEREST]],"")</f>
        <v>5006.9729936083822</v>
      </c>
      <c r="I338" s="19">
        <f>IF(PaymentSchedule3[[#This Row],[PMT NO]]&lt;&gt;"",PaymentSchedule3[[#This Row],[BEGINNING BALANCE]]*(InterestRate/PaymentsPerYear),"")</f>
        <v>3351.7963944679</v>
      </c>
      <c r="J33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1000531.9453467616</v>
      </c>
      <c r="K338" s="19">
        <f>IF(PaymentSchedule3[[#This Row],[PMT NO]]&lt;&gt;"",SUM(INDEX(PaymentSchedule3[INTEREST],1,1):PaymentSchedule3[[#This Row],[INTEREST]]),"")</f>
        <v>1733849.5352477047</v>
      </c>
    </row>
    <row r="339" spans="2:11" x14ac:dyDescent="0.3">
      <c r="B339" s="21">
        <f>IF(LoanIsGood,IF(ROW()-ROW(PaymentSchedule3[[#Headers],[PMT NO]])&gt;ScheduledNumberOfPayments,"",ROW()-ROW(PaymentSchedule3[[#Headers],[PMT NO]])),"")</f>
        <v>328</v>
      </c>
      <c r="C339" s="20">
        <f>IF(PaymentSchedule3[[#This Row],[PMT NO]]&lt;&gt;"",EOMONTH(LoanStartDate,ROW(PaymentSchedule3[[#This Row],[PMT NO]])-ROW(PaymentSchedule3[[#Headers],[PMT NO]])-2)+DAY(LoanStartDate),"")</f>
        <v>53601</v>
      </c>
      <c r="D339" s="19">
        <f>IF(PaymentSchedule3[[#This Row],[PMT NO]]&lt;&gt;"",IF(ROW()-ROW(PaymentSchedule3[[#Headers],[BEGINNING BALANCE]])=1,LoanAmount,INDEX(PaymentSchedule3[ENDING BALANCE],ROW()-ROW(PaymentSchedule3[[#Headers],[BEGINNING BALANCE]])-1)),"")</f>
        <v>1000531.9453467616</v>
      </c>
      <c r="E339" s="19">
        <f>IF(PaymentSchedule3[[#This Row],[PMT NO]]&lt;&gt;"",ScheduledPayment,"")</f>
        <v>8358.7693880762818</v>
      </c>
      <c r="F33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3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39" s="19">
        <f>IF(PaymentSchedule3[[#This Row],[PMT NO]]&lt;&gt;"",PaymentSchedule3[[#This Row],[TOTAL PAYMENT]]-PaymentSchedule3[[#This Row],[INTEREST]],"")</f>
        <v>5023.6629035870756</v>
      </c>
      <c r="I339" s="19">
        <f>IF(PaymentSchedule3[[#This Row],[PMT NO]]&lt;&gt;"",PaymentSchedule3[[#This Row],[BEGINNING BALANCE]]*(InterestRate/PaymentsPerYear),"")</f>
        <v>3335.1064844892057</v>
      </c>
      <c r="J33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995508.28244317451</v>
      </c>
      <c r="K339" s="19">
        <f>IF(PaymentSchedule3[[#This Row],[PMT NO]]&lt;&gt;"",SUM(INDEX(PaymentSchedule3[INTEREST],1,1):PaymentSchedule3[[#This Row],[INTEREST]]),"")</f>
        <v>1737184.641732194</v>
      </c>
    </row>
    <row r="340" spans="2:11" x14ac:dyDescent="0.3">
      <c r="B340" s="21">
        <f>IF(LoanIsGood,IF(ROW()-ROW(PaymentSchedule3[[#Headers],[PMT NO]])&gt;ScheduledNumberOfPayments,"",ROW()-ROW(PaymentSchedule3[[#Headers],[PMT NO]])),"")</f>
        <v>329</v>
      </c>
      <c r="C340" s="20">
        <f>IF(PaymentSchedule3[[#This Row],[PMT NO]]&lt;&gt;"",EOMONTH(LoanStartDate,ROW(PaymentSchedule3[[#This Row],[PMT NO]])-ROW(PaymentSchedule3[[#Headers],[PMT NO]])-2)+DAY(LoanStartDate),"")</f>
        <v>53632</v>
      </c>
      <c r="D340" s="19">
        <f>IF(PaymentSchedule3[[#This Row],[PMT NO]]&lt;&gt;"",IF(ROW()-ROW(PaymentSchedule3[[#Headers],[BEGINNING BALANCE]])=1,LoanAmount,INDEX(PaymentSchedule3[ENDING BALANCE],ROW()-ROW(PaymentSchedule3[[#Headers],[BEGINNING BALANCE]])-1)),"")</f>
        <v>995508.28244317451</v>
      </c>
      <c r="E340" s="19">
        <f>IF(PaymentSchedule3[[#This Row],[PMT NO]]&lt;&gt;"",ScheduledPayment,"")</f>
        <v>8358.7693880762818</v>
      </c>
      <c r="F34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4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40" s="19">
        <f>IF(PaymentSchedule3[[#This Row],[PMT NO]]&lt;&gt;"",PaymentSchedule3[[#This Row],[TOTAL PAYMENT]]-PaymentSchedule3[[#This Row],[INTEREST]],"")</f>
        <v>5040.4084465990327</v>
      </c>
      <c r="I340" s="19">
        <f>IF(PaymentSchedule3[[#This Row],[PMT NO]]&lt;&gt;"",PaymentSchedule3[[#This Row],[BEGINNING BALANCE]]*(InterestRate/PaymentsPerYear),"")</f>
        <v>3318.3609414772486</v>
      </c>
      <c r="J34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990467.87399657548</v>
      </c>
      <c r="K340" s="19">
        <f>IF(PaymentSchedule3[[#This Row],[PMT NO]]&lt;&gt;"",SUM(INDEX(PaymentSchedule3[INTEREST],1,1):PaymentSchedule3[[#This Row],[INTEREST]]),"")</f>
        <v>1740503.0026736713</v>
      </c>
    </row>
    <row r="341" spans="2:11" x14ac:dyDescent="0.3">
      <c r="B341" s="21">
        <f>IF(LoanIsGood,IF(ROW()-ROW(PaymentSchedule3[[#Headers],[PMT NO]])&gt;ScheduledNumberOfPayments,"",ROW()-ROW(PaymentSchedule3[[#Headers],[PMT NO]])),"")</f>
        <v>330</v>
      </c>
      <c r="C341" s="20">
        <f>IF(PaymentSchedule3[[#This Row],[PMT NO]]&lt;&gt;"",EOMONTH(LoanStartDate,ROW(PaymentSchedule3[[#This Row],[PMT NO]])-ROW(PaymentSchedule3[[#Headers],[PMT NO]])-2)+DAY(LoanStartDate),"")</f>
        <v>53662</v>
      </c>
      <c r="D341" s="19">
        <f>IF(PaymentSchedule3[[#This Row],[PMT NO]]&lt;&gt;"",IF(ROW()-ROW(PaymentSchedule3[[#Headers],[BEGINNING BALANCE]])=1,LoanAmount,INDEX(PaymentSchedule3[ENDING BALANCE],ROW()-ROW(PaymentSchedule3[[#Headers],[BEGINNING BALANCE]])-1)),"")</f>
        <v>990467.87399657548</v>
      </c>
      <c r="E341" s="19">
        <f>IF(PaymentSchedule3[[#This Row],[PMT NO]]&lt;&gt;"",ScheduledPayment,"")</f>
        <v>8358.7693880762818</v>
      </c>
      <c r="F34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4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41" s="19">
        <f>IF(PaymentSchedule3[[#This Row],[PMT NO]]&lt;&gt;"",PaymentSchedule3[[#This Row],[TOTAL PAYMENT]]-PaymentSchedule3[[#This Row],[INTEREST]],"")</f>
        <v>5057.2098080876967</v>
      </c>
      <c r="I341" s="19">
        <f>IF(PaymentSchedule3[[#This Row],[PMT NO]]&lt;&gt;"",PaymentSchedule3[[#This Row],[BEGINNING BALANCE]]*(InterestRate/PaymentsPerYear),"")</f>
        <v>3301.559579988585</v>
      </c>
      <c r="J34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985410.6641884878</v>
      </c>
      <c r="K341" s="19">
        <f>IF(PaymentSchedule3[[#This Row],[PMT NO]]&lt;&gt;"",SUM(INDEX(PaymentSchedule3[INTEREST],1,1):PaymentSchedule3[[#This Row],[INTEREST]]),"")</f>
        <v>1743804.5622536598</v>
      </c>
    </row>
    <row r="342" spans="2:11" x14ac:dyDescent="0.3">
      <c r="B342" s="21">
        <f>IF(LoanIsGood,IF(ROW()-ROW(PaymentSchedule3[[#Headers],[PMT NO]])&gt;ScheduledNumberOfPayments,"",ROW()-ROW(PaymentSchedule3[[#Headers],[PMT NO]])),"")</f>
        <v>331</v>
      </c>
      <c r="C342" s="20">
        <f>IF(PaymentSchedule3[[#This Row],[PMT NO]]&lt;&gt;"",EOMONTH(LoanStartDate,ROW(PaymentSchedule3[[#This Row],[PMT NO]])-ROW(PaymentSchedule3[[#Headers],[PMT NO]])-2)+DAY(LoanStartDate),"")</f>
        <v>53693</v>
      </c>
      <c r="D342" s="19">
        <f>IF(PaymentSchedule3[[#This Row],[PMT NO]]&lt;&gt;"",IF(ROW()-ROW(PaymentSchedule3[[#Headers],[BEGINNING BALANCE]])=1,LoanAmount,INDEX(PaymentSchedule3[ENDING BALANCE],ROW()-ROW(PaymentSchedule3[[#Headers],[BEGINNING BALANCE]])-1)),"")</f>
        <v>985410.6641884878</v>
      </c>
      <c r="E342" s="19">
        <f>IF(PaymentSchedule3[[#This Row],[PMT NO]]&lt;&gt;"",ScheduledPayment,"")</f>
        <v>8358.7693880762818</v>
      </c>
      <c r="F34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4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42" s="19">
        <f>IF(PaymentSchedule3[[#This Row],[PMT NO]]&lt;&gt;"",PaymentSchedule3[[#This Row],[TOTAL PAYMENT]]-PaymentSchedule3[[#This Row],[INTEREST]],"")</f>
        <v>5074.0671741146562</v>
      </c>
      <c r="I342" s="19">
        <f>IF(PaymentSchedule3[[#This Row],[PMT NO]]&lt;&gt;"",PaymentSchedule3[[#This Row],[BEGINNING BALANCE]]*(InterestRate/PaymentsPerYear),"")</f>
        <v>3284.7022139616261</v>
      </c>
      <c r="J34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980336.59701437317</v>
      </c>
      <c r="K342" s="19">
        <f>IF(PaymentSchedule3[[#This Row],[PMT NO]]&lt;&gt;"",SUM(INDEX(PaymentSchedule3[INTEREST],1,1):PaymentSchedule3[[#This Row],[INTEREST]]),"")</f>
        <v>1747089.2644676215</v>
      </c>
    </row>
    <row r="343" spans="2:11" x14ac:dyDescent="0.3">
      <c r="B343" s="21">
        <f>IF(LoanIsGood,IF(ROW()-ROW(PaymentSchedule3[[#Headers],[PMT NO]])&gt;ScheduledNumberOfPayments,"",ROW()-ROW(PaymentSchedule3[[#Headers],[PMT NO]])),"")</f>
        <v>332</v>
      </c>
      <c r="C343" s="20">
        <f>IF(PaymentSchedule3[[#This Row],[PMT NO]]&lt;&gt;"",EOMONTH(LoanStartDate,ROW(PaymentSchedule3[[#This Row],[PMT NO]])-ROW(PaymentSchedule3[[#Headers],[PMT NO]])-2)+DAY(LoanStartDate),"")</f>
        <v>53724</v>
      </c>
      <c r="D343" s="19">
        <f>IF(PaymentSchedule3[[#This Row],[PMT NO]]&lt;&gt;"",IF(ROW()-ROW(PaymentSchedule3[[#Headers],[BEGINNING BALANCE]])=1,LoanAmount,INDEX(PaymentSchedule3[ENDING BALANCE],ROW()-ROW(PaymentSchedule3[[#Headers],[BEGINNING BALANCE]])-1)),"")</f>
        <v>980336.59701437317</v>
      </c>
      <c r="E343" s="19">
        <f>IF(PaymentSchedule3[[#This Row],[PMT NO]]&lt;&gt;"",ScheduledPayment,"")</f>
        <v>8358.7693880762818</v>
      </c>
      <c r="F34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4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43" s="19">
        <f>IF(PaymentSchedule3[[#This Row],[PMT NO]]&lt;&gt;"",PaymentSchedule3[[#This Row],[TOTAL PAYMENT]]-PaymentSchedule3[[#This Row],[INTEREST]],"")</f>
        <v>5090.9807313617039</v>
      </c>
      <c r="I343" s="19">
        <f>IF(PaymentSchedule3[[#This Row],[PMT NO]]&lt;&gt;"",PaymentSchedule3[[#This Row],[BEGINNING BALANCE]]*(InterestRate/PaymentsPerYear),"")</f>
        <v>3267.7886567145774</v>
      </c>
      <c r="J34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975245.61628301151</v>
      </c>
      <c r="K343" s="19">
        <f>IF(PaymentSchedule3[[#This Row],[PMT NO]]&lt;&gt;"",SUM(INDEX(PaymentSchedule3[INTEREST],1,1):PaymentSchedule3[[#This Row],[INTEREST]]),"")</f>
        <v>1750357.0531243361</v>
      </c>
    </row>
    <row r="344" spans="2:11" x14ac:dyDescent="0.3">
      <c r="B344" s="21">
        <f>IF(LoanIsGood,IF(ROW()-ROW(PaymentSchedule3[[#Headers],[PMT NO]])&gt;ScheduledNumberOfPayments,"",ROW()-ROW(PaymentSchedule3[[#Headers],[PMT NO]])),"")</f>
        <v>333</v>
      </c>
      <c r="C344" s="20">
        <f>IF(PaymentSchedule3[[#This Row],[PMT NO]]&lt;&gt;"",EOMONTH(LoanStartDate,ROW(PaymentSchedule3[[#This Row],[PMT NO]])-ROW(PaymentSchedule3[[#Headers],[PMT NO]])-2)+DAY(LoanStartDate),"")</f>
        <v>53752</v>
      </c>
      <c r="D344" s="19">
        <f>IF(PaymentSchedule3[[#This Row],[PMT NO]]&lt;&gt;"",IF(ROW()-ROW(PaymentSchedule3[[#Headers],[BEGINNING BALANCE]])=1,LoanAmount,INDEX(PaymentSchedule3[ENDING BALANCE],ROW()-ROW(PaymentSchedule3[[#Headers],[BEGINNING BALANCE]])-1)),"")</f>
        <v>975245.61628301151</v>
      </c>
      <c r="E344" s="19">
        <f>IF(PaymentSchedule3[[#This Row],[PMT NO]]&lt;&gt;"",ScheduledPayment,"")</f>
        <v>8358.7693880762818</v>
      </c>
      <c r="F34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4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44" s="19">
        <f>IF(PaymentSchedule3[[#This Row],[PMT NO]]&lt;&gt;"",PaymentSchedule3[[#This Row],[TOTAL PAYMENT]]-PaymentSchedule3[[#This Row],[INTEREST]],"")</f>
        <v>5107.95066713291</v>
      </c>
      <c r="I344" s="19">
        <f>IF(PaymentSchedule3[[#This Row],[PMT NO]]&lt;&gt;"",PaymentSchedule3[[#This Row],[BEGINNING BALANCE]]*(InterestRate/PaymentsPerYear),"")</f>
        <v>3250.8187209433718</v>
      </c>
      <c r="J34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970137.66561587865</v>
      </c>
      <c r="K344" s="19">
        <f>IF(PaymentSchedule3[[#This Row],[PMT NO]]&lt;&gt;"",SUM(INDEX(PaymentSchedule3[INTEREST],1,1):PaymentSchedule3[[#This Row],[INTEREST]]),"")</f>
        <v>1753607.8718452794</v>
      </c>
    </row>
    <row r="345" spans="2:11" x14ac:dyDescent="0.3">
      <c r="B345" s="21">
        <f>IF(LoanIsGood,IF(ROW()-ROW(PaymentSchedule3[[#Headers],[PMT NO]])&gt;ScheduledNumberOfPayments,"",ROW()-ROW(PaymentSchedule3[[#Headers],[PMT NO]])),"")</f>
        <v>334</v>
      </c>
      <c r="C345" s="20">
        <f>IF(PaymentSchedule3[[#This Row],[PMT NO]]&lt;&gt;"",EOMONTH(LoanStartDate,ROW(PaymentSchedule3[[#This Row],[PMT NO]])-ROW(PaymentSchedule3[[#Headers],[PMT NO]])-2)+DAY(LoanStartDate),"")</f>
        <v>53783</v>
      </c>
      <c r="D345" s="19">
        <f>IF(PaymentSchedule3[[#This Row],[PMT NO]]&lt;&gt;"",IF(ROW()-ROW(PaymentSchedule3[[#Headers],[BEGINNING BALANCE]])=1,LoanAmount,INDEX(PaymentSchedule3[ENDING BALANCE],ROW()-ROW(PaymentSchedule3[[#Headers],[BEGINNING BALANCE]])-1)),"")</f>
        <v>970137.66561587865</v>
      </c>
      <c r="E345" s="19">
        <f>IF(PaymentSchedule3[[#This Row],[PMT NO]]&lt;&gt;"",ScheduledPayment,"")</f>
        <v>8358.7693880762818</v>
      </c>
      <c r="F34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4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45" s="19">
        <f>IF(PaymentSchedule3[[#This Row],[PMT NO]]&lt;&gt;"",PaymentSchedule3[[#This Row],[TOTAL PAYMENT]]-PaymentSchedule3[[#This Row],[INTEREST]],"")</f>
        <v>5124.9771693566854</v>
      </c>
      <c r="I345" s="19">
        <f>IF(PaymentSchedule3[[#This Row],[PMT NO]]&lt;&gt;"",PaymentSchedule3[[#This Row],[BEGINNING BALANCE]]*(InterestRate/PaymentsPerYear),"")</f>
        <v>3233.7922187195959</v>
      </c>
      <c r="J34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965012.68844652199</v>
      </c>
      <c r="K345" s="19">
        <f>IF(PaymentSchedule3[[#This Row],[PMT NO]]&lt;&gt;"",SUM(INDEX(PaymentSchedule3[INTEREST],1,1):PaymentSchedule3[[#This Row],[INTEREST]]),"")</f>
        <v>1756841.664063999</v>
      </c>
    </row>
    <row r="346" spans="2:11" x14ac:dyDescent="0.3">
      <c r="B346" s="21">
        <f>IF(LoanIsGood,IF(ROW()-ROW(PaymentSchedule3[[#Headers],[PMT NO]])&gt;ScheduledNumberOfPayments,"",ROW()-ROW(PaymentSchedule3[[#Headers],[PMT NO]])),"")</f>
        <v>335</v>
      </c>
      <c r="C346" s="20">
        <f>IF(PaymentSchedule3[[#This Row],[PMT NO]]&lt;&gt;"",EOMONTH(LoanStartDate,ROW(PaymentSchedule3[[#This Row],[PMT NO]])-ROW(PaymentSchedule3[[#Headers],[PMT NO]])-2)+DAY(LoanStartDate),"")</f>
        <v>53813</v>
      </c>
      <c r="D346" s="19">
        <f>IF(PaymentSchedule3[[#This Row],[PMT NO]]&lt;&gt;"",IF(ROW()-ROW(PaymentSchedule3[[#Headers],[BEGINNING BALANCE]])=1,LoanAmount,INDEX(PaymentSchedule3[ENDING BALANCE],ROW()-ROW(PaymentSchedule3[[#Headers],[BEGINNING BALANCE]])-1)),"")</f>
        <v>965012.68844652199</v>
      </c>
      <c r="E346" s="19">
        <f>IF(PaymentSchedule3[[#This Row],[PMT NO]]&lt;&gt;"",ScheduledPayment,"")</f>
        <v>8358.7693880762818</v>
      </c>
      <c r="F34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4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46" s="19">
        <f>IF(PaymentSchedule3[[#This Row],[PMT NO]]&lt;&gt;"",PaymentSchedule3[[#This Row],[TOTAL PAYMENT]]-PaymentSchedule3[[#This Row],[INTEREST]],"")</f>
        <v>5142.0604265878756</v>
      </c>
      <c r="I346" s="19">
        <f>IF(PaymentSchedule3[[#This Row],[PMT NO]]&lt;&gt;"",PaymentSchedule3[[#This Row],[BEGINNING BALANCE]]*(InterestRate/PaymentsPerYear),"")</f>
        <v>3216.7089614884067</v>
      </c>
      <c r="J34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959870.62801993417</v>
      </c>
      <c r="K346" s="19">
        <f>IF(PaymentSchedule3[[#This Row],[PMT NO]]&lt;&gt;"",SUM(INDEX(PaymentSchedule3[INTEREST],1,1):PaymentSchedule3[[#This Row],[INTEREST]]),"")</f>
        <v>1760058.3730254874</v>
      </c>
    </row>
    <row r="347" spans="2:11" x14ac:dyDescent="0.3">
      <c r="B347" s="21">
        <f>IF(LoanIsGood,IF(ROW()-ROW(PaymentSchedule3[[#Headers],[PMT NO]])&gt;ScheduledNumberOfPayments,"",ROW()-ROW(PaymentSchedule3[[#Headers],[PMT NO]])),"")</f>
        <v>336</v>
      </c>
      <c r="C347" s="20">
        <f>IF(PaymentSchedule3[[#This Row],[PMT NO]]&lt;&gt;"",EOMONTH(LoanStartDate,ROW(PaymentSchedule3[[#This Row],[PMT NO]])-ROW(PaymentSchedule3[[#Headers],[PMT NO]])-2)+DAY(LoanStartDate),"")</f>
        <v>53844</v>
      </c>
      <c r="D347" s="19">
        <f>IF(PaymentSchedule3[[#This Row],[PMT NO]]&lt;&gt;"",IF(ROW()-ROW(PaymentSchedule3[[#Headers],[BEGINNING BALANCE]])=1,LoanAmount,INDEX(PaymentSchedule3[ENDING BALANCE],ROW()-ROW(PaymentSchedule3[[#Headers],[BEGINNING BALANCE]])-1)),"")</f>
        <v>959870.62801993417</v>
      </c>
      <c r="E347" s="19">
        <f>IF(PaymentSchedule3[[#This Row],[PMT NO]]&lt;&gt;"",ScheduledPayment,"")</f>
        <v>8358.7693880762818</v>
      </c>
      <c r="F34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4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47" s="19">
        <f>IF(PaymentSchedule3[[#This Row],[PMT NO]]&lt;&gt;"",PaymentSchedule3[[#This Row],[TOTAL PAYMENT]]-PaymentSchedule3[[#This Row],[INTEREST]],"")</f>
        <v>5159.200628009834</v>
      </c>
      <c r="I347" s="19">
        <f>IF(PaymentSchedule3[[#This Row],[PMT NO]]&lt;&gt;"",PaymentSchedule3[[#This Row],[BEGINNING BALANCE]]*(InterestRate/PaymentsPerYear),"")</f>
        <v>3199.5687600664473</v>
      </c>
      <c r="J34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954711.42739192431</v>
      </c>
      <c r="K347" s="19">
        <f>IF(PaymentSchedule3[[#This Row],[PMT NO]]&lt;&gt;"",SUM(INDEX(PaymentSchedule3[INTEREST],1,1):PaymentSchedule3[[#This Row],[INTEREST]]),"")</f>
        <v>1763257.9417855539</v>
      </c>
    </row>
    <row r="348" spans="2:11" x14ac:dyDescent="0.3">
      <c r="B348" s="21">
        <f>IF(LoanIsGood,IF(ROW()-ROW(PaymentSchedule3[[#Headers],[PMT NO]])&gt;ScheduledNumberOfPayments,"",ROW()-ROW(PaymentSchedule3[[#Headers],[PMT NO]])),"")</f>
        <v>337</v>
      </c>
      <c r="C348" s="20">
        <f>IF(PaymentSchedule3[[#This Row],[PMT NO]]&lt;&gt;"",EOMONTH(LoanStartDate,ROW(PaymentSchedule3[[#This Row],[PMT NO]])-ROW(PaymentSchedule3[[#Headers],[PMT NO]])-2)+DAY(LoanStartDate),"")</f>
        <v>53874</v>
      </c>
      <c r="D348" s="19">
        <f>IF(PaymentSchedule3[[#This Row],[PMT NO]]&lt;&gt;"",IF(ROW()-ROW(PaymentSchedule3[[#Headers],[BEGINNING BALANCE]])=1,LoanAmount,INDEX(PaymentSchedule3[ENDING BALANCE],ROW()-ROW(PaymentSchedule3[[#Headers],[BEGINNING BALANCE]])-1)),"")</f>
        <v>954711.42739192431</v>
      </c>
      <c r="E348" s="19">
        <f>IF(PaymentSchedule3[[#This Row],[PMT NO]]&lt;&gt;"",ScheduledPayment,"")</f>
        <v>8358.7693880762818</v>
      </c>
      <c r="F34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4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48" s="19">
        <f>IF(PaymentSchedule3[[#This Row],[PMT NO]]&lt;&gt;"",PaymentSchedule3[[#This Row],[TOTAL PAYMENT]]-PaymentSchedule3[[#This Row],[INTEREST]],"")</f>
        <v>5176.3979634365332</v>
      </c>
      <c r="I348" s="19">
        <f>IF(PaymentSchedule3[[#This Row],[PMT NO]]&lt;&gt;"",PaymentSchedule3[[#This Row],[BEGINNING BALANCE]]*(InterestRate/PaymentsPerYear),"")</f>
        <v>3182.3714246397481</v>
      </c>
      <c r="J34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949535.02942848776</v>
      </c>
      <c r="K348" s="19">
        <f>IF(PaymentSchedule3[[#This Row],[PMT NO]]&lt;&gt;"",SUM(INDEX(PaymentSchedule3[INTEREST],1,1):PaymentSchedule3[[#This Row],[INTEREST]]),"")</f>
        <v>1766440.3132101938</v>
      </c>
    </row>
    <row r="349" spans="2:11" x14ac:dyDescent="0.3">
      <c r="B349" s="21">
        <f>IF(LoanIsGood,IF(ROW()-ROW(PaymentSchedule3[[#Headers],[PMT NO]])&gt;ScheduledNumberOfPayments,"",ROW()-ROW(PaymentSchedule3[[#Headers],[PMT NO]])),"")</f>
        <v>338</v>
      </c>
      <c r="C349" s="20">
        <f>IF(PaymentSchedule3[[#This Row],[PMT NO]]&lt;&gt;"",EOMONTH(LoanStartDate,ROW(PaymentSchedule3[[#This Row],[PMT NO]])-ROW(PaymentSchedule3[[#Headers],[PMT NO]])-2)+DAY(LoanStartDate),"")</f>
        <v>53905</v>
      </c>
      <c r="D349" s="19">
        <f>IF(PaymentSchedule3[[#This Row],[PMT NO]]&lt;&gt;"",IF(ROW()-ROW(PaymentSchedule3[[#Headers],[BEGINNING BALANCE]])=1,LoanAmount,INDEX(PaymentSchedule3[ENDING BALANCE],ROW()-ROW(PaymentSchedule3[[#Headers],[BEGINNING BALANCE]])-1)),"")</f>
        <v>949535.02942848776</v>
      </c>
      <c r="E349" s="19">
        <f>IF(PaymentSchedule3[[#This Row],[PMT NO]]&lt;&gt;"",ScheduledPayment,"")</f>
        <v>8358.7693880762818</v>
      </c>
      <c r="F34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4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49" s="19">
        <f>IF(PaymentSchedule3[[#This Row],[PMT NO]]&lt;&gt;"",PaymentSchedule3[[#This Row],[TOTAL PAYMENT]]-PaymentSchedule3[[#This Row],[INTEREST]],"")</f>
        <v>5193.652623314656</v>
      </c>
      <c r="I349" s="19">
        <f>IF(PaymentSchedule3[[#This Row],[PMT NO]]&lt;&gt;"",PaymentSchedule3[[#This Row],[BEGINNING BALANCE]]*(InterestRate/PaymentsPerYear),"")</f>
        <v>3165.1167647616262</v>
      </c>
      <c r="J34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944341.37680517312</v>
      </c>
      <c r="K349" s="19">
        <f>IF(PaymentSchedule3[[#This Row],[PMT NO]]&lt;&gt;"",SUM(INDEX(PaymentSchedule3[INTEREST],1,1):PaymentSchedule3[[#This Row],[INTEREST]]),"")</f>
        <v>1769605.4299749555</v>
      </c>
    </row>
    <row r="350" spans="2:11" x14ac:dyDescent="0.3">
      <c r="B350" s="21">
        <f>IF(LoanIsGood,IF(ROW()-ROW(PaymentSchedule3[[#Headers],[PMT NO]])&gt;ScheduledNumberOfPayments,"",ROW()-ROW(PaymentSchedule3[[#Headers],[PMT NO]])),"")</f>
        <v>339</v>
      </c>
      <c r="C350" s="20">
        <f>IF(PaymentSchedule3[[#This Row],[PMT NO]]&lt;&gt;"",EOMONTH(LoanStartDate,ROW(PaymentSchedule3[[#This Row],[PMT NO]])-ROW(PaymentSchedule3[[#Headers],[PMT NO]])-2)+DAY(LoanStartDate),"")</f>
        <v>53936</v>
      </c>
      <c r="D350" s="19">
        <f>IF(PaymentSchedule3[[#This Row],[PMT NO]]&lt;&gt;"",IF(ROW()-ROW(PaymentSchedule3[[#Headers],[BEGINNING BALANCE]])=1,LoanAmount,INDEX(PaymentSchedule3[ENDING BALANCE],ROW()-ROW(PaymentSchedule3[[#Headers],[BEGINNING BALANCE]])-1)),"")</f>
        <v>944341.37680517312</v>
      </c>
      <c r="E350" s="19">
        <f>IF(PaymentSchedule3[[#This Row],[PMT NO]]&lt;&gt;"",ScheduledPayment,"")</f>
        <v>8358.7693880762818</v>
      </c>
      <c r="F35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5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50" s="19">
        <f>IF(PaymentSchedule3[[#This Row],[PMT NO]]&lt;&gt;"",PaymentSchedule3[[#This Row],[TOTAL PAYMENT]]-PaymentSchedule3[[#This Row],[INTEREST]],"")</f>
        <v>5210.9647987257049</v>
      </c>
      <c r="I350" s="19">
        <f>IF(PaymentSchedule3[[#This Row],[PMT NO]]&lt;&gt;"",PaymentSchedule3[[#This Row],[BEGINNING BALANCE]]*(InterestRate/PaymentsPerYear),"")</f>
        <v>3147.8045893505773</v>
      </c>
      <c r="J35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939130.41200644744</v>
      </c>
      <c r="K350" s="19">
        <f>IF(PaymentSchedule3[[#This Row],[PMT NO]]&lt;&gt;"",SUM(INDEX(PaymentSchedule3[INTEREST],1,1):PaymentSchedule3[[#This Row],[INTEREST]]),"")</f>
        <v>1772753.234564306</v>
      </c>
    </row>
    <row r="351" spans="2:11" x14ac:dyDescent="0.3">
      <c r="B351" s="21">
        <f>IF(LoanIsGood,IF(ROW()-ROW(PaymentSchedule3[[#Headers],[PMT NO]])&gt;ScheduledNumberOfPayments,"",ROW()-ROW(PaymentSchedule3[[#Headers],[PMT NO]])),"")</f>
        <v>340</v>
      </c>
      <c r="C351" s="20">
        <f>IF(PaymentSchedule3[[#This Row],[PMT NO]]&lt;&gt;"",EOMONTH(LoanStartDate,ROW(PaymentSchedule3[[#This Row],[PMT NO]])-ROW(PaymentSchedule3[[#Headers],[PMT NO]])-2)+DAY(LoanStartDate),"")</f>
        <v>53966</v>
      </c>
      <c r="D351" s="19">
        <f>IF(PaymentSchedule3[[#This Row],[PMT NO]]&lt;&gt;"",IF(ROW()-ROW(PaymentSchedule3[[#Headers],[BEGINNING BALANCE]])=1,LoanAmount,INDEX(PaymentSchedule3[ENDING BALANCE],ROW()-ROW(PaymentSchedule3[[#Headers],[BEGINNING BALANCE]])-1)),"")</f>
        <v>939130.41200644744</v>
      </c>
      <c r="E351" s="19">
        <f>IF(PaymentSchedule3[[#This Row],[PMT NO]]&lt;&gt;"",ScheduledPayment,"")</f>
        <v>8358.7693880762818</v>
      </c>
      <c r="F35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5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51" s="19">
        <f>IF(PaymentSchedule3[[#This Row],[PMT NO]]&lt;&gt;"",PaymentSchedule3[[#This Row],[TOTAL PAYMENT]]-PaymentSchedule3[[#This Row],[INTEREST]],"")</f>
        <v>5228.3346813881235</v>
      </c>
      <c r="I351" s="19">
        <f>IF(PaymentSchedule3[[#This Row],[PMT NO]]&lt;&gt;"",PaymentSchedule3[[#This Row],[BEGINNING BALANCE]]*(InterestRate/PaymentsPerYear),"")</f>
        <v>3130.4347066881583</v>
      </c>
      <c r="J35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933902.07732505933</v>
      </c>
      <c r="K351" s="19">
        <f>IF(PaymentSchedule3[[#This Row],[PMT NO]]&lt;&gt;"",SUM(INDEX(PaymentSchedule3[INTEREST],1,1):PaymentSchedule3[[#This Row],[INTEREST]]),"")</f>
        <v>1775883.6692709941</v>
      </c>
    </row>
    <row r="352" spans="2:11" x14ac:dyDescent="0.3">
      <c r="B352" s="21">
        <f>IF(LoanIsGood,IF(ROW()-ROW(PaymentSchedule3[[#Headers],[PMT NO]])&gt;ScheduledNumberOfPayments,"",ROW()-ROW(PaymentSchedule3[[#Headers],[PMT NO]])),"")</f>
        <v>341</v>
      </c>
      <c r="C352" s="20">
        <f>IF(PaymentSchedule3[[#This Row],[PMT NO]]&lt;&gt;"",EOMONTH(LoanStartDate,ROW(PaymentSchedule3[[#This Row],[PMT NO]])-ROW(PaymentSchedule3[[#Headers],[PMT NO]])-2)+DAY(LoanStartDate),"")</f>
        <v>53997</v>
      </c>
      <c r="D352" s="19">
        <f>IF(PaymentSchedule3[[#This Row],[PMT NO]]&lt;&gt;"",IF(ROW()-ROW(PaymentSchedule3[[#Headers],[BEGINNING BALANCE]])=1,LoanAmount,INDEX(PaymentSchedule3[ENDING BALANCE],ROW()-ROW(PaymentSchedule3[[#Headers],[BEGINNING BALANCE]])-1)),"")</f>
        <v>933902.07732505933</v>
      </c>
      <c r="E352" s="19">
        <f>IF(PaymentSchedule3[[#This Row],[PMT NO]]&lt;&gt;"",ScheduledPayment,"")</f>
        <v>8358.7693880762818</v>
      </c>
      <c r="F35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5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52" s="19">
        <f>IF(PaymentSchedule3[[#This Row],[PMT NO]]&lt;&gt;"",PaymentSchedule3[[#This Row],[TOTAL PAYMENT]]-PaymentSchedule3[[#This Row],[INTEREST]],"")</f>
        <v>5245.7624636594173</v>
      </c>
      <c r="I352" s="19">
        <f>IF(PaymentSchedule3[[#This Row],[PMT NO]]&lt;&gt;"",PaymentSchedule3[[#This Row],[BEGINNING BALANCE]]*(InterestRate/PaymentsPerYear),"")</f>
        <v>3113.0069244168644</v>
      </c>
      <c r="J35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928656.31486139994</v>
      </c>
      <c r="K352" s="19">
        <f>IF(PaymentSchedule3[[#This Row],[PMT NO]]&lt;&gt;"",SUM(INDEX(PaymentSchedule3[INTEREST],1,1):PaymentSchedule3[[#This Row],[INTEREST]]),"")</f>
        <v>1778996.676195411</v>
      </c>
    </row>
    <row r="353" spans="2:11" x14ac:dyDescent="0.3">
      <c r="B353" s="21">
        <f>IF(LoanIsGood,IF(ROW()-ROW(PaymentSchedule3[[#Headers],[PMT NO]])&gt;ScheduledNumberOfPayments,"",ROW()-ROW(PaymentSchedule3[[#Headers],[PMT NO]])),"")</f>
        <v>342</v>
      </c>
      <c r="C353" s="20">
        <f>IF(PaymentSchedule3[[#This Row],[PMT NO]]&lt;&gt;"",EOMONTH(LoanStartDate,ROW(PaymentSchedule3[[#This Row],[PMT NO]])-ROW(PaymentSchedule3[[#Headers],[PMT NO]])-2)+DAY(LoanStartDate),"")</f>
        <v>54027</v>
      </c>
      <c r="D353" s="19">
        <f>IF(PaymentSchedule3[[#This Row],[PMT NO]]&lt;&gt;"",IF(ROW()-ROW(PaymentSchedule3[[#Headers],[BEGINNING BALANCE]])=1,LoanAmount,INDEX(PaymentSchedule3[ENDING BALANCE],ROW()-ROW(PaymentSchedule3[[#Headers],[BEGINNING BALANCE]])-1)),"")</f>
        <v>928656.31486139994</v>
      </c>
      <c r="E353" s="19">
        <f>IF(PaymentSchedule3[[#This Row],[PMT NO]]&lt;&gt;"",ScheduledPayment,"")</f>
        <v>8358.7693880762818</v>
      </c>
      <c r="F35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5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53" s="19">
        <f>IF(PaymentSchedule3[[#This Row],[PMT NO]]&lt;&gt;"",PaymentSchedule3[[#This Row],[TOTAL PAYMENT]]-PaymentSchedule3[[#This Row],[INTEREST]],"")</f>
        <v>5263.248338538282</v>
      </c>
      <c r="I353" s="19">
        <f>IF(PaymentSchedule3[[#This Row],[PMT NO]]&lt;&gt;"",PaymentSchedule3[[#This Row],[BEGINNING BALANCE]]*(InterestRate/PaymentsPerYear),"")</f>
        <v>3095.5210495380002</v>
      </c>
      <c r="J35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923393.0665228616</v>
      </c>
      <c r="K353" s="19">
        <f>IF(PaymentSchedule3[[#This Row],[PMT NO]]&lt;&gt;"",SUM(INDEX(PaymentSchedule3[INTEREST],1,1):PaymentSchedule3[[#This Row],[INTEREST]]),"")</f>
        <v>1782092.1972449489</v>
      </c>
    </row>
    <row r="354" spans="2:11" x14ac:dyDescent="0.3">
      <c r="B354" s="21">
        <f>IF(LoanIsGood,IF(ROW()-ROW(PaymentSchedule3[[#Headers],[PMT NO]])&gt;ScheduledNumberOfPayments,"",ROW()-ROW(PaymentSchedule3[[#Headers],[PMT NO]])),"")</f>
        <v>343</v>
      </c>
      <c r="C354" s="20">
        <f>IF(PaymentSchedule3[[#This Row],[PMT NO]]&lt;&gt;"",EOMONTH(LoanStartDate,ROW(PaymentSchedule3[[#This Row],[PMT NO]])-ROW(PaymentSchedule3[[#Headers],[PMT NO]])-2)+DAY(LoanStartDate),"")</f>
        <v>54058</v>
      </c>
      <c r="D354" s="19">
        <f>IF(PaymentSchedule3[[#This Row],[PMT NO]]&lt;&gt;"",IF(ROW()-ROW(PaymentSchedule3[[#Headers],[BEGINNING BALANCE]])=1,LoanAmount,INDEX(PaymentSchedule3[ENDING BALANCE],ROW()-ROW(PaymentSchedule3[[#Headers],[BEGINNING BALANCE]])-1)),"")</f>
        <v>923393.0665228616</v>
      </c>
      <c r="E354" s="19">
        <f>IF(PaymentSchedule3[[#This Row],[PMT NO]]&lt;&gt;"",ScheduledPayment,"")</f>
        <v>8358.7693880762818</v>
      </c>
      <c r="F35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5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54" s="19">
        <f>IF(PaymentSchedule3[[#This Row],[PMT NO]]&lt;&gt;"",PaymentSchedule3[[#This Row],[TOTAL PAYMENT]]-PaymentSchedule3[[#This Row],[INTEREST]],"")</f>
        <v>5280.7924996667425</v>
      </c>
      <c r="I354" s="19">
        <f>IF(PaymentSchedule3[[#This Row],[PMT NO]]&lt;&gt;"",PaymentSchedule3[[#This Row],[BEGINNING BALANCE]]*(InterestRate/PaymentsPerYear),"")</f>
        <v>3077.9768884095388</v>
      </c>
      <c r="J35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918112.2740231948</v>
      </c>
      <c r="K354" s="19">
        <f>IF(PaymentSchedule3[[#This Row],[PMT NO]]&lt;&gt;"",SUM(INDEX(PaymentSchedule3[INTEREST],1,1):PaymentSchedule3[[#This Row],[INTEREST]]),"")</f>
        <v>1785170.1741333585</v>
      </c>
    </row>
    <row r="355" spans="2:11" x14ac:dyDescent="0.3">
      <c r="B355" s="21">
        <f>IF(LoanIsGood,IF(ROW()-ROW(PaymentSchedule3[[#Headers],[PMT NO]])&gt;ScheduledNumberOfPayments,"",ROW()-ROW(PaymentSchedule3[[#Headers],[PMT NO]])),"")</f>
        <v>344</v>
      </c>
      <c r="C355" s="20">
        <f>IF(PaymentSchedule3[[#This Row],[PMT NO]]&lt;&gt;"",EOMONTH(LoanStartDate,ROW(PaymentSchedule3[[#This Row],[PMT NO]])-ROW(PaymentSchedule3[[#Headers],[PMT NO]])-2)+DAY(LoanStartDate),"")</f>
        <v>54089</v>
      </c>
      <c r="D355" s="19">
        <f>IF(PaymentSchedule3[[#This Row],[PMT NO]]&lt;&gt;"",IF(ROW()-ROW(PaymentSchedule3[[#Headers],[BEGINNING BALANCE]])=1,LoanAmount,INDEX(PaymentSchedule3[ENDING BALANCE],ROW()-ROW(PaymentSchedule3[[#Headers],[BEGINNING BALANCE]])-1)),"")</f>
        <v>918112.2740231948</v>
      </c>
      <c r="E355" s="19">
        <f>IF(PaymentSchedule3[[#This Row],[PMT NO]]&lt;&gt;"",ScheduledPayment,"")</f>
        <v>8358.7693880762818</v>
      </c>
      <c r="F35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5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55" s="19">
        <f>IF(PaymentSchedule3[[#This Row],[PMT NO]]&lt;&gt;"",PaymentSchedule3[[#This Row],[TOTAL PAYMENT]]-PaymentSchedule3[[#This Row],[INTEREST]],"")</f>
        <v>5298.3951413322993</v>
      </c>
      <c r="I355" s="19">
        <f>IF(PaymentSchedule3[[#This Row],[PMT NO]]&lt;&gt;"",PaymentSchedule3[[#This Row],[BEGINNING BALANCE]]*(InterestRate/PaymentsPerYear),"")</f>
        <v>3060.3742467439829</v>
      </c>
      <c r="J35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912813.8788818625</v>
      </c>
      <c r="K355" s="19">
        <f>IF(PaymentSchedule3[[#This Row],[PMT NO]]&lt;&gt;"",SUM(INDEX(PaymentSchedule3[INTEREST],1,1):PaymentSchedule3[[#This Row],[INTEREST]]),"")</f>
        <v>1788230.5483801025</v>
      </c>
    </row>
    <row r="356" spans="2:11" x14ac:dyDescent="0.3">
      <c r="B356" s="21">
        <f>IF(LoanIsGood,IF(ROW()-ROW(PaymentSchedule3[[#Headers],[PMT NO]])&gt;ScheduledNumberOfPayments,"",ROW()-ROW(PaymentSchedule3[[#Headers],[PMT NO]])),"")</f>
        <v>345</v>
      </c>
      <c r="C356" s="20">
        <f>IF(PaymentSchedule3[[#This Row],[PMT NO]]&lt;&gt;"",EOMONTH(LoanStartDate,ROW(PaymentSchedule3[[#This Row],[PMT NO]])-ROW(PaymentSchedule3[[#Headers],[PMT NO]])-2)+DAY(LoanStartDate),"")</f>
        <v>54118</v>
      </c>
      <c r="D356" s="19">
        <f>IF(PaymentSchedule3[[#This Row],[PMT NO]]&lt;&gt;"",IF(ROW()-ROW(PaymentSchedule3[[#Headers],[BEGINNING BALANCE]])=1,LoanAmount,INDEX(PaymentSchedule3[ENDING BALANCE],ROW()-ROW(PaymentSchedule3[[#Headers],[BEGINNING BALANCE]])-1)),"")</f>
        <v>912813.8788818625</v>
      </c>
      <c r="E356" s="19">
        <f>IF(PaymentSchedule3[[#This Row],[PMT NO]]&lt;&gt;"",ScheduledPayment,"")</f>
        <v>8358.7693880762818</v>
      </c>
      <c r="F35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5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56" s="19">
        <f>IF(PaymentSchedule3[[#This Row],[PMT NO]]&lt;&gt;"",PaymentSchedule3[[#This Row],[TOTAL PAYMENT]]-PaymentSchedule3[[#This Row],[INTEREST]],"")</f>
        <v>5316.0564584700733</v>
      </c>
      <c r="I356" s="19">
        <f>IF(PaymentSchedule3[[#This Row],[PMT NO]]&lt;&gt;"",PaymentSchedule3[[#This Row],[BEGINNING BALANCE]]*(InterestRate/PaymentsPerYear),"")</f>
        <v>3042.7129296062085</v>
      </c>
      <c r="J35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907497.82242339244</v>
      </c>
      <c r="K356" s="19">
        <f>IF(PaymentSchedule3[[#This Row],[PMT NO]]&lt;&gt;"",SUM(INDEX(PaymentSchedule3[INTEREST],1,1):PaymentSchedule3[[#This Row],[INTEREST]]),"")</f>
        <v>1791273.2613097087</v>
      </c>
    </row>
    <row r="357" spans="2:11" x14ac:dyDescent="0.3">
      <c r="B357" s="21">
        <f>IF(LoanIsGood,IF(ROW()-ROW(PaymentSchedule3[[#Headers],[PMT NO]])&gt;ScheduledNumberOfPayments,"",ROW()-ROW(PaymentSchedule3[[#Headers],[PMT NO]])),"")</f>
        <v>346</v>
      </c>
      <c r="C357" s="20">
        <f>IF(PaymentSchedule3[[#This Row],[PMT NO]]&lt;&gt;"",EOMONTH(LoanStartDate,ROW(PaymentSchedule3[[#This Row],[PMT NO]])-ROW(PaymentSchedule3[[#Headers],[PMT NO]])-2)+DAY(LoanStartDate),"")</f>
        <v>54149</v>
      </c>
      <c r="D357" s="19">
        <f>IF(PaymentSchedule3[[#This Row],[PMT NO]]&lt;&gt;"",IF(ROW()-ROW(PaymentSchedule3[[#Headers],[BEGINNING BALANCE]])=1,LoanAmount,INDEX(PaymentSchedule3[ENDING BALANCE],ROW()-ROW(PaymentSchedule3[[#Headers],[BEGINNING BALANCE]])-1)),"")</f>
        <v>907497.82242339244</v>
      </c>
      <c r="E357" s="19">
        <f>IF(PaymentSchedule3[[#This Row],[PMT NO]]&lt;&gt;"",ScheduledPayment,"")</f>
        <v>8358.7693880762818</v>
      </c>
      <c r="F35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5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57" s="19">
        <f>IF(PaymentSchedule3[[#This Row],[PMT NO]]&lt;&gt;"",PaymentSchedule3[[#This Row],[TOTAL PAYMENT]]-PaymentSchedule3[[#This Row],[INTEREST]],"")</f>
        <v>5333.7766466649737</v>
      </c>
      <c r="I357" s="19">
        <f>IF(PaymentSchedule3[[#This Row],[PMT NO]]&lt;&gt;"",PaymentSchedule3[[#This Row],[BEGINNING BALANCE]]*(InterestRate/PaymentsPerYear),"")</f>
        <v>3024.9927414113085</v>
      </c>
      <c r="J35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902164.04577672749</v>
      </c>
      <c r="K357" s="19">
        <f>IF(PaymentSchedule3[[#This Row],[PMT NO]]&lt;&gt;"",SUM(INDEX(PaymentSchedule3[INTEREST],1,1):PaymentSchedule3[[#This Row],[INTEREST]]),"")</f>
        <v>1794298.25405112</v>
      </c>
    </row>
    <row r="358" spans="2:11" x14ac:dyDescent="0.3">
      <c r="B358" s="21">
        <f>IF(LoanIsGood,IF(ROW()-ROW(PaymentSchedule3[[#Headers],[PMT NO]])&gt;ScheduledNumberOfPayments,"",ROW()-ROW(PaymentSchedule3[[#Headers],[PMT NO]])),"")</f>
        <v>347</v>
      </c>
      <c r="C358" s="20">
        <f>IF(PaymentSchedule3[[#This Row],[PMT NO]]&lt;&gt;"",EOMONTH(LoanStartDate,ROW(PaymentSchedule3[[#This Row],[PMT NO]])-ROW(PaymentSchedule3[[#Headers],[PMT NO]])-2)+DAY(LoanStartDate),"")</f>
        <v>54179</v>
      </c>
      <c r="D358" s="19">
        <f>IF(PaymentSchedule3[[#This Row],[PMT NO]]&lt;&gt;"",IF(ROW()-ROW(PaymentSchedule3[[#Headers],[BEGINNING BALANCE]])=1,LoanAmount,INDEX(PaymentSchedule3[ENDING BALANCE],ROW()-ROW(PaymentSchedule3[[#Headers],[BEGINNING BALANCE]])-1)),"")</f>
        <v>902164.04577672749</v>
      </c>
      <c r="E358" s="19">
        <f>IF(PaymentSchedule3[[#This Row],[PMT NO]]&lt;&gt;"",ScheduledPayment,"")</f>
        <v>8358.7693880762818</v>
      </c>
      <c r="F35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5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58" s="19">
        <f>IF(PaymentSchedule3[[#This Row],[PMT NO]]&lt;&gt;"",PaymentSchedule3[[#This Row],[TOTAL PAYMENT]]-PaymentSchedule3[[#This Row],[INTEREST]],"")</f>
        <v>5351.5559021538566</v>
      </c>
      <c r="I358" s="19">
        <f>IF(PaymentSchedule3[[#This Row],[PMT NO]]&lt;&gt;"",PaymentSchedule3[[#This Row],[BEGINNING BALANCE]]*(InterestRate/PaymentsPerYear),"")</f>
        <v>3007.2134859224252</v>
      </c>
      <c r="J35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896812.48987457366</v>
      </c>
      <c r="K358" s="19">
        <f>IF(PaymentSchedule3[[#This Row],[PMT NO]]&lt;&gt;"",SUM(INDEX(PaymentSchedule3[INTEREST],1,1):PaymentSchedule3[[#This Row],[INTEREST]]),"")</f>
        <v>1797305.4675370425</v>
      </c>
    </row>
    <row r="359" spans="2:11" x14ac:dyDescent="0.3">
      <c r="B359" s="21">
        <f>IF(LoanIsGood,IF(ROW()-ROW(PaymentSchedule3[[#Headers],[PMT NO]])&gt;ScheduledNumberOfPayments,"",ROW()-ROW(PaymentSchedule3[[#Headers],[PMT NO]])),"")</f>
        <v>348</v>
      </c>
      <c r="C359" s="20">
        <f>IF(PaymentSchedule3[[#This Row],[PMT NO]]&lt;&gt;"",EOMONTH(LoanStartDate,ROW(PaymentSchedule3[[#This Row],[PMT NO]])-ROW(PaymentSchedule3[[#Headers],[PMT NO]])-2)+DAY(LoanStartDate),"")</f>
        <v>54210</v>
      </c>
      <c r="D359" s="19">
        <f>IF(PaymentSchedule3[[#This Row],[PMT NO]]&lt;&gt;"",IF(ROW()-ROW(PaymentSchedule3[[#Headers],[BEGINNING BALANCE]])=1,LoanAmount,INDEX(PaymentSchedule3[ENDING BALANCE],ROW()-ROW(PaymentSchedule3[[#Headers],[BEGINNING BALANCE]])-1)),"")</f>
        <v>896812.48987457366</v>
      </c>
      <c r="E359" s="19">
        <f>IF(PaymentSchedule3[[#This Row],[PMT NO]]&lt;&gt;"",ScheduledPayment,"")</f>
        <v>8358.7693880762818</v>
      </c>
      <c r="F35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5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59" s="19">
        <f>IF(PaymentSchedule3[[#This Row],[PMT NO]]&lt;&gt;"",PaymentSchedule3[[#This Row],[TOTAL PAYMENT]]-PaymentSchedule3[[#This Row],[INTEREST]],"")</f>
        <v>5369.3944218277029</v>
      </c>
      <c r="I359" s="19">
        <f>IF(PaymentSchedule3[[#This Row],[PMT NO]]&lt;&gt;"",PaymentSchedule3[[#This Row],[BEGINNING BALANCE]]*(InterestRate/PaymentsPerYear),"")</f>
        <v>2989.3749662485789</v>
      </c>
      <c r="J35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891443.09545274591</v>
      </c>
      <c r="K359" s="19">
        <f>IF(PaymentSchedule3[[#This Row],[PMT NO]]&lt;&gt;"",SUM(INDEX(PaymentSchedule3[INTEREST],1,1):PaymentSchedule3[[#This Row],[INTEREST]]),"")</f>
        <v>1800294.8425032911</v>
      </c>
    </row>
    <row r="360" spans="2:11" x14ac:dyDescent="0.3">
      <c r="B360" s="21">
        <f>IF(LoanIsGood,IF(ROW()-ROW(PaymentSchedule3[[#Headers],[PMT NO]])&gt;ScheduledNumberOfPayments,"",ROW()-ROW(PaymentSchedule3[[#Headers],[PMT NO]])),"")</f>
        <v>349</v>
      </c>
      <c r="C360" s="20">
        <f>IF(PaymentSchedule3[[#This Row],[PMT NO]]&lt;&gt;"",EOMONTH(LoanStartDate,ROW(PaymentSchedule3[[#This Row],[PMT NO]])-ROW(PaymentSchedule3[[#Headers],[PMT NO]])-2)+DAY(LoanStartDate),"")</f>
        <v>54240</v>
      </c>
      <c r="D360" s="19">
        <f>IF(PaymentSchedule3[[#This Row],[PMT NO]]&lt;&gt;"",IF(ROW()-ROW(PaymentSchedule3[[#Headers],[BEGINNING BALANCE]])=1,LoanAmount,INDEX(PaymentSchedule3[ENDING BALANCE],ROW()-ROW(PaymentSchedule3[[#Headers],[BEGINNING BALANCE]])-1)),"")</f>
        <v>891443.09545274591</v>
      </c>
      <c r="E360" s="19">
        <f>IF(PaymentSchedule3[[#This Row],[PMT NO]]&lt;&gt;"",ScheduledPayment,"")</f>
        <v>8358.7693880762818</v>
      </c>
      <c r="F36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6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60" s="19">
        <f>IF(PaymentSchedule3[[#This Row],[PMT NO]]&lt;&gt;"",PaymentSchedule3[[#This Row],[TOTAL PAYMENT]]-PaymentSchedule3[[#This Row],[INTEREST]],"")</f>
        <v>5387.2924032337951</v>
      </c>
      <c r="I360" s="19">
        <f>IF(PaymentSchedule3[[#This Row],[PMT NO]]&lt;&gt;"",PaymentSchedule3[[#This Row],[BEGINNING BALANCE]]*(InterestRate/PaymentsPerYear),"")</f>
        <v>2971.4769848424867</v>
      </c>
      <c r="J36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886055.80304951209</v>
      </c>
      <c r="K360" s="19">
        <f>IF(PaymentSchedule3[[#This Row],[PMT NO]]&lt;&gt;"",SUM(INDEX(PaymentSchedule3[INTEREST],1,1):PaymentSchedule3[[#This Row],[INTEREST]]),"")</f>
        <v>1803266.3194881335</v>
      </c>
    </row>
    <row r="361" spans="2:11" x14ac:dyDescent="0.3">
      <c r="B361" s="21">
        <f>IF(LoanIsGood,IF(ROW()-ROW(PaymentSchedule3[[#Headers],[PMT NO]])&gt;ScheduledNumberOfPayments,"",ROW()-ROW(PaymentSchedule3[[#Headers],[PMT NO]])),"")</f>
        <v>350</v>
      </c>
      <c r="C361" s="20">
        <f>IF(PaymentSchedule3[[#This Row],[PMT NO]]&lt;&gt;"",EOMONTH(LoanStartDate,ROW(PaymentSchedule3[[#This Row],[PMT NO]])-ROW(PaymentSchedule3[[#Headers],[PMT NO]])-2)+DAY(LoanStartDate),"")</f>
        <v>54271</v>
      </c>
      <c r="D361" s="19">
        <f>IF(PaymentSchedule3[[#This Row],[PMT NO]]&lt;&gt;"",IF(ROW()-ROW(PaymentSchedule3[[#Headers],[BEGINNING BALANCE]])=1,LoanAmount,INDEX(PaymentSchedule3[ENDING BALANCE],ROW()-ROW(PaymentSchedule3[[#Headers],[BEGINNING BALANCE]])-1)),"")</f>
        <v>886055.80304951209</v>
      </c>
      <c r="E361" s="19">
        <f>IF(PaymentSchedule3[[#This Row],[PMT NO]]&lt;&gt;"",ScheduledPayment,"")</f>
        <v>8358.7693880762818</v>
      </c>
      <c r="F36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6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61" s="19">
        <f>IF(PaymentSchedule3[[#This Row],[PMT NO]]&lt;&gt;"",PaymentSchedule3[[#This Row],[TOTAL PAYMENT]]-PaymentSchedule3[[#This Row],[INTEREST]],"")</f>
        <v>5405.2500445779078</v>
      </c>
      <c r="I361" s="19">
        <f>IF(PaymentSchedule3[[#This Row],[PMT NO]]&lt;&gt;"",PaymentSchedule3[[#This Row],[BEGINNING BALANCE]]*(InterestRate/PaymentsPerYear),"")</f>
        <v>2953.5193434983739</v>
      </c>
      <c r="J36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880650.55300493422</v>
      </c>
      <c r="K361" s="19">
        <f>IF(PaymentSchedule3[[#This Row],[PMT NO]]&lt;&gt;"",SUM(INDEX(PaymentSchedule3[INTEREST],1,1):PaymentSchedule3[[#This Row],[INTEREST]]),"")</f>
        <v>1806219.8388316319</v>
      </c>
    </row>
    <row r="362" spans="2:11" x14ac:dyDescent="0.3">
      <c r="B362" s="21">
        <f>IF(LoanIsGood,IF(ROW()-ROW(PaymentSchedule3[[#Headers],[PMT NO]])&gt;ScheduledNumberOfPayments,"",ROW()-ROW(PaymentSchedule3[[#Headers],[PMT NO]])),"")</f>
        <v>351</v>
      </c>
      <c r="C362" s="20">
        <f>IF(PaymentSchedule3[[#This Row],[PMT NO]]&lt;&gt;"",EOMONTH(LoanStartDate,ROW(PaymentSchedule3[[#This Row],[PMT NO]])-ROW(PaymentSchedule3[[#Headers],[PMT NO]])-2)+DAY(LoanStartDate),"")</f>
        <v>54302</v>
      </c>
      <c r="D362" s="19">
        <f>IF(PaymentSchedule3[[#This Row],[PMT NO]]&lt;&gt;"",IF(ROW()-ROW(PaymentSchedule3[[#Headers],[BEGINNING BALANCE]])=1,LoanAmount,INDEX(PaymentSchedule3[ENDING BALANCE],ROW()-ROW(PaymentSchedule3[[#Headers],[BEGINNING BALANCE]])-1)),"")</f>
        <v>880650.55300493422</v>
      </c>
      <c r="E362" s="19">
        <f>IF(PaymentSchedule3[[#This Row],[PMT NO]]&lt;&gt;"",ScheduledPayment,"")</f>
        <v>8358.7693880762818</v>
      </c>
      <c r="F362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62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62" s="19">
        <f>IF(PaymentSchedule3[[#This Row],[PMT NO]]&lt;&gt;"",PaymentSchedule3[[#This Row],[TOTAL PAYMENT]]-PaymentSchedule3[[#This Row],[INTEREST]],"")</f>
        <v>5423.267544726501</v>
      </c>
      <c r="I362" s="19">
        <f>IF(PaymentSchedule3[[#This Row],[PMT NO]]&lt;&gt;"",PaymentSchedule3[[#This Row],[BEGINNING BALANCE]]*(InterestRate/PaymentsPerYear),"")</f>
        <v>2935.5018433497808</v>
      </c>
      <c r="J362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875227.28546020773</v>
      </c>
      <c r="K362" s="19">
        <f>IF(PaymentSchedule3[[#This Row],[PMT NO]]&lt;&gt;"",SUM(INDEX(PaymentSchedule3[INTEREST],1,1):PaymentSchedule3[[#This Row],[INTEREST]]),"")</f>
        <v>1809155.3406749817</v>
      </c>
    </row>
    <row r="363" spans="2:11" x14ac:dyDescent="0.3">
      <c r="B363" s="21">
        <f>IF(LoanIsGood,IF(ROW()-ROW(PaymentSchedule3[[#Headers],[PMT NO]])&gt;ScheduledNumberOfPayments,"",ROW()-ROW(PaymentSchedule3[[#Headers],[PMT NO]])),"")</f>
        <v>352</v>
      </c>
      <c r="C363" s="20">
        <f>IF(PaymentSchedule3[[#This Row],[PMT NO]]&lt;&gt;"",EOMONTH(LoanStartDate,ROW(PaymentSchedule3[[#This Row],[PMT NO]])-ROW(PaymentSchedule3[[#Headers],[PMT NO]])-2)+DAY(LoanStartDate),"")</f>
        <v>54332</v>
      </c>
      <c r="D363" s="19">
        <f>IF(PaymentSchedule3[[#This Row],[PMT NO]]&lt;&gt;"",IF(ROW()-ROW(PaymentSchedule3[[#Headers],[BEGINNING BALANCE]])=1,LoanAmount,INDEX(PaymentSchedule3[ENDING BALANCE],ROW()-ROW(PaymentSchedule3[[#Headers],[BEGINNING BALANCE]])-1)),"")</f>
        <v>875227.28546020773</v>
      </c>
      <c r="E363" s="19">
        <f>IF(PaymentSchedule3[[#This Row],[PMT NO]]&lt;&gt;"",ScheduledPayment,"")</f>
        <v>8358.7693880762818</v>
      </c>
      <c r="F363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63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63" s="19">
        <f>IF(PaymentSchedule3[[#This Row],[PMT NO]]&lt;&gt;"",PaymentSchedule3[[#This Row],[TOTAL PAYMENT]]-PaymentSchedule3[[#This Row],[INTEREST]],"")</f>
        <v>5441.3451032089224</v>
      </c>
      <c r="I363" s="19">
        <f>IF(PaymentSchedule3[[#This Row],[PMT NO]]&lt;&gt;"",PaymentSchedule3[[#This Row],[BEGINNING BALANCE]]*(InterestRate/PaymentsPerYear),"")</f>
        <v>2917.4242848673593</v>
      </c>
      <c r="J363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869785.94035699882</v>
      </c>
      <c r="K363" s="19">
        <f>IF(PaymentSchedule3[[#This Row],[PMT NO]]&lt;&gt;"",SUM(INDEX(PaymentSchedule3[INTEREST],1,1):PaymentSchedule3[[#This Row],[INTEREST]]),"")</f>
        <v>1812072.764959849</v>
      </c>
    </row>
    <row r="364" spans="2:11" x14ac:dyDescent="0.3">
      <c r="B364" s="21">
        <f>IF(LoanIsGood,IF(ROW()-ROW(PaymentSchedule3[[#Headers],[PMT NO]])&gt;ScheduledNumberOfPayments,"",ROW()-ROW(PaymentSchedule3[[#Headers],[PMT NO]])),"")</f>
        <v>353</v>
      </c>
      <c r="C364" s="20">
        <f>IF(PaymentSchedule3[[#This Row],[PMT NO]]&lt;&gt;"",EOMONTH(LoanStartDate,ROW(PaymentSchedule3[[#This Row],[PMT NO]])-ROW(PaymentSchedule3[[#Headers],[PMT NO]])-2)+DAY(LoanStartDate),"")</f>
        <v>54363</v>
      </c>
      <c r="D364" s="19">
        <f>IF(PaymentSchedule3[[#This Row],[PMT NO]]&lt;&gt;"",IF(ROW()-ROW(PaymentSchedule3[[#Headers],[BEGINNING BALANCE]])=1,LoanAmount,INDEX(PaymentSchedule3[ENDING BALANCE],ROW()-ROW(PaymentSchedule3[[#Headers],[BEGINNING BALANCE]])-1)),"")</f>
        <v>869785.94035699882</v>
      </c>
      <c r="E364" s="19">
        <f>IF(PaymentSchedule3[[#This Row],[PMT NO]]&lt;&gt;"",ScheduledPayment,"")</f>
        <v>8358.7693880762818</v>
      </c>
      <c r="F364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64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64" s="19">
        <f>IF(PaymentSchedule3[[#This Row],[PMT NO]]&lt;&gt;"",PaymentSchedule3[[#This Row],[TOTAL PAYMENT]]-PaymentSchedule3[[#This Row],[INTEREST]],"")</f>
        <v>5459.4829202196188</v>
      </c>
      <c r="I364" s="19">
        <f>IF(PaymentSchedule3[[#This Row],[PMT NO]]&lt;&gt;"",PaymentSchedule3[[#This Row],[BEGINNING BALANCE]]*(InterestRate/PaymentsPerYear),"")</f>
        <v>2899.286467856663</v>
      </c>
      <c r="J364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864326.45743677916</v>
      </c>
      <c r="K364" s="19">
        <f>IF(PaymentSchedule3[[#This Row],[PMT NO]]&lt;&gt;"",SUM(INDEX(PaymentSchedule3[INTEREST],1,1):PaymentSchedule3[[#This Row],[INTEREST]]),"")</f>
        <v>1814972.0514277057</v>
      </c>
    </row>
    <row r="365" spans="2:11" x14ac:dyDescent="0.3">
      <c r="B365" s="21">
        <f>IF(LoanIsGood,IF(ROW()-ROW(PaymentSchedule3[[#Headers],[PMT NO]])&gt;ScheduledNumberOfPayments,"",ROW()-ROW(PaymentSchedule3[[#Headers],[PMT NO]])),"")</f>
        <v>354</v>
      </c>
      <c r="C365" s="20">
        <f>IF(PaymentSchedule3[[#This Row],[PMT NO]]&lt;&gt;"",EOMONTH(LoanStartDate,ROW(PaymentSchedule3[[#This Row],[PMT NO]])-ROW(PaymentSchedule3[[#Headers],[PMT NO]])-2)+DAY(LoanStartDate),"")</f>
        <v>54393</v>
      </c>
      <c r="D365" s="19">
        <f>IF(PaymentSchedule3[[#This Row],[PMT NO]]&lt;&gt;"",IF(ROW()-ROW(PaymentSchedule3[[#Headers],[BEGINNING BALANCE]])=1,LoanAmount,INDEX(PaymentSchedule3[ENDING BALANCE],ROW()-ROW(PaymentSchedule3[[#Headers],[BEGINNING BALANCE]])-1)),"")</f>
        <v>864326.45743677916</v>
      </c>
      <c r="E365" s="19">
        <f>IF(PaymentSchedule3[[#This Row],[PMT NO]]&lt;&gt;"",ScheduledPayment,"")</f>
        <v>8358.7693880762818</v>
      </c>
      <c r="F365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65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65" s="19">
        <f>IF(PaymentSchedule3[[#This Row],[PMT NO]]&lt;&gt;"",PaymentSchedule3[[#This Row],[TOTAL PAYMENT]]-PaymentSchedule3[[#This Row],[INTEREST]],"")</f>
        <v>5477.6811966203513</v>
      </c>
      <c r="I365" s="19">
        <f>IF(PaymentSchedule3[[#This Row],[PMT NO]]&lt;&gt;"",PaymentSchedule3[[#This Row],[BEGINNING BALANCE]]*(InterestRate/PaymentsPerYear),"")</f>
        <v>2881.0881914559309</v>
      </c>
      <c r="J365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858848.77624015883</v>
      </c>
      <c r="K365" s="19">
        <f>IF(PaymentSchedule3[[#This Row],[PMT NO]]&lt;&gt;"",SUM(INDEX(PaymentSchedule3[INTEREST],1,1):PaymentSchedule3[[#This Row],[INTEREST]]),"")</f>
        <v>1817853.1396191616</v>
      </c>
    </row>
    <row r="366" spans="2:11" x14ac:dyDescent="0.3">
      <c r="B366" s="21">
        <f>IF(LoanIsGood,IF(ROW()-ROW(PaymentSchedule3[[#Headers],[PMT NO]])&gt;ScheduledNumberOfPayments,"",ROW()-ROW(PaymentSchedule3[[#Headers],[PMT NO]])),"")</f>
        <v>355</v>
      </c>
      <c r="C366" s="20">
        <f>IF(PaymentSchedule3[[#This Row],[PMT NO]]&lt;&gt;"",EOMONTH(LoanStartDate,ROW(PaymentSchedule3[[#This Row],[PMT NO]])-ROW(PaymentSchedule3[[#Headers],[PMT NO]])-2)+DAY(LoanStartDate),"")</f>
        <v>54424</v>
      </c>
      <c r="D366" s="19">
        <f>IF(PaymentSchedule3[[#This Row],[PMT NO]]&lt;&gt;"",IF(ROW()-ROW(PaymentSchedule3[[#Headers],[BEGINNING BALANCE]])=1,LoanAmount,INDEX(PaymentSchedule3[ENDING BALANCE],ROW()-ROW(PaymentSchedule3[[#Headers],[BEGINNING BALANCE]])-1)),"")</f>
        <v>858848.77624015883</v>
      </c>
      <c r="E366" s="19">
        <f>IF(PaymentSchedule3[[#This Row],[PMT NO]]&lt;&gt;"",ScheduledPayment,"")</f>
        <v>8358.7693880762818</v>
      </c>
      <c r="F366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66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66" s="19">
        <f>IF(PaymentSchedule3[[#This Row],[PMT NO]]&lt;&gt;"",PaymentSchedule3[[#This Row],[TOTAL PAYMENT]]-PaymentSchedule3[[#This Row],[INTEREST]],"")</f>
        <v>5495.9401339424185</v>
      </c>
      <c r="I366" s="19">
        <f>IF(PaymentSchedule3[[#This Row],[PMT NO]]&lt;&gt;"",PaymentSchedule3[[#This Row],[BEGINNING BALANCE]]*(InterestRate/PaymentsPerYear),"")</f>
        <v>2862.8292541338628</v>
      </c>
      <c r="J366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853352.83610621642</v>
      </c>
      <c r="K366" s="19">
        <f>IF(PaymentSchedule3[[#This Row],[PMT NO]]&lt;&gt;"",SUM(INDEX(PaymentSchedule3[INTEREST],1,1):PaymentSchedule3[[#This Row],[INTEREST]]),"")</f>
        <v>1820715.9688732955</v>
      </c>
    </row>
    <row r="367" spans="2:11" x14ac:dyDescent="0.3">
      <c r="B367" s="21">
        <f>IF(LoanIsGood,IF(ROW()-ROW(PaymentSchedule3[[#Headers],[PMT NO]])&gt;ScheduledNumberOfPayments,"",ROW()-ROW(PaymentSchedule3[[#Headers],[PMT NO]])),"")</f>
        <v>356</v>
      </c>
      <c r="C367" s="20">
        <f>IF(PaymentSchedule3[[#This Row],[PMT NO]]&lt;&gt;"",EOMONTH(LoanStartDate,ROW(PaymentSchedule3[[#This Row],[PMT NO]])-ROW(PaymentSchedule3[[#Headers],[PMT NO]])-2)+DAY(LoanStartDate),"")</f>
        <v>54455</v>
      </c>
      <c r="D367" s="19">
        <f>IF(PaymentSchedule3[[#This Row],[PMT NO]]&lt;&gt;"",IF(ROW()-ROW(PaymentSchedule3[[#Headers],[BEGINNING BALANCE]])=1,LoanAmount,INDEX(PaymentSchedule3[ENDING BALANCE],ROW()-ROW(PaymentSchedule3[[#Headers],[BEGINNING BALANCE]])-1)),"")</f>
        <v>853352.83610621642</v>
      </c>
      <c r="E367" s="19">
        <f>IF(PaymentSchedule3[[#This Row],[PMT NO]]&lt;&gt;"",ScheduledPayment,"")</f>
        <v>8358.7693880762818</v>
      </c>
      <c r="F367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67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67" s="19">
        <f>IF(PaymentSchedule3[[#This Row],[PMT NO]]&lt;&gt;"",PaymentSchedule3[[#This Row],[TOTAL PAYMENT]]-PaymentSchedule3[[#This Row],[INTEREST]],"")</f>
        <v>5514.2599343888942</v>
      </c>
      <c r="I367" s="19">
        <f>IF(PaymentSchedule3[[#This Row],[PMT NO]]&lt;&gt;"",PaymentSchedule3[[#This Row],[BEGINNING BALANCE]]*(InterestRate/PaymentsPerYear),"")</f>
        <v>2844.509453687388</v>
      </c>
      <c r="J367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847838.5761718275</v>
      </c>
      <c r="K367" s="19">
        <f>IF(PaymentSchedule3[[#This Row],[PMT NO]]&lt;&gt;"",SUM(INDEX(PaymentSchedule3[INTEREST],1,1):PaymentSchedule3[[#This Row],[INTEREST]]),"")</f>
        <v>1823560.4783269828</v>
      </c>
    </row>
    <row r="368" spans="2:11" x14ac:dyDescent="0.3">
      <c r="B368" s="21">
        <f>IF(LoanIsGood,IF(ROW()-ROW(PaymentSchedule3[[#Headers],[PMT NO]])&gt;ScheduledNumberOfPayments,"",ROW()-ROW(PaymentSchedule3[[#Headers],[PMT NO]])),"")</f>
        <v>357</v>
      </c>
      <c r="C368" s="20">
        <f>IF(PaymentSchedule3[[#This Row],[PMT NO]]&lt;&gt;"",EOMONTH(LoanStartDate,ROW(PaymentSchedule3[[#This Row],[PMT NO]])-ROW(PaymentSchedule3[[#Headers],[PMT NO]])-2)+DAY(LoanStartDate),"")</f>
        <v>54483</v>
      </c>
      <c r="D368" s="19">
        <f>IF(PaymentSchedule3[[#This Row],[PMT NO]]&lt;&gt;"",IF(ROW()-ROW(PaymentSchedule3[[#Headers],[BEGINNING BALANCE]])=1,LoanAmount,INDEX(PaymentSchedule3[ENDING BALANCE],ROW()-ROW(PaymentSchedule3[[#Headers],[BEGINNING BALANCE]])-1)),"")</f>
        <v>847838.5761718275</v>
      </c>
      <c r="E368" s="19">
        <f>IF(PaymentSchedule3[[#This Row],[PMT NO]]&lt;&gt;"",ScheduledPayment,"")</f>
        <v>8358.7693880762818</v>
      </c>
      <c r="F368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68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68" s="19">
        <f>IF(PaymentSchedule3[[#This Row],[PMT NO]]&lt;&gt;"",PaymentSchedule3[[#This Row],[TOTAL PAYMENT]]-PaymentSchedule3[[#This Row],[INTEREST]],"")</f>
        <v>5532.6408008368562</v>
      </c>
      <c r="I368" s="19">
        <f>IF(PaymentSchedule3[[#This Row],[PMT NO]]&lt;&gt;"",PaymentSchedule3[[#This Row],[BEGINNING BALANCE]]*(InterestRate/PaymentsPerYear),"")</f>
        <v>2826.1285872394251</v>
      </c>
      <c r="J368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842305.93537099066</v>
      </c>
      <c r="K368" s="19">
        <f>IF(PaymentSchedule3[[#This Row],[PMT NO]]&lt;&gt;"",SUM(INDEX(PaymentSchedule3[INTEREST],1,1):PaymentSchedule3[[#This Row],[INTEREST]]),"")</f>
        <v>1826386.6069142222</v>
      </c>
    </row>
    <row r="369" spans="2:11" x14ac:dyDescent="0.3">
      <c r="B369" s="21">
        <f>IF(LoanIsGood,IF(ROW()-ROW(PaymentSchedule3[[#Headers],[PMT NO]])&gt;ScheduledNumberOfPayments,"",ROW()-ROW(PaymentSchedule3[[#Headers],[PMT NO]])),"")</f>
        <v>358</v>
      </c>
      <c r="C369" s="20">
        <f>IF(PaymentSchedule3[[#This Row],[PMT NO]]&lt;&gt;"",EOMONTH(LoanStartDate,ROW(PaymentSchedule3[[#This Row],[PMT NO]])-ROW(PaymentSchedule3[[#Headers],[PMT NO]])-2)+DAY(LoanStartDate),"")</f>
        <v>54514</v>
      </c>
      <c r="D369" s="19">
        <f>IF(PaymentSchedule3[[#This Row],[PMT NO]]&lt;&gt;"",IF(ROW()-ROW(PaymentSchedule3[[#Headers],[BEGINNING BALANCE]])=1,LoanAmount,INDEX(PaymentSchedule3[ENDING BALANCE],ROW()-ROW(PaymentSchedule3[[#Headers],[BEGINNING BALANCE]])-1)),"")</f>
        <v>842305.93537099066</v>
      </c>
      <c r="E369" s="19">
        <f>IF(PaymentSchedule3[[#This Row],[PMT NO]]&lt;&gt;"",ScheduledPayment,"")</f>
        <v>8358.7693880762818</v>
      </c>
      <c r="F369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69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69" s="19">
        <f>IF(PaymentSchedule3[[#This Row],[PMT NO]]&lt;&gt;"",PaymentSchedule3[[#This Row],[TOTAL PAYMENT]]-PaymentSchedule3[[#This Row],[INTEREST]],"")</f>
        <v>5551.0829368396462</v>
      </c>
      <c r="I369" s="19">
        <f>IF(PaymentSchedule3[[#This Row],[PMT NO]]&lt;&gt;"",PaymentSchedule3[[#This Row],[BEGINNING BALANCE]]*(InterestRate/PaymentsPerYear),"")</f>
        <v>2807.6864512366355</v>
      </c>
      <c r="J369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836754.85243415099</v>
      </c>
      <c r="K369" s="19">
        <f>IF(PaymentSchedule3[[#This Row],[PMT NO]]&lt;&gt;"",SUM(INDEX(PaymentSchedule3[INTEREST],1,1):PaymentSchedule3[[#This Row],[INTEREST]]),"")</f>
        <v>1829194.293365459</v>
      </c>
    </row>
    <row r="370" spans="2:11" x14ac:dyDescent="0.3">
      <c r="B370" s="21">
        <f>IF(LoanIsGood,IF(ROW()-ROW(PaymentSchedule3[[#Headers],[PMT NO]])&gt;ScheduledNumberOfPayments,"",ROW()-ROW(PaymentSchedule3[[#Headers],[PMT NO]])),"")</f>
        <v>359</v>
      </c>
      <c r="C370" s="20">
        <f>IF(PaymentSchedule3[[#This Row],[PMT NO]]&lt;&gt;"",EOMONTH(LoanStartDate,ROW(PaymentSchedule3[[#This Row],[PMT NO]])-ROW(PaymentSchedule3[[#Headers],[PMT NO]])-2)+DAY(LoanStartDate),"")</f>
        <v>54544</v>
      </c>
      <c r="D370" s="19">
        <f>IF(PaymentSchedule3[[#This Row],[PMT NO]]&lt;&gt;"",IF(ROW()-ROW(PaymentSchedule3[[#Headers],[BEGINNING BALANCE]])=1,LoanAmount,INDEX(PaymentSchedule3[ENDING BALANCE],ROW()-ROW(PaymentSchedule3[[#Headers],[BEGINNING BALANCE]])-1)),"")</f>
        <v>836754.85243415099</v>
      </c>
      <c r="E370" s="19">
        <f>IF(PaymentSchedule3[[#This Row],[PMT NO]]&lt;&gt;"",ScheduledPayment,"")</f>
        <v>8358.7693880762818</v>
      </c>
      <c r="F370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70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70" s="19">
        <f>IF(PaymentSchedule3[[#This Row],[PMT NO]]&lt;&gt;"",PaymentSchedule3[[#This Row],[TOTAL PAYMENT]]-PaymentSchedule3[[#This Row],[INTEREST]],"")</f>
        <v>5569.5865466291116</v>
      </c>
      <c r="I370" s="19">
        <f>IF(PaymentSchedule3[[#This Row],[PMT NO]]&lt;&gt;"",PaymentSchedule3[[#This Row],[BEGINNING BALANCE]]*(InterestRate/PaymentsPerYear),"")</f>
        <v>2789.1828414471702</v>
      </c>
      <c r="J370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831185.26588752191</v>
      </c>
      <c r="K370" s="19">
        <f>IF(PaymentSchedule3[[#This Row],[PMT NO]]&lt;&gt;"",SUM(INDEX(PaymentSchedule3[INTEREST],1,1):PaymentSchedule3[[#This Row],[INTEREST]]),"")</f>
        <v>1831983.4762069061</v>
      </c>
    </row>
    <row r="371" spans="2:11" x14ac:dyDescent="0.3">
      <c r="B371" s="21">
        <f>IF(LoanIsGood,IF(ROW()-ROW(PaymentSchedule3[[#Headers],[PMT NO]])&gt;ScheduledNumberOfPayments,"",ROW()-ROW(PaymentSchedule3[[#Headers],[PMT NO]])),"")</f>
        <v>360</v>
      </c>
      <c r="C371" s="20">
        <f>IF(PaymentSchedule3[[#This Row],[PMT NO]]&lt;&gt;"",EOMONTH(LoanStartDate,ROW(PaymentSchedule3[[#This Row],[PMT NO]])-ROW(PaymentSchedule3[[#Headers],[PMT NO]])-2)+DAY(LoanStartDate),"")</f>
        <v>54575</v>
      </c>
      <c r="D371" s="19">
        <f>IF(PaymentSchedule3[[#This Row],[PMT NO]]&lt;&gt;"",IF(ROW()-ROW(PaymentSchedule3[[#Headers],[BEGINNING BALANCE]])=1,LoanAmount,INDEX(PaymentSchedule3[ENDING BALANCE],ROW()-ROW(PaymentSchedule3[[#Headers],[BEGINNING BALANCE]])-1)),"")</f>
        <v>831185.26588752191</v>
      </c>
      <c r="E371" s="19">
        <f>IF(PaymentSchedule3[[#This Row],[PMT NO]]&lt;&gt;"",ScheduledPayment,"")</f>
        <v>8358.7693880762818</v>
      </c>
      <c r="F371" s="19">
        <f>IF(PaymentSchedule3[[#This Row],[PMT NO]]&lt;&gt;"",IF(PaymentSchedule3[[#This Row],[SCHEDULED PAYMENT]]+ExtraPayments&lt;PaymentSchedule3[[#This Row],[BEGINNING BALANCE]],ExtraPayments,IF(PaymentSchedule3[[#This Row],[BEGINNING BALANCE]]-PaymentSchedule3[[#This Row],[SCHEDULED PAYMENT]]&gt;0,PaymentSchedule3[[#This Row],[BEGINNING BALANCE]]-PaymentSchedule3[[#This Row],[SCHEDULED PAYMENT]],0)),"")</f>
        <v>0</v>
      </c>
      <c r="G371" s="19">
        <f>IF(PaymentSchedule3[[#This Row],[PMT NO]]&lt;&gt;"",IF(PaymentSchedule3[[#This Row],[SCHEDULED PAYMENT]]+PaymentSchedule3[[#This Row],[EXTRA PAYMENT]]&lt;=PaymentSchedule3[[#This Row],[BEGINNING BALANCE]],PaymentSchedule3[[#This Row],[SCHEDULED PAYMENT]]+PaymentSchedule3[[#This Row],[EXTRA PAYMENT]],PaymentSchedule3[[#This Row],[BEGINNING BALANCE]]),"")</f>
        <v>8358.7693880762818</v>
      </c>
      <c r="H371" s="19">
        <f>IF(PaymentSchedule3[[#This Row],[PMT NO]]&lt;&gt;"",PaymentSchedule3[[#This Row],[TOTAL PAYMENT]]-PaymentSchedule3[[#This Row],[INTEREST]],"")</f>
        <v>5588.1518351178747</v>
      </c>
      <c r="I371" s="19">
        <f>IF(PaymentSchedule3[[#This Row],[PMT NO]]&lt;&gt;"",PaymentSchedule3[[#This Row],[BEGINNING BALANCE]]*(InterestRate/PaymentsPerYear),"")</f>
        <v>2770.6175529584066</v>
      </c>
      <c r="J371" s="19">
        <f>IF(PaymentSchedule3[[#This Row],[PMT NO]]&lt;&gt;"",IF(PaymentSchedule3[[#This Row],[SCHEDULED PAYMENT]]+PaymentSchedule3[[#This Row],[EXTRA PAYMENT]]&lt;=PaymentSchedule3[[#This Row],[BEGINNING BALANCE]],PaymentSchedule3[[#This Row],[BEGINNING BALANCE]]-PaymentSchedule3[[#This Row],[PRINCIPAL]],0),"")</f>
        <v>825597.11405240407</v>
      </c>
      <c r="K371" s="19">
        <f>IF(PaymentSchedule3[[#This Row],[PMT NO]]&lt;&gt;"",SUM(INDEX(PaymentSchedule3[INTEREST],1,1):PaymentSchedule3[[#This Row],[INTEREST]]),"")</f>
        <v>1834754.0937598646</v>
      </c>
    </row>
  </sheetData>
  <mergeCells count="12"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9:D9"/>
    <mergeCell ref="H9:I9"/>
  </mergeCells>
  <conditionalFormatting sqref="B12:K371">
    <cfRule type="expression" dxfId="2" priority="1">
      <formula>($B12="")+(($D12=0)*($F12=0))</formula>
    </cfRule>
  </conditionalFormatting>
  <dataValidations count="26">
    <dataValidation allowBlank="1" showInputMessage="1" showErrorMessage="1" prompt="Enter Loan Amount in this cell" sqref="E3" xr:uid="{0CC395AF-01E7-494D-9AF9-248B239720C4}"/>
    <dataValidation allowBlank="1" showInputMessage="1" showErrorMessage="1" prompt="Enter interest rate to be paid annually in this cell" sqref="E4" xr:uid="{395E2E93-4608-40B5-A837-73B3ECCFECAF}"/>
    <dataValidation allowBlank="1" showInputMessage="1" showErrorMessage="1" prompt="Enter loan period in years in this cell" sqref="E5" xr:uid="{704E6596-602D-414F-B692-CBEC8E6F7D47}"/>
    <dataValidation allowBlank="1" showInputMessage="1" showErrorMessage="1" prompt="Enter the number of payments to be made in a year in this cell" sqref="E6" xr:uid="{C5E14E8F-2FA5-431A-A8F5-85226BF045B1}"/>
    <dataValidation allowBlank="1" showInputMessage="1" showErrorMessage="1" prompt="Enter the start date of loan in this cell" sqref="E7" xr:uid="{C5D5E08D-F937-452E-942D-49568878D391}"/>
    <dataValidation allowBlank="1" showInputMessage="1" showErrorMessage="1" prompt="Enter the amount of extra payment in this cell" sqref="E9" xr:uid="{F7C40D44-9E06-47F9-8A9E-2F60A19B078F}"/>
    <dataValidation allowBlank="1" showInputMessage="1" showErrorMessage="1" prompt="Automatically calculated total interest" sqref="I7" xr:uid="{7C4A2CE3-7A95-4FE2-BAC6-35B742035B27}"/>
    <dataValidation allowBlank="1" showInputMessage="1" showErrorMessage="1" prompt="Automatically updated scheduled payment amount" sqref="I3" xr:uid="{820D4981-EEBD-4785-A5F0-C5537F5D04A6}"/>
    <dataValidation allowBlank="1" showInputMessage="1" showErrorMessage="1" prompt="Automatically updated scheduled number of payments" sqref="I4" xr:uid="{2E564AFB-B19E-45DC-987D-780873D97C2F}"/>
    <dataValidation allowBlank="1" showInputMessage="1" showErrorMessage="1" prompt="Automatically updated actual number of payments" sqref="I5" xr:uid="{E3C80DF2-06CE-4AEA-8D60-ED5537D316AE}"/>
    <dataValidation allowBlank="1" showInputMessage="1" showErrorMessage="1" prompt="This workbook produces a loan amortization schedule that calculates total interest and total payments &amp; includes the option for extra payments" sqref="A1" xr:uid="{14CFC71C-6127-4DDB-B0B7-1507A833C304}"/>
    <dataValidation allowBlank="1" showInputMessage="1" showErrorMessage="1" prompt="Enter loan values in cells E3 to E7 and E9. Description of each loan value is in column C. Payment Schedule table starting in cell B11 will automatically update" sqref="C2" xr:uid="{ECE1F7D4-DB34-421C-AF1A-15839529981A}"/>
    <dataValidation allowBlank="1" showInputMessage="1" showErrorMessage="1" prompt="Loan Summary fields from I3 to I7 are automatically adjusted based on the values entered. Enter the Lender's name in I9" sqref="G2" xr:uid="{D0726009-EC0A-4813-92C2-7A148AA5F3AA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1" xr:uid="{768A2CA5-1610-4A41-AA81-234E3D20B183}"/>
    <dataValidation allowBlank="1" showInputMessage="1" showErrorMessage="1" prompt="Automatically updated total early payments" sqref="I6" xr:uid="{02208A05-B8AD-4F9E-9BDD-241D404D38CF}"/>
    <dataValidation allowBlank="1" showInputMessage="1" showErrorMessage="1" prompt="Payment number is automatically updated in this column" sqref="B11" xr:uid="{30506D99-570E-47C3-BF34-E6C4410ABAEF}"/>
    <dataValidation allowBlank="1" showInputMessage="1" showErrorMessage="1" prompt="Payment date is automatically updated in this column" sqref="C11" xr:uid="{CB0837EF-7BB8-4520-BA9C-4827C6E257FE}"/>
    <dataValidation allowBlank="1" showInputMessage="1" showErrorMessage="1" prompt="Beginning balance is automatically updated in this column" sqref="D11" xr:uid="{B4E78632-2CE6-4A65-8614-8CD60EFD57E5}"/>
    <dataValidation allowBlank="1" showInputMessage="1" showErrorMessage="1" prompt="Scheduled payment is automatically updated in this column" sqref="E11" xr:uid="{47A15C44-24DC-4244-BF78-9045083BC6C7}"/>
    <dataValidation allowBlank="1" showInputMessage="1" showErrorMessage="1" prompt="Extra payment is automatically updated in this column" sqref="F11" xr:uid="{443896B8-0975-43BC-9EF5-B875458FCC2D}"/>
    <dataValidation allowBlank="1" showInputMessage="1" showErrorMessage="1" prompt="Total payment is automatically updated in this column" sqref="G11" xr:uid="{29AC74B4-16ED-4B44-A1D4-6D8D05736CB1}"/>
    <dataValidation allowBlank="1" showInputMessage="1" showErrorMessage="1" prompt="Principal is automatically updated in this column" sqref="H11" xr:uid="{DC2D4E8F-98F8-4AD3-AC23-2AF1B44EC914}"/>
    <dataValidation allowBlank="1" showInputMessage="1" showErrorMessage="1" prompt="Interest is automatically updated in this column" sqref="I11" xr:uid="{13FD5B63-2364-4DE7-819F-BF0C0339B6AF}"/>
    <dataValidation allowBlank="1" showInputMessage="1" showErrorMessage="1" prompt="Ending balance is automatically updated in this column" sqref="J11" xr:uid="{132CA947-29D1-4304-A96D-C5AF96CD9A63}"/>
    <dataValidation allowBlank="1" showInputMessage="1" showErrorMessage="1" prompt="Cumulative interest is automatically updated in this column" sqref="K11" xr:uid="{1831E7A0-D28D-47DE-A82F-A3997B78C31E}"/>
    <dataValidation allowBlank="1" showInputMessage="1" showErrorMessage="1" prompt="Enter the name of the lender in this cell" sqref="H9:I9" xr:uid="{8122D9E6-7745-43F4-9470-BC5163E1F1F2}"/>
  </dataValidations>
  <printOptions horizontalCentered="1"/>
  <pageMargins left="0.4" right="0.4" top="0.4" bottom="0.5" header="0.3" footer="0.3"/>
  <pageSetup scale="7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BF681-5775-41CD-B95C-1B1A97020BE3}">
  <sheetPr>
    <tabColor theme="4"/>
    <pageSetUpPr autoPageBreaks="0" fitToPage="1"/>
  </sheetPr>
  <dimension ref="B1:K371"/>
  <sheetViews>
    <sheetView showGridLines="0" zoomScaleNormal="100" workbookViewId="0">
      <pane ySplit="11" topLeftCell="A12" activePane="bottomLeft" state="frozen"/>
      <selection pane="bottomLeft" activeCell="E8" sqref="E8"/>
    </sheetView>
  </sheetViews>
  <sheetFormatPr defaultColWidth="8.88671875" defaultRowHeight="14.4" x14ac:dyDescent="0.3"/>
  <cols>
    <col min="1" max="1" width="2.88671875" style="18" customWidth="1"/>
    <col min="2" max="2" width="7.6640625" style="18" customWidth="1"/>
    <col min="3" max="3" width="16.6640625" style="18" customWidth="1"/>
    <col min="4" max="4" width="18.5546875" style="18" customWidth="1"/>
    <col min="5" max="10" width="17.33203125" style="18" customWidth="1"/>
    <col min="11" max="11" width="19.5546875" style="18" customWidth="1"/>
    <col min="12" max="16384" width="8.88671875" style="18"/>
  </cols>
  <sheetData>
    <row r="1" spans="2:11" ht="30" customHeight="1" thickBot="1" x14ac:dyDescent="0.35">
      <c r="B1" s="35" t="s">
        <v>85</v>
      </c>
      <c r="C1" s="35"/>
      <c r="D1" s="35"/>
      <c r="E1" s="35"/>
      <c r="F1" s="35"/>
      <c r="G1" s="35"/>
      <c r="H1" s="35"/>
      <c r="I1" s="35"/>
      <c r="J1" s="35"/>
      <c r="K1" s="35"/>
    </row>
    <row r="2" spans="2:11" ht="20.100000000000001" customHeight="1" thickTop="1" thickBot="1" x14ac:dyDescent="0.35">
      <c r="C2" s="34" t="s">
        <v>84</v>
      </c>
      <c r="D2" s="34"/>
      <c r="E2" s="34"/>
      <c r="G2" s="34" t="s">
        <v>83</v>
      </c>
      <c r="H2" s="34"/>
      <c r="I2" s="34"/>
    </row>
    <row r="3" spans="2:11" ht="14.25" customHeight="1" x14ac:dyDescent="0.3">
      <c r="C3" s="71" t="s">
        <v>82</v>
      </c>
      <c r="D3" s="71"/>
      <c r="E3" s="33">
        <v>2000000</v>
      </c>
      <c r="G3" s="71" t="s">
        <v>81</v>
      </c>
      <c r="H3" s="71"/>
      <c r="I3" s="32">
        <f>IF(LoanIsGood,-PMT(InterestRate/PaymentsPerYear,ScheduledNumberOfPayments,LoanAmount),"")</f>
        <v>8672.4039978858091</v>
      </c>
    </row>
    <row r="4" spans="2:11" x14ac:dyDescent="0.3">
      <c r="C4" s="70" t="s">
        <v>80</v>
      </c>
      <c r="D4" s="70"/>
      <c r="E4" s="31">
        <v>4.2500000000000003E-2</v>
      </c>
      <c r="G4" s="70" t="s">
        <v>79</v>
      </c>
      <c r="H4" s="70"/>
      <c r="I4" s="29">
        <f>IF(LoanIsGood,LoanPeriod*PaymentsPerYear,"")</f>
        <v>480</v>
      </c>
    </row>
    <row r="5" spans="2:11" x14ac:dyDescent="0.3">
      <c r="C5" s="70" t="s">
        <v>78</v>
      </c>
      <c r="D5" s="70"/>
      <c r="E5" s="30">
        <v>40</v>
      </c>
      <c r="G5" s="70" t="s">
        <v>77</v>
      </c>
      <c r="H5" s="70"/>
      <c r="I5" s="29">
        <f>ActualNumberOfPayments</f>
        <v>361</v>
      </c>
    </row>
    <row r="6" spans="2:11" x14ac:dyDescent="0.3">
      <c r="C6" s="70" t="s">
        <v>76</v>
      </c>
      <c r="D6" s="70"/>
      <c r="E6" s="28">
        <v>12</v>
      </c>
      <c r="G6" s="70" t="s">
        <v>75</v>
      </c>
      <c r="H6" s="70"/>
      <c r="I6" s="26">
        <f>TotalEarlyPayments</f>
        <v>0</v>
      </c>
    </row>
    <row r="7" spans="2:11" x14ac:dyDescent="0.3">
      <c r="C7" s="70" t="s">
        <v>74</v>
      </c>
      <c r="D7" s="70"/>
      <c r="E7" s="27">
        <v>43647</v>
      </c>
      <c r="G7" s="70" t="s">
        <v>73</v>
      </c>
      <c r="H7" s="70"/>
      <c r="I7" s="26">
        <f>TotalInterest</f>
        <v>1968669.5807003248</v>
      </c>
    </row>
    <row r="9" spans="2:11" x14ac:dyDescent="0.3">
      <c r="C9" s="70" t="s">
        <v>72</v>
      </c>
      <c r="D9" s="70"/>
      <c r="E9" s="25"/>
      <c r="G9" s="24" t="s">
        <v>71</v>
      </c>
      <c r="H9" s="72" t="s">
        <v>86</v>
      </c>
      <c r="I9" s="72"/>
    </row>
    <row r="11" spans="2:11" ht="35.1" customHeight="1" x14ac:dyDescent="0.3">
      <c r="B11" s="23" t="s">
        <v>70</v>
      </c>
      <c r="C11" s="23" t="s">
        <v>69</v>
      </c>
      <c r="D11" s="22" t="s">
        <v>68</v>
      </c>
      <c r="E11" s="22" t="s">
        <v>67</v>
      </c>
      <c r="F11" s="22" t="s">
        <v>66</v>
      </c>
      <c r="G11" s="22" t="s">
        <v>65</v>
      </c>
      <c r="H11" s="22" t="s">
        <v>64</v>
      </c>
      <c r="I11" s="22" t="s">
        <v>63</v>
      </c>
      <c r="J11" s="22" t="s">
        <v>62</v>
      </c>
      <c r="K11" s="22" t="s">
        <v>61</v>
      </c>
    </row>
    <row r="12" spans="2:11" x14ac:dyDescent="0.3">
      <c r="B12" s="21">
        <f>IF(LoanIsGood,IF(ROW()-ROW(PaymentSchedule34[[#Headers],[PMT NO]])&gt;ScheduledNumberOfPayments,"",ROW()-ROW(PaymentSchedule34[[#Headers],[PMT NO]])),"")</f>
        <v>1</v>
      </c>
      <c r="C12" s="20">
        <f>IF(PaymentSchedule34[[#This Row],[PMT NO]]&lt;&gt;"",EOMONTH(LoanStartDate,ROW(PaymentSchedule34[[#This Row],[PMT NO]])-ROW(PaymentSchedule34[[#Headers],[PMT NO]])-2)+DAY(LoanStartDate),"")</f>
        <v>43647</v>
      </c>
      <c r="D12" s="19">
        <f>IF(PaymentSchedule34[[#This Row],[PMT NO]]&lt;&gt;"",IF(ROW()-ROW(PaymentSchedule34[[#Headers],[BEGINNING BALANCE]])=1,LoanAmount,INDEX(PaymentSchedule34[ENDING BALANCE],ROW()-ROW(PaymentSchedule34[[#Headers],[BEGINNING BALANCE]])-1)),"")</f>
        <v>2000000</v>
      </c>
      <c r="E12" s="19">
        <f>IF(PaymentSchedule34[[#This Row],[PMT NO]]&lt;&gt;"",ScheduledPayment,"")</f>
        <v>8672.4039978858091</v>
      </c>
      <c r="F1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2" s="19">
        <f>IF(PaymentSchedule34[[#This Row],[PMT NO]]&lt;&gt;"",PaymentSchedule34[[#This Row],[TOTAL PAYMENT]]-PaymentSchedule34[[#This Row],[INTEREST]],"")</f>
        <v>1589.0706645524751</v>
      </c>
      <c r="I12" s="19">
        <f>IF(PaymentSchedule34[[#This Row],[PMT NO]]&lt;&gt;"",PaymentSchedule34[[#This Row],[BEGINNING BALANCE]]*(InterestRate/PaymentsPerYear),"")</f>
        <v>7083.3333333333339</v>
      </c>
      <c r="J1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1998410.9293354475</v>
      </c>
      <c r="K12" s="19">
        <f>IF(PaymentSchedule34[[#This Row],[PMT NO]]&lt;&gt;"",SUM(INDEX(PaymentSchedule34[INTEREST],1,1):PaymentSchedule34[[#This Row],[INTEREST]]),"")</f>
        <v>7083.3333333333339</v>
      </c>
    </row>
    <row r="13" spans="2:11" x14ac:dyDescent="0.3">
      <c r="B13" s="21">
        <f>IF(LoanIsGood,IF(ROW()-ROW(PaymentSchedule34[[#Headers],[PMT NO]])&gt;ScheduledNumberOfPayments,"",ROW()-ROW(PaymentSchedule34[[#Headers],[PMT NO]])),"")</f>
        <v>2</v>
      </c>
      <c r="C13" s="20">
        <f>IF(PaymentSchedule34[[#This Row],[PMT NO]]&lt;&gt;"",EOMONTH(LoanStartDate,ROW(PaymentSchedule34[[#This Row],[PMT NO]])-ROW(PaymentSchedule34[[#Headers],[PMT NO]])-2)+DAY(LoanStartDate),"")</f>
        <v>43678</v>
      </c>
      <c r="D13" s="19">
        <f>IF(PaymentSchedule34[[#This Row],[PMT NO]]&lt;&gt;"",IF(ROW()-ROW(PaymentSchedule34[[#Headers],[BEGINNING BALANCE]])=1,LoanAmount,INDEX(PaymentSchedule34[ENDING BALANCE],ROW()-ROW(PaymentSchedule34[[#Headers],[BEGINNING BALANCE]])-1)),"")</f>
        <v>1998410.9293354475</v>
      </c>
      <c r="E13" s="19">
        <f>IF(PaymentSchedule34[[#This Row],[PMT NO]]&lt;&gt;"",ScheduledPayment,"")</f>
        <v>8672.4039978858091</v>
      </c>
      <c r="F1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3" s="19">
        <f>IF(PaymentSchedule34[[#This Row],[PMT NO]]&lt;&gt;"",PaymentSchedule34[[#This Row],[TOTAL PAYMENT]]-PaymentSchedule34[[#This Row],[INTEREST]],"")</f>
        <v>1594.6986231560986</v>
      </c>
      <c r="I13" s="19">
        <f>IF(PaymentSchedule34[[#This Row],[PMT NO]]&lt;&gt;"",PaymentSchedule34[[#This Row],[BEGINNING BALANCE]]*(InterestRate/PaymentsPerYear),"")</f>
        <v>7077.7053747297105</v>
      </c>
      <c r="J1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1996816.2307122913</v>
      </c>
      <c r="K13" s="19">
        <f>IF(PaymentSchedule34[[#This Row],[PMT NO]]&lt;&gt;"",SUM(INDEX(PaymentSchedule34[INTEREST],1,1):PaymentSchedule34[[#This Row],[INTEREST]]),"")</f>
        <v>14161.038708063044</v>
      </c>
    </row>
    <row r="14" spans="2:11" x14ac:dyDescent="0.3">
      <c r="B14" s="21">
        <f>IF(LoanIsGood,IF(ROW()-ROW(PaymentSchedule34[[#Headers],[PMT NO]])&gt;ScheduledNumberOfPayments,"",ROW()-ROW(PaymentSchedule34[[#Headers],[PMT NO]])),"")</f>
        <v>3</v>
      </c>
      <c r="C14" s="20">
        <f>IF(PaymentSchedule34[[#This Row],[PMT NO]]&lt;&gt;"",EOMONTH(LoanStartDate,ROW(PaymentSchedule34[[#This Row],[PMT NO]])-ROW(PaymentSchedule34[[#Headers],[PMT NO]])-2)+DAY(LoanStartDate),"")</f>
        <v>43709</v>
      </c>
      <c r="D14" s="19">
        <f>IF(PaymentSchedule34[[#This Row],[PMT NO]]&lt;&gt;"",IF(ROW()-ROW(PaymentSchedule34[[#Headers],[BEGINNING BALANCE]])=1,LoanAmount,INDEX(PaymentSchedule34[ENDING BALANCE],ROW()-ROW(PaymentSchedule34[[#Headers],[BEGINNING BALANCE]])-1)),"")</f>
        <v>1996816.2307122913</v>
      </c>
      <c r="E14" s="19">
        <f>IF(PaymentSchedule34[[#This Row],[PMT NO]]&lt;&gt;"",ScheduledPayment,"")</f>
        <v>8672.4039978858091</v>
      </c>
      <c r="F1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4" s="19">
        <f>IF(PaymentSchedule34[[#This Row],[PMT NO]]&lt;&gt;"",PaymentSchedule34[[#This Row],[TOTAL PAYMENT]]-PaymentSchedule34[[#This Row],[INTEREST]],"")</f>
        <v>1600.3465141131101</v>
      </c>
      <c r="I14" s="19">
        <f>IF(PaymentSchedule34[[#This Row],[PMT NO]]&lt;&gt;"",PaymentSchedule34[[#This Row],[BEGINNING BALANCE]]*(InterestRate/PaymentsPerYear),"")</f>
        <v>7072.057483772699</v>
      </c>
      <c r="J1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1995215.8841981783</v>
      </c>
      <c r="K14" s="19">
        <f>IF(PaymentSchedule34[[#This Row],[PMT NO]]&lt;&gt;"",SUM(INDEX(PaymentSchedule34[INTEREST],1,1):PaymentSchedule34[[#This Row],[INTEREST]]),"")</f>
        <v>21233.096191835743</v>
      </c>
    </row>
    <row r="15" spans="2:11" x14ac:dyDescent="0.3">
      <c r="B15" s="21">
        <f>IF(LoanIsGood,IF(ROW()-ROW(PaymentSchedule34[[#Headers],[PMT NO]])&gt;ScheduledNumberOfPayments,"",ROW()-ROW(PaymentSchedule34[[#Headers],[PMT NO]])),"")</f>
        <v>4</v>
      </c>
      <c r="C15" s="20">
        <f>IF(PaymentSchedule34[[#This Row],[PMT NO]]&lt;&gt;"",EOMONTH(LoanStartDate,ROW(PaymentSchedule34[[#This Row],[PMT NO]])-ROW(PaymentSchedule34[[#Headers],[PMT NO]])-2)+DAY(LoanStartDate),"")</f>
        <v>43739</v>
      </c>
      <c r="D15" s="19">
        <f>IF(PaymentSchedule34[[#This Row],[PMT NO]]&lt;&gt;"",IF(ROW()-ROW(PaymentSchedule34[[#Headers],[BEGINNING BALANCE]])=1,LoanAmount,INDEX(PaymentSchedule34[ENDING BALANCE],ROW()-ROW(PaymentSchedule34[[#Headers],[BEGINNING BALANCE]])-1)),"")</f>
        <v>1995215.8841981783</v>
      </c>
      <c r="E15" s="19">
        <f>IF(PaymentSchedule34[[#This Row],[PMT NO]]&lt;&gt;"",ScheduledPayment,"")</f>
        <v>8672.4039978858091</v>
      </c>
      <c r="F1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5" s="19">
        <f>IF(PaymentSchedule34[[#This Row],[PMT NO]]&lt;&gt;"",PaymentSchedule34[[#This Row],[TOTAL PAYMENT]]-PaymentSchedule34[[#This Row],[INTEREST]],"")</f>
        <v>1606.0144080172604</v>
      </c>
      <c r="I15" s="19">
        <f>IF(PaymentSchedule34[[#This Row],[PMT NO]]&lt;&gt;"",PaymentSchedule34[[#This Row],[BEGINNING BALANCE]]*(InterestRate/PaymentsPerYear),"")</f>
        <v>7066.3895898685487</v>
      </c>
      <c r="J1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1993609.869790161</v>
      </c>
      <c r="K15" s="19">
        <f>IF(PaymentSchedule34[[#This Row],[PMT NO]]&lt;&gt;"",SUM(INDEX(PaymentSchedule34[INTEREST],1,1):PaymentSchedule34[[#This Row],[INTEREST]]),"")</f>
        <v>28299.48578170429</v>
      </c>
    </row>
    <row r="16" spans="2:11" x14ac:dyDescent="0.3">
      <c r="B16" s="21">
        <f>IF(LoanIsGood,IF(ROW()-ROW(PaymentSchedule34[[#Headers],[PMT NO]])&gt;ScheduledNumberOfPayments,"",ROW()-ROW(PaymentSchedule34[[#Headers],[PMT NO]])),"")</f>
        <v>5</v>
      </c>
      <c r="C16" s="20">
        <f>IF(PaymentSchedule34[[#This Row],[PMT NO]]&lt;&gt;"",EOMONTH(LoanStartDate,ROW(PaymentSchedule34[[#This Row],[PMT NO]])-ROW(PaymentSchedule34[[#Headers],[PMT NO]])-2)+DAY(LoanStartDate),"")</f>
        <v>43770</v>
      </c>
      <c r="D16" s="19">
        <f>IF(PaymentSchedule34[[#This Row],[PMT NO]]&lt;&gt;"",IF(ROW()-ROW(PaymentSchedule34[[#Headers],[BEGINNING BALANCE]])=1,LoanAmount,INDEX(PaymentSchedule34[ENDING BALANCE],ROW()-ROW(PaymentSchedule34[[#Headers],[BEGINNING BALANCE]])-1)),"")</f>
        <v>1993609.869790161</v>
      </c>
      <c r="E16" s="19">
        <f>IF(PaymentSchedule34[[#This Row],[PMT NO]]&lt;&gt;"",ScheduledPayment,"")</f>
        <v>8672.4039978858091</v>
      </c>
      <c r="F1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6" s="19">
        <f>IF(PaymentSchedule34[[#This Row],[PMT NO]]&lt;&gt;"",PaymentSchedule34[[#This Row],[TOTAL PAYMENT]]-PaymentSchedule34[[#This Row],[INTEREST]],"")</f>
        <v>1611.7023757123216</v>
      </c>
      <c r="I16" s="19">
        <f>IF(PaymentSchedule34[[#This Row],[PMT NO]]&lt;&gt;"",PaymentSchedule34[[#This Row],[BEGINNING BALANCE]]*(InterestRate/PaymentsPerYear),"")</f>
        <v>7060.7016221734875</v>
      </c>
      <c r="J1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1991998.1674144487</v>
      </c>
      <c r="K16" s="19">
        <f>IF(PaymentSchedule34[[#This Row],[PMT NO]]&lt;&gt;"",SUM(INDEX(PaymentSchedule34[INTEREST],1,1):PaymentSchedule34[[#This Row],[INTEREST]]),"")</f>
        <v>35360.187403877775</v>
      </c>
    </row>
    <row r="17" spans="2:11" x14ac:dyDescent="0.3">
      <c r="B17" s="21">
        <f>IF(LoanIsGood,IF(ROW()-ROW(PaymentSchedule34[[#Headers],[PMT NO]])&gt;ScheduledNumberOfPayments,"",ROW()-ROW(PaymentSchedule34[[#Headers],[PMT NO]])),"")</f>
        <v>6</v>
      </c>
      <c r="C17" s="20">
        <f>IF(PaymentSchedule34[[#This Row],[PMT NO]]&lt;&gt;"",EOMONTH(LoanStartDate,ROW(PaymentSchedule34[[#This Row],[PMT NO]])-ROW(PaymentSchedule34[[#Headers],[PMT NO]])-2)+DAY(LoanStartDate),"")</f>
        <v>43800</v>
      </c>
      <c r="D17" s="19">
        <f>IF(PaymentSchedule34[[#This Row],[PMT NO]]&lt;&gt;"",IF(ROW()-ROW(PaymentSchedule34[[#Headers],[BEGINNING BALANCE]])=1,LoanAmount,INDEX(PaymentSchedule34[ENDING BALANCE],ROW()-ROW(PaymentSchedule34[[#Headers],[BEGINNING BALANCE]])-1)),"")</f>
        <v>1991998.1674144487</v>
      </c>
      <c r="E17" s="19">
        <f>IF(PaymentSchedule34[[#This Row],[PMT NO]]&lt;&gt;"",ScheduledPayment,"")</f>
        <v>8672.4039978858091</v>
      </c>
      <c r="F1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7" s="19">
        <f>IF(PaymentSchedule34[[#This Row],[PMT NO]]&lt;&gt;"",PaymentSchedule34[[#This Row],[TOTAL PAYMENT]]-PaymentSchedule34[[#This Row],[INTEREST]],"")</f>
        <v>1617.4104882929696</v>
      </c>
      <c r="I17" s="19">
        <f>IF(PaymentSchedule34[[#This Row],[PMT NO]]&lt;&gt;"",PaymentSchedule34[[#This Row],[BEGINNING BALANCE]]*(InterestRate/PaymentsPerYear),"")</f>
        <v>7054.9935095928395</v>
      </c>
      <c r="J1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1990380.7569261556</v>
      </c>
      <c r="K17" s="19">
        <f>IF(PaymentSchedule34[[#This Row],[PMT NO]]&lt;&gt;"",SUM(INDEX(PaymentSchedule34[INTEREST],1,1):PaymentSchedule34[[#This Row],[INTEREST]]),"")</f>
        <v>42415.180913470613</v>
      </c>
    </row>
    <row r="18" spans="2:11" x14ac:dyDescent="0.3">
      <c r="B18" s="21">
        <f>IF(LoanIsGood,IF(ROW()-ROW(PaymentSchedule34[[#Headers],[PMT NO]])&gt;ScheduledNumberOfPayments,"",ROW()-ROW(PaymentSchedule34[[#Headers],[PMT NO]])),"")</f>
        <v>7</v>
      </c>
      <c r="C18" s="20">
        <f>IF(PaymentSchedule34[[#This Row],[PMT NO]]&lt;&gt;"",EOMONTH(LoanStartDate,ROW(PaymentSchedule34[[#This Row],[PMT NO]])-ROW(PaymentSchedule34[[#Headers],[PMT NO]])-2)+DAY(LoanStartDate),"")</f>
        <v>43831</v>
      </c>
      <c r="D18" s="19">
        <f>IF(PaymentSchedule34[[#This Row],[PMT NO]]&lt;&gt;"",IF(ROW()-ROW(PaymentSchedule34[[#Headers],[BEGINNING BALANCE]])=1,LoanAmount,INDEX(PaymentSchedule34[ENDING BALANCE],ROW()-ROW(PaymentSchedule34[[#Headers],[BEGINNING BALANCE]])-1)),"")</f>
        <v>1990380.7569261556</v>
      </c>
      <c r="E18" s="19">
        <f>IF(PaymentSchedule34[[#This Row],[PMT NO]]&lt;&gt;"",ScheduledPayment,"")</f>
        <v>8672.4039978858091</v>
      </c>
      <c r="F1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8" s="19">
        <f>IF(PaymentSchedule34[[#This Row],[PMT NO]]&lt;&gt;"",PaymentSchedule34[[#This Row],[TOTAL PAYMENT]]-PaymentSchedule34[[#This Row],[INTEREST]],"")</f>
        <v>1623.1388171056742</v>
      </c>
      <c r="I18" s="19">
        <f>IF(PaymentSchedule34[[#This Row],[PMT NO]]&lt;&gt;"",PaymentSchedule34[[#This Row],[BEGINNING BALANCE]]*(InterestRate/PaymentsPerYear),"")</f>
        <v>7049.2651807801349</v>
      </c>
      <c r="J1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1988757.61810905</v>
      </c>
      <c r="K18" s="19">
        <f>IF(PaymentSchedule34[[#This Row],[PMT NO]]&lt;&gt;"",SUM(INDEX(PaymentSchedule34[INTEREST],1,1):PaymentSchedule34[[#This Row],[INTEREST]]),"")</f>
        <v>49464.44609425075</v>
      </c>
    </row>
    <row r="19" spans="2:11" x14ac:dyDescent="0.3">
      <c r="B19" s="21">
        <f>IF(LoanIsGood,IF(ROW()-ROW(PaymentSchedule34[[#Headers],[PMT NO]])&gt;ScheduledNumberOfPayments,"",ROW()-ROW(PaymentSchedule34[[#Headers],[PMT NO]])),"")</f>
        <v>8</v>
      </c>
      <c r="C19" s="20">
        <f>IF(PaymentSchedule34[[#This Row],[PMT NO]]&lt;&gt;"",EOMONTH(LoanStartDate,ROW(PaymentSchedule34[[#This Row],[PMT NO]])-ROW(PaymentSchedule34[[#Headers],[PMT NO]])-2)+DAY(LoanStartDate),"")</f>
        <v>43862</v>
      </c>
      <c r="D19" s="19">
        <f>IF(PaymentSchedule34[[#This Row],[PMT NO]]&lt;&gt;"",IF(ROW()-ROW(PaymentSchedule34[[#Headers],[BEGINNING BALANCE]])=1,LoanAmount,INDEX(PaymentSchedule34[ENDING BALANCE],ROW()-ROW(PaymentSchedule34[[#Headers],[BEGINNING BALANCE]])-1)),"")</f>
        <v>1988757.61810905</v>
      </c>
      <c r="E19" s="19">
        <f>IF(PaymentSchedule34[[#This Row],[PMT NO]]&lt;&gt;"",ScheduledPayment,"")</f>
        <v>8672.4039978858091</v>
      </c>
      <c r="F1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9" s="19">
        <f>IF(PaymentSchedule34[[#This Row],[PMT NO]]&lt;&gt;"",PaymentSchedule34[[#This Row],[TOTAL PAYMENT]]-PaymentSchedule34[[#This Row],[INTEREST]],"")</f>
        <v>1628.8874337495899</v>
      </c>
      <c r="I19" s="19">
        <f>IF(PaymentSchedule34[[#This Row],[PMT NO]]&lt;&gt;"",PaymentSchedule34[[#This Row],[BEGINNING BALANCE]]*(InterestRate/PaymentsPerYear),"")</f>
        <v>7043.5165641362191</v>
      </c>
      <c r="J1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1987128.7306753004</v>
      </c>
      <c r="K19" s="19">
        <f>IF(PaymentSchedule34[[#This Row],[PMT NO]]&lt;&gt;"",SUM(INDEX(PaymentSchedule34[INTEREST],1,1):PaymentSchedule34[[#This Row],[INTEREST]]),"")</f>
        <v>56507.962658386969</v>
      </c>
    </row>
    <row r="20" spans="2:11" x14ac:dyDescent="0.3">
      <c r="B20" s="21">
        <f>IF(LoanIsGood,IF(ROW()-ROW(PaymentSchedule34[[#Headers],[PMT NO]])&gt;ScheduledNumberOfPayments,"",ROW()-ROW(PaymentSchedule34[[#Headers],[PMT NO]])),"")</f>
        <v>9</v>
      </c>
      <c r="C20" s="20">
        <f>IF(PaymentSchedule34[[#This Row],[PMT NO]]&lt;&gt;"",EOMONTH(LoanStartDate,ROW(PaymentSchedule34[[#This Row],[PMT NO]])-ROW(PaymentSchedule34[[#Headers],[PMT NO]])-2)+DAY(LoanStartDate),"")</f>
        <v>43891</v>
      </c>
      <c r="D20" s="19">
        <f>IF(PaymentSchedule34[[#This Row],[PMT NO]]&lt;&gt;"",IF(ROW()-ROW(PaymentSchedule34[[#Headers],[BEGINNING BALANCE]])=1,LoanAmount,INDEX(PaymentSchedule34[ENDING BALANCE],ROW()-ROW(PaymentSchedule34[[#Headers],[BEGINNING BALANCE]])-1)),"")</f>
        <v>1987128.7306753004</v>
      </c>
      <c r="E20" s="19">
        <f>IF(PaymentSchedule34[[#This Row],[PMT NO]]&lt;&gt;"",ScheduledPayment,"")</f>
        <v>8672.4039978858091</v>
      </c>
      <c r="F2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0" s="19">
        <f>IF(PaymentSchedule34[[#This Row],[PMT NO]]&lt;&gt;"",PaymentSchedule34[[#This Row],[TOTAL PAYMENT]]-PaymentSchedule34[[#This Row],[INTEREST]],"")</f>
        <v>1634.6564100774531</v>
      </c>
      <c r="I20" s="19">
        <f>IF(PaymentSchedule34[[#This Row],[PMT NO]]&lt;&gt;"",PaymentSchedule34[[#This Row],[BEGINNING BALANCE]]*(InterestRate/PaymentsPerYear),"")</f>
        <v>7037.747587808356</v>
      </c>
      <c r="J2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1985494.074265223</v>
      </c>
      <c r="K20" s="19">
        <f>IF(PaymentSchedule34[[#This Row],[PMT NO]]&lt;&gt;"",SUM(INDEX(PaymentSchedule34[INTEREST],1,1):PaymentSchedule34[[#This Row],[INTEREST]]),"")</f>
        <v>63545.710246195325</v>
      </c>
    </row>
    <row r="21" spans="2:11" x14ac:dyDescent="0.3">
      <c r="B21" s="21">
        <f>IF(LoanIsGood,IF(ROW()-ROW(PaymentSchedule34[[#Headers],[PMT NO]])&gt;ScheduledNumberOfPayments,"",ROW()-ROW(PaymentSchedule34[[#Headers],[PMT NO]])),"")</f>
        <v>10</v>
      </c>
      <c r="C21" s="20">
        <f>IF(PaymentSchedule34[[#This Row],[PMT NO]]&lt;&gt;"",EOMONTH(LoanStartDate,ROW(PaymentSchedule34[[#This Row],[PMT NO]])-ROW(PaymentSchedule34[[#Headers],[PMT NO]])-2)+DAY(LoanStartDate),"")</f>
        <v>43922</v>
      </c>
      <c r="D21" s="19">
        <f>IF(PaymentSchedule34[[#This Row],[PMT NO]]&lt;&gt;"",IF(ROW()-ROW(PaymentSchedule34[[#Headers],[BEGINNING BALANCE]])=1,LoanAmount,INDEX(PaymentSchedule34[ENDING BALANCE],ROW()-ROW(PaymentSchedule34[[#Headers],[BEGINNING BALANCE]])-1)),"")</f>
        <v>1985494.074265223</v>
      </c>
      <c r="E21" s="19">
        <f>IF(PaymentSchedule34[[#This Row],[PMT NO]]&lt;&gt;"",ScheduledPayment,"")</f>
        <v>8672.4039978858091</v>
      </c>
      <c r="F2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1" s="19">
        <f>IF(PaymentSchedule34[[#This Row],[PMT NO]]&lt;&gt;"",PaymentSchedule34[[#This Row],[TOTAL PAYMENT]]-PaymentSchedule34[[#This Row],[INTEREST]],"")</f>
        <v>1640.4458181964774</v>
      </c>
      <c r="I21" s="19">
        <f>IF(PaymentSchedule34[[#This Row],[PMT NO]]&lt;&gt;"",PaymentSchedule34[[#This Row],[BEGINNING BALANCE]]*(InterestRate/PaymentsPerYear),"")</f>
        <v>7031.9581796893317</v>
      </c>
      <c r="J2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1983853.6284470265</v>
      </c>
      <c r="K21" s="19">
        <f>IF(PaymentSchedule34[[#This Row],[PMT NO]]&lt;&gt;"",SUM(INDEX(PaymentSchedule34[INTEREST],1,1):PaymentSchedule34[[#This Row],[INTEREST]]),"")</f>
        <v>70577.668425884651</v>
      </c>
    </row>
    <row r="22" spans="2:11" x14ac:dyDescent="0.3">
      <c r="B22" s="21">
        <f>IF(LoanIsGood,IF(ROW()-ROW(PaymentSchedule34[[#Headers],[PMT NO]])&gt;ScheduledNumberOfPayments,"",ROW()-ROW(PaymentSchedule34[[#Headers],[PMT NO]])),"")</f>
        <v>11</v>
      </c>
      <c r="C22" s="20">
        <f>IF(PaymentSchedule34[[#This Row],[PMT NO]]&lt;&gt;"",EOMONTH(LoanStartDate,ROW(PaymentSchedule34[[#This Row],[PMT NO]])-ROW(PaymentSchedule34[[#Headers],[PMT NO]])-2)+DAY(LoanStartDate),"")</f>
        <v>43952</v>
      </c>
      <c r="D22" s="19">
        <f>IF(PaymentSchedule34[[#This Row],[PMT NO]]&lt;&gt;"",IF(ROW()-ROW(PaymentSchedule34[[#Headers],[BEGINNING BALANCE]])=1,LoanAmount,INDEX(PaymentSchedule34[ENDING BALANCE],ROW()-ROW(PaymentSchedule34[[#Headers],[BEGINNING BALANCE]])-1)),"")</f>
        <v>1983853.6284470265</v>
      </c>
      <c r="E22" s="19">
        <f>IF(PaymentSchedule34[[#This Row],[PMT NO]]&lt;&gt;"",ScheduledPayment,"")</f>
        <v>8672.4039978858091</v>
      </c>
      <c r="F2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2" s="19">
        <f>IF(PaymentSchedule34[[#This Row],[PMT NO]]&lt;&gt;"",PaymentSchedule34[[#This Row],[TOTAL PAYMENT]]-PaymentSchedule34[[#This Row],[INTEREST]],"")</f>
        <v>1646.2557304692564</v>
      </c>
      <c r="I22" s="19">
        <f>IF(PaymentSchedule34[[#This Row],[PMT NO]]&lt;&gt;"",PaymentSchedule34[[#This Row],[BEGINNING BALANCE]]*(InterestRate/PaymentsPerYear),"")</f>
        <v>7026.1482674165527</v>
      </c>
      <c r="J2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1982207.3727165572</v>
      </c>
      <c r="K22" s="19">
        <f>IF(PaymentSchedule34[[#This Row],[PMT NO]]&lt;&gt;"",SUM(INDEX(PaymentSchedule34[INTEREST],1,1):PaymentSchedule34[[#This Row],[INTEREST]]),"")</f>
        <v>77603.816693301196</v>
      </c>
    </row>
    <row r="23" spans="2:11" x14ac:dyDescent="0.3">
      <c r="B23" s="21">
        <f>IF(LoanIsGood,IF(ROW()-ROW(PaymentSchedule34[[#Headers],[PMT NO]])&gt;ScheduledNumberOfPayments,"",ROW()-ROW(PaymentSchedule34[[#Headers],[PMT NO]])),"")</f>
        <v>12</v>
      </c>
      <c r="C23" s="20">
        <f>IF(PaymentSchedule34[[#This Row],[PMT NO]]&lt;&gt;"",EOMONTH(LoanStartDate,ROW(PaymentSchedule34[[#This Row],[PMT NO]])-ROW(PaymentSchedule34[[#Headers],[PMT NO]])-2)+DAY(LoanStartDate),"")</f>
        <v>43983</v>
      </c>
      <c r="D23" s="19">
        <f>IF(PaymentSchedule34[[#This Row],[PMT NO]]&lt;&gt;"",IF(ROW()-ROW(PaymentSchedule34[[#Headers],[BEGINNING BALANCE]])=1,LoanAmount,INDEX(PaymentSchedule34[ENDING BALANCE],ROW()-ROW(PaymentSchedule34[[#Headers],[BEGINNING BALANCE]])-1)),"")</f>
        <v>1982207.3727165572</v>
      </c>
      <c r="E23" s="19">
        <f>IF(PaymentSchedule34[[#This Row],[PMT NO]]&lt;&gt;"",ScheduledPayment,"")</f>
        <v>8672.4039978858091</v>
      </c>
      <c r="F2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3" s="19">
        <f>IF(PaymentSchedule34[[#This Row],[PMT NO]]&lt;&gt;"",PaymentSchedule34[[#This Row],[TOTAL PAYMENT]]-PaymentSchedule34[[#This Row],[INTEREST]],"")</f>
        <v>1652.0862195146683</v>
      </c>
      <c r="I23" s="19">
        <f>IF(PaymentSchedule34[[#This Row],[PMT NO]]&lt;&gt;"",PaymentSchedule34[[#This Row],[BEGINNING BALANCE]]*(InterestRate/PaymentsPerYear),"")</f>
        <v>7020.3177783711408</v>
      </c>
      <c r="J2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1980555.2864970425</v>
      </c>
      <c r="K23" s="19">
        <f>IF(PaymentSchedule34[[#This Row],[PMT NO]]&lt;&gt;"",SUM(INDEX(PaymentSchedule34[INTEREST],1,1):PaymentSchedule34[[#This Row],[INTEREST]]),"")</f>
        <v>84624.13447167234</v>
      </c>
    </row>
    <row r="24" spans="2:11" x14ac:dyDescent="0.3">
      <c r="B24" s="21">
        <f>IF(LoanIsGood,IF(ROW()-ROW(PaymentSchedule34[[#Headers],[PMT NO]])&gt;ScheduledNumberOfPayments,"",ROW()-ROW(PaymentSchedule34[[#Headers],[PMT NO]])),"")</f>
        <v>13</v>
      </c>
      <c r="C24" s="20">
        <f>IF(PaymentSchedule34[[#This Row],[PMT NO]]&lt;&gt;"",EOMONTH(LoanStartDate,ROW(PaymentSchedule34[[#This Row],[PMT NO]])-ROW(PaymentSchedule34[[#Headers],[PMT NO]])-2)+DAY(LoanStartDate),"")</f>
        <v>44013</v>
      </c>
      <c r="D24" s="19">
        <f>IF(PaymentSchedule34[[#This Row],[PMT NO]]&lt;&gt;"",IF(ROW()-ROW(PaymentSchedule34[[#Headers],[BEGINNING BALANCE]])=1,LoanAmount,INDEX(PaymentSchedule34[ENDING BALANCE],ROW()-ROW(PaymentSchedule34[[#Headers],[BEGINNING BALANCE]])-1)),"")</f>
        <v>1980555.2864970425</v>
      </c>
      <c r="E24" s="19">
        <f>IF(PaymentSchedule34[[#This Row],[PMT NO]]&lt;&gt;"",ScheduledPayment,"")</f>
        <v>8672.4039978858091</v>
      </c>
      <c r="F2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4" s="19">
        <f>IF(PaymentSchedule34[[#This Row],[PMT NO]]&lt;&gt;"",PaymentSchedule34[[#This Row],[TOTAL PAYMENT]]-PaymentSchedule34[[#This Row],[INTEREST]],"")</f>
        <v>1657.9373582087828</v>
      </c>
      <c r="I24" s="19">
        <f>IF(PaymentSchedule34[[#This Row],[PMT NO]]&lt;&gt;"",PaymentSchedule34[[#This Row],[BEGINNING BALANCE]]*(InterestRate/PaymentsPerYear),"")</f>
        <v>7014.4666396770263</v>
      </c>
      <c r="J2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1978897.3491388338</v>
      </c>
      <c r="K24" s="19">
        <f>IF(PaymentSchedule34[[#This Row],[PMT NO]]&lt;&gt;"",SUM(INDEX(PaymentSchedule34[INTEREST],1,1):PaymentSchedule34[[#This Row],[INTEREST]]),"")</f>
        <v>91638.601111349359</v>
      </c>
    </row>
    <row r="25" spans="2:11" x14ac:dyDescent="0.3">
      <c r="B25" s="21">
        <f>IF(LoanIsGood,IF(ROW()-ROW(PaymentSchedule34[[#Headers],[PMT NO]])&gt;ScheduledNumberOfPayments,"",ROW()-ROW(PaymentSchedule34[[#Headers],[PMT NO]])),"")</f>
        <v>14</v>
      </c>
      <c r="C25" s="20">
        <f>IF(PaymentSchedule34[[#This Row],[PMT NO]]&lt;&gt;"",EOMONTH(LoanStartDate,ROW(PaymentSchedule34[[#This Row],[PMT NO]])-ROW(PaymentSchedule34[[#Headers],[PMT NO]])-2)+DAY(LoanStartDate),"")</f>
        <v>44044</v>
      </c>
      <c r="D25" s="19">
        <f>IF(PaymentSchedule34[[#This Row],[PMT NO]]&lt;&gt;"",IF(ROW()-ROW(PaymentSchedule34[[#Headers],[BEGINNING BALANCE]])=1,LoanAmount,INDEX(PaymentSchedule34[ENDING BALANCE],ROW()-ROW(PaymentSchedule34[[#Headers],[BEGINNING BALANCE]])-1)),"")</f>
        <v>1978897.3491388338</v>
      </c>
      <c r="E25" s="19">
        <f>IF(PaymentSchedule34[[#This Row],[PMT NO]]&lt;&gt;"",ScheduledPayment,"")</f>
        <v>8672.4039978858091</v>
      </c>
      <c r="F2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5" s="19">
        <f>IF(PaymentSchedule34[[#This Row],[PMT NO]]&lt;&gt;"",PaymentSchedule34[[#This Row],[TOTAL PAYMENT]]-PaymentSchedule34[[#This Row],[INTEREST]],"")</f>
        <v>1663.8092196857724</v>
      </c>
      <c r="I25" s="19">
        <f>IF(PaymentSchedule34[[#This Row],[PMT NO]]&lt;&gt;"",PaymentSchedule34[[#This Row],[BEGINNING BALANCE]]*(InterestRate/PaymentsPerYear),"")</f>
        <v>7008.5947782000367</v>
      </c>
      <c r="J2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1977233.539919148</v>
      </c>
      <c r="K25" s="19">
        <f>IF(PaymentSchedule34[[#This Row],[PMT NO]]&lt;&gt;"",SUM(INDEX(PaymentSchedule34[INTEREST],1,1):PaymentSchedule34[[#This Row],[INTEREST]]),"")</f>
        <v>98647.195889549388</v>
      </c>
    </row>
    <row r="26" spans="2:11" x14ac:dyDescent="0.3">
      <c r="B26" s="21">
        <f>IF(LoanIsGood,IF(ROW()-ROW(PaymentSchedule34[[#Headers],[PMT NO]])&gt;ScheduledNumberOfPayments,"",ROW()-ROW(PaymentSchedule34[[#Headers],[PMT NO]])),"")</f>
        <v>15</v>
      </c>
      <c r="C26" s="20">
        <f>IF(PaymentSchedule34[[#This Row],[PMT NO]]&lt;&gt;"",EOMONTH(LoanStartDate,ROW(PaymentSchedule34[[#This Row],[PMT NO]])-ROW(PaymentSchedule34[[#Headers],[PMT NO]])-2)+DAY(LoanStartDate),"")</f>
        <v>44075</v>
      </c>
      <c r="D26" s="19">
        <f>IF(PaymentSchedule34[[#This Row],[PMT NO]]&lt;&gt;"",IF(ROW()-ROW(PaymentSchedule34[[#Headers],[BEGINNING BALANCE]])=1,LoanAmount,INDEX(PaymentSchedule34[ENDING BALANCE],ROW()-ROW(PaymentSchedule34[[#Headers],[BEGINNING BALANCE]])-1)),"")</f>
        <v>1977233.539919148</v>
      </c>
      <c r="E26" s="19">
        <f>IF(PaymentSchedule34[[#This Row],[PMT NO]]&lt;&gt;"",ScheduledPayment,"")</f>
        <v>8672.4039978858091</v>
      </c>
      <c r="F2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6" s="19">
        <f>IF(PaymentSchedule34[[#This Row],[PMT NO]]&lt;&gt;"",PaymentSchedule34[[#This Row],[TOTAL PAYMENT]]-PaymentSchedule34[[#This Row],[INTEREST]],"")</f>
        <v>1669.7018773388263</v>
      </c>
      <c r="I26" s="19">
        <f>IF(PaymentSchedule34[[#This Row],[PMT NO]]&lt;&gt;"",PaymentSchedule34[[#This Row],[BEGINNING BALANCE]]*(InterestRate/PaymentsPerYear),"")</f>
        <v>7002.7021205469828</v>
      </c>
      <c r="J2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1975563.8380418092</v>
      </c>
      <c r="K26" s="19">
        <f>IF(PaymentSchedule34[[#This Row],[PMT NO]]&lt;&gt;"",SUM(INDEX(PaymentSchedule34[INTEREST],1,1):PaymentSchedule34[[#This Row],[INTEREST]]),"")</f>
        <v>105649.89801009637</v>
      </c>
    </row>
    <row r="27" spans="2:11" x14ac:dyDescent="0.3">
      <c r="B27" s="21">
        <f>IF(LoanIsGood,IF(ROW()-ROW(PaymentSchedule34[[#Headers],[PMT NO]])&gt;ScheduledNumberOfPayments,"",ROW()-ROW(PaymentSchedule34[[#Headers],[PMT NO]])),"")</f>
        <v>16</v>
      </c>
      <c r="C27" s="20">
        <f>IF(PaymentSchedule34[[#This Row],[PMT NO]]&lt;&gt;"",EOMONTH(LoanStartDate,ROW(PaymentSchedule34[[#This Row],[PMT NO]])-ROW(PaymentSchedule34[[#Headers],[PMT NO]])-2)+DAY(LoanStartDate),"")</f>
        <v>44105</v>
      </c>
      <c r="D27" s="19">
        <f>IF(PaymentSchedule34[[#This Row],[PMT NO]]&lt;&gt;"",IF(ROW()-ROW(PaymentSchedule34[[#Headers],[BEGINNING BALANCE]])=1,LoanAmount,INDEX(PaymentSchedule34[ENDING BALANCE],ROW()-ROW(PaymentSchedule34[[#Headers],[BEGINNING BALANCE]])-1)),"")</f>
        <v>1975563.8380418092</v>
      </c>
      <c r="E27" s="19">
        <f>IF(PaymentSchedule34[[#This Row],[PMT NO]]&lt;&gt;"",ScheduledPayment,"")</f>
        <v>8672.4039978858091</v>
      </c>
      <c r="F2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7" s="19">
        <f>IF(PaymentSchedule34[[#This Row],[PMT NO]]&lt;&gt;"",PaymentSchedule34[[#This Row],[TOTAL PAYMENT]]-PaymentSchedule34[[#This Row],[INTEREST]],"")</f>
        <v>1675.6154048210674</v>
      </c>
      <c r="I27" s="19">
        <f>IF(PaymentSchedule34[[#This Row],[PMT NO]]&lt;&gt;"",PaymentSchedule34[[#This Row],[BEGINNING BALANCE]]*(InterestRate/PaymentsPerYear),"")</f>
        <v>6996.7885930647417</v>
      </c>
      <c r="J2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1973888.2226369882</v>
      </c>
      <c r="K27" s="19">
        <f>IF(PaymentSchedule34[[#This Row],[PMT NO]]&lt;&gt;"",SUM(INDEX(PaymentSchedule34[INTEREST],1,1):PaymentSchedule34[[#This Row],[INTEREST]]),"")</f>
        <v>112646.68660316111</v>
      </c>
    </row>
    <row r="28" spans="2:11" x14ac:dyDescent="0.3">
      <c r="B28" s="21">
        <f>IF(LoanIsGood,IF(ROW()-ROW(PaymentSchedule34[[#Headers],[PMT NO]])&gt;ScheduledNumberOfPayments,"",ROW()-ROW(PaymentSchedule34[[#Headers],[PMT NO]])),"")</f>
        <v>17</v>
      </c>
      <c r="C28" s="20">
        <f>IF(PaymentSchedule34[[#This Row],[PMT NO]]&lt;&gt;"",EOMONTH(LoanStartDate,ROW(PaymentSchedule34[[#This Row],[PMT NO]])-ROW(PaymentSchedule34[[#Headers],[PMT NO]])-2)+DAY(LoanStartDate),"")</f>
        <v>44136</v>
      </c>
      <c r="D28" s="19">
        <f>IF(PaymentSchedule34[[#This Row],[PMT NO]]&lt;&gt;"",IF(ROW()-ROW(PaymentSchedule34[[#Headers],[BEGINNING BALANCE]])=1,LoanAmount,INDEX(PaymentSchedule34[ENDING BALANCE],ROW()-ROW(PaymentSchedule34[[#Headers],[BEGINNING BALANCE]])-1)),"")</f>
        <v>1973888.2226369882</v>
      </c>
      <c r="E28" s="19">
        <f>IF(PaymentSchedule34[[#This Row],[PMT NO]]&lt;&gt;"",ScheduledPayment,"")</f>
        <v>8672.4039978858091</v>
      </c>
      <c r="F2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8" s="19">
        <f>IF(PaymentSchedule34[[#This Row],[PMT NO]]&lt;&gt;"",PaymentSchedule34[[#This Row],[TOTAL PAYMENT]]-PaymentSchedule34[[#This Row],[INTEREST]],"")</f>
        <v>1681.5498760464752</v>
      </c>
      <c r="I28" s="19">
        <f>IF(PaymentSchedule34[[#This Row],[PMT NO]]&lt;&gt;"",PaymentSchedule34[[#This Row],[BEGINNING BALANCE]]*(InterestRate/PaymentsPerYear),"")</f>
        <v>6990.8541218393339</v>
      </c>
      <c r="J2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1972206.6727609418</v>
      </c>
      <c r="K28" s="19">
        <f>IF(PaymentSchedule34[[#This Row],[PMT NO]]&lt;&gt;"",SUM(INDEX(PaymentSchedule34[INTEREST],1,1):PaymentSchedule34[[#This Row],[INTEREST]]),"")</f>
        <v>119637.54072500045</v>
      </c>
    </row>
    <row r="29" spans="2:11" x14ac:dyDescent="0.3">
      <c r="B29" s="21">
        <f>IF(LoanIsGood,IF(ROW()-ROW(PaymentSchedule34[[#Headers],[PMT NO]])&gt;ScheduledNumberOfPayments,"",ROW()-ROW(PaymentSchedule34[[#Headers],[PMT NO]])),"")</f>
        <v>18</v>
      </c>
      <c r="C29" s="20">
        <f>IF(PaymentSchedule34[[#This Row],[PMT NO]]&lt;&gt;"",EOMONTH(LoanStartDate,ROW(PaymentSchedule34[[#This Row],[PMT NO]])-ROW(PaymentSchedule34[[#Headers],[PMT NO]])-2)+DAY(LoanStartDate),"")</f>
        <v>44166</v>
      </c>
      <c r="D29" s="19">
        <f>IF(PaymentSchedule34[[#This Row],[PMT NO]]&lt;&gt;"",IF(ROW()-ROW(PaymentSchedule34[[#Headers],[BEGINNING BALANCE]])=1,LoanAmount,INDEX(PaymentSchedule34[ENDING BALANCE],ROW()-ROW(PaymentSchedule34[[#Headers],[BEGINNING BALANCE]])-1)),"")</f>
        <v>1972206.6727609418</v>
      </c>
      <c r="E29" s="19">
        <f>IF(PaymentSchedule34[[#This Row],[PMT NO]]&lt;&gt;"",ScheduledPayment,"")</f>
        <v>8672.4039978858091</v>
      </c>
      <c r="F2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9" s="19">
        <f>IF(PaymentSchedule34[[#This Row],[PMT NO]]&lt;&gt;"",PaymentSchedule34[[#This Row],[TOTAL PAYMENT]]-PaymentSchedule34[[#This Row],[INTEREST]],"")</f>
        <v>1687.5053651908065</v>
      </c>
      <c r="I29" s="19">
        <f>IF(PaymentSchedule34[[#This Row],[PMT NO]]&lt;&gt;"",PaymentSchedule34[[#This Row],[BEGINNING BALANCE]]*(InterestRate/PaymentsPerYear),"")</f>
        <v>6984.8986326950026</v>
      </c>
      <c r="J2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1970519.167395751</v>
      </c>
      <c r="K29" s="19">
        <f>IF(PaymentSchedule34[[#This Row],[PMT NO]]&lt;&gt;"",SUM(INDEX(PaymentSchedule34[INTEREST],1,1):PaymentSchedule34[[#This Row],[INTEREST]]),"")</f>
        <v>126622.43935769545</v>
      </c>
    </row>
    <row r="30" spans="2:11" x14ac:dyDescent="0.3">
      <c r="B30" s="21">
        <f>IF(LoanIsGood,IF(ROW()-ROW(PaymentSchedule34[[#Headers],[PMT NO]])&gt;ScheduledNumberOfPayments,"",ROW()-ROW(PaymentSchedule34[[#Headers],[PMT NO]])),"")</f>
        <v>19</v>
      </c>
      <c r="C30" s="20">
        <f>IF(PaymentSchedule34[[#This Row],[PMT NO]]&lt;&gt;"",EOMONTH(LoanStartDate,ROW(PaymentSchedule34[[#This Row],[PMT NO]])-ROW(PaymentSchedule34[[#Headers],[PMT NO]])-2)+DAY(LoanStartDate),"")</f>
        <v>44197</v>
      </c>
      <c r="D30" s="19">
        <f>IF(PaymentSchedule34[[#This Row],[PMT NO]]&lt;&gt;"",IF(ROW()-ROW(PaymentSchedule34[[#Headers],[BEGINNING BALANCE]])=1,LoanAmount,INDEX(PaymentSchedule34[ENDING BALANCE],ROW()-ROW(PaymentSchedule34[[#Headers],[BEGINNING BALANCE]])-1)),"")</f>
        <v>1970519.167395751</v>
      </c>
      <c r="E30" s="19">
        <f>IF(PaymentSchedule34[[#This Row],[PMT NO]]&lt;&gt;"",ScheduledPayment,"")</f>
        <v>8672.4039978858091</v>
      </c>
      <c r="F3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0" s="19">
        <f>IF(PaymentSchedule34[[#This Row],[PMT NO]]&lt;&gt;"",PaymentSchedule34[[#This Row],[TOTAL PAYMENT]]-PaymentSchedule34[[#This Row],[INTEREST]],"")</f>
        <v>1693.4819466925237</v>
      </c>
      <c r="I30" s="19">
        <f>IF(PaymentSchedule34[[#This Row],[PMT NO]]&lt;&gt;"",PaymentSchedule34[[#This Row],[BEGINNING BALANCE]]*(InterestRate/PaymentsPerYear),"")</f>
        <v>6978.9220511932854</v>
      </c>
      <c r="J3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1968825.6854490584</v>
      </c>
      <c r="K30" s="19">
        <f>IF(PaymentSchedule34[[#This Row],[PMT NO]]&lt;&gt;"",SUM(INDEX(PaymentSchedule34[INTEREST],1,1):PaymentSchedule34[[#This Row],[INTEREST]]),"")</f>
        <v>133601.36140888874</v>
      </c>
    </row>
    <row r="31" spans="2:11" x14ac:dyDescent="0.3">
      <c r="B31" s="21">
        <f>IF(LoanIsGood,IF(ROW()-ROW(PaymentSchedule34[[#Headers],[PMT NO]])&gt;ScheduledNumberOfPayments,"",ROW()-ROW(PaymentSchedule34[[#Headers],[PMT NO]])),"")</f>
        <v>20</v>
      </c>
      <c r="C31" s="20">
        <f>IF(PaymentSchedule34[[#This Row],[PMT NO]]&lt;&gt;"",EOMONTH(LoanStartDate,ROW(PaymentSchedule34[[#This Row],[PMT NO]])-ROW(PaymentSchedule34[[#Headers],[PMT NO]])-2)+DAY(LoanStartDate),"")</f>
        <v>44228</v>
      </c>
      <c r="D31" s="19">
        <f>IF(PaymentSchedule34[[#This Row],[PMT NO]]&lt;&gt;"",IF(ROW()-ROW(PaymentSchedule34[[#Headers],[BEGINNING BALANCE]])=1,LoanAmount,INDEX(PaymentSchedule34[ENDING BALANCE],ROW()-ROW(PaymentSchedule34[[#Headers],[BEGINNING BALANCE]])-1)),"")</f>
        <v>1968825.6854490584</v>
      </c>
      <c r="E31" s="19">
        <f>IF(PaymentSchedule34[[#This Row],[PMT NO]]&lt;&gt;"",ScheduledPayment,"")</f>
        <v>8672.4039978858091</v>
      </c>
      <c r="F3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1" s="19">
        <f>IF(PaymentSchedule34[[#This Row],[PMT NO]]&lt;&gt;"",PaymentSchedule34[[#This Row],[TOTAL PAYMENT]]-PaymentSchedule34[[#This Row],[INTEREST]],"")</f>
        <v>1699.4796952537263</v>
      </c>
      <c r="I31" s="19">
        <f>IF(PaymentSchedule34[[#This Row],[PMT NO]]&lt;&gt;"",PaymentSchedule34[[#This Row],[BEGINNING BALANCE]]*(InterestRate/PaymentsPerYear),"")</f>
        <v>6972.9243026320828</v>
      </c>
      <c r="J3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1967126.2057538047</v>
      </c>
      <c r="K31" s="19">
        <f>IF(PaymentSchedule34[[#This Row],[PMT NO]]&lt;&gt;"",SUM(INDEX(PaymentSchedule34[INTEREST],1,1):PaymentSchedule34[[#This Row],[INTEREST]]),"")</f>
        <v>140574.28571152082</v>
      </c>
    </row>
    <row r="32" spans="2:11" x14ac:dyDescent="0.3">
      <c r="B32" s="21">
        <f>IF(LoanIsGood,IF(ROW()-ROW(PaymentSchedule34[[#Headers],[PMT NO]])&gt;ScheduledNumberOfPayments,"",ROW()-ROW(PaymentSchedule34[[#Headers],[PMT NO]])),"")</f>
        <v>21</v>
      </c>
      <c r="C32" s="20">
        <f>IF(PaymentSchedule34[[#This Row],[PMT NO]]&lt;&gt;"",EOMONTH(LoanStartDate,ROW(PaymentSchedule34[[#This Row],[PMT NO]])-ROW(PaymentSchedule34[[#Headers],[PMT NO]])-2)+DAY(LoanStartDate),"")</f>
        <v>44256</v>
      </c>
      <c r="D32" s="19">
        <f>IF(PaymentSchedule34[[#This Row],[PMT NO]]&lt;&gt;"",IF(ROW()-ROW(PaymentSchedule34[[#Headers],[BEGINNING BALANCE]])=1,LoanAmount,INDEX(PaymentSchedule34[ENDING BALANCE],ROW()-ROW(PaymentSchedule34[[#Headers],[BEGINNING BALANCE]])-1)),"")</f>
        <v>1967126.2057538047</v>
      </c>
      <c r="E32" s="19">
        <f>IF(PaymentSchedule34[[#This Row],[PMT NO]]&lt;&gt;"",ScheduledPayment,"")</f>
        <v>8672.4039978858091</v>
      </c>
      <c r="F3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2" s="19">
        <f>IF(PaymentSchedule34[[#This Row],[PMT NO]]&lt;&gt;"",PaymentSchedule34[[#This Row],[TOTAL PAYMENT]]-PaymentSchedule34[[#This Row],[INTEREST]],"")</f>
        <v>1705.4986858410839</v>
      </c>
      <c r="I32" s="19">
        <f>IF(PaymentSchedule34[[#This Row],[PMT NO]]&lt;&gt;"",PaymentSchedule34[[#This Row],[BEGINNING BALANCE]]*(InterestRate/PaymentsPerYear),"")</f>
        <v>6966.9053120447252</v>
      </c>
      <c r="J3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1965420.7070679637</v>
      </c>
      <c r="K32" s="19">
        <f>IF(PaymentSchedule34[[#This Row],[PMT NO]]&lt;&gt;"",SUM(INDEX(PaymentSchedule34[INTEREST],1,1):PaymentSchedule34[[#This Row],[INTEREST]]),"")</f>
        <v>147541.19102356554</v>
      </c>
    </row>
    <row r="33" spans="2:11" x14ac:dyDescent="0.3">
      <c r="B33" s="21">
        <f>IF(LoanIsGood,IF(ROW()-ROW(PaymentSchedule34[[#Headers],[PMT NO]])&gt;ScheduledNumberOfPayments,"",ROW()-ROW(PaymentSchedule34[[#Headers],[PMT NO]])),"")</f>
        <v>22</v>
      </c>
      <c r="C33" s="20">
        <f>IF(PaymentSchedule34[[#This Row],[PMT NO]]&lt;&gt;"",EOMONTH(LoanStartDate,ROW(PaymentSchedule34[[#This Row],[PMT NO]])-ROW(PaymentSchedule34[[#Headers],[PMT NO]])-2)+DAY(LoanStartDate),"")</f>
        <v>44287</v>
      </c>
      <c r="D33" s="19">
        <f>IF(PaymentSchedule34[[#This Row],[PMT NO]]&lt;&gt;"",IF(ROW()-ROW(PaymentSchedule34[[#Headers],[BEGINNING BALANCE]])=1,LoanAmount,INDEX(PaymentSchedule34[ENDING BALANCE],ROW()-ROW(PaymentSchedule34[[#Headers],[BEGINNING BALANCE]])-1)),"")</f>
        <v>1965420.7070679637</v>
      </c>
      <c r="E33" s="19">
        <f>IF(PaymentSchedule34[[#This Row],[PMT NO]]&lt;&gt;"",ScheduledPayment,"")</f>
        <v>8672.4039978858091</v>
      </c>
      <c r="F3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3" s="19">
        <f>IF(PaymentSchedule34[[#This Row],[PMT NO]]&lt;&gt;"",PaymentSchedule34[[#This Row],[TOTAL PAYMENT]]-PaymentSchedule34[[#This Row],[INTEREST]],"")</f>
        <v>1711.5389936867705</v>
      </c>
      <c r="I33" s="19">
        <f>IF(PaymentSchedule34[[#This Row],[PMT NO]]&lt;&gt;"",PaymentSchedule34[[#This Row],[BEGINNING BALANCE]]*(InterestRate/PaymentsPerYear),"")</f>
        <v>6960.8650041990386</v>
      </c>
      <c r="J3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1963709.168074277</v>
      </c>
      <c r="K33" s="19">
        <f>IF(PaymentSchedule34[[#This Row],[PMT NO]]&lt;&gt;"",SUM(INDEX(PaymentSchedule34[INTEREST],1,1):PaymentSchedule34[[#This Row],[INTEREST]]),"")</f>
        <v>154502.05602776457</v>
      </c>
    </row>
    <row r="34" spans="2:11" x14ac:dyDescent="0.3">
      <c r="B34" s="21">
        <f>IF(LoanIsGood,IF(ROW()-ROW(PaymentSchedule34[[#Headers],[PMT NO]])&gt;ScheduledNumberOfPayments,"",ROW()-ROW(PaymentSchedule34[[#Headers],[PMT NO]])),"")</f>
        <v>23</v>
      </c>
      <c r="C34" s="20">
        <f>IF(PaymentSchedule34[[#This Row],[PMT NO]]&lt;&gt;"",EOMONTH(LoanStartDate,ROW(PaymentSchedule34[[#This Row],[PMT NO]])-ROW(PaymentSchedule34[[#Headers],[PMT NO]])-2)+DAY(LoanStartDate),"")</f>
        <v>44317</v>
      </c>
      <c r="D34" s="19">
        <f>IF(PaymentSchedule34[[#This Row],[PMT NO]]&lt;&gt;"",IF(ROW()-ROW(PaymentSchedule34[[#Headers],[BEGINNING BALANCE]])=1,LoanAmount,INDEX(PaymentSchedule34[ENDING BALANCE],ROW()-ROW(PaymentSchedule34[[#Headers],[BEGINNING BALANCE]])-1)),"")</f>
        <v>1963709.168074277</v>
      </c>
      <c r="E34" s="19">
        <f>IF(PaymentSchedule34[[#This Row],[PMT NO]]&lt;&gt;"",ScheduledPayment,"")</f>
        <v>8672.4039978858091</v>
      </c>
      <c r="F3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4" s="19">
        <f>IF(PaymentSchedule34[[#This Row],[PMT NO]]&lt;&gt;"",PaymentSchedule34[[#This Row],[TOTAL PAYMENT]]-PaymentSchedule34[[#This Row],[INTEREST]],"")</f>
        <v>1717.600694289411</v>
      </c>
      <c r="I34" s="19">
        <f>IF(PaymentSchedule34[[#This Row],[PMT NO]]&lt;&gt;"",PaymentSchedule34[[#This Row],[BEGINNING BALANCE]]*(InterestRate/PaymentsPerYear),"")</f>
        <v>6954.8033035963981</v>
      </c>
      <c r="J3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1961991.5673799876</v>
      </c>
      <c r="K34" s="19">
        <f>IF(PaymentSchedule34[[#This Row],[PMT NO]]&lt;&gt;"",SUM(INDEX(PaymentSchedule34[INTEREST],1,1):PaymentSchedule34[[#This Row],[INTEREST]]),"")</f>
        <v>161456.85933136096</v>
      </c>
    </row>
    <row r="35" spans="2:11" x14ac:dyDescent="0.3">
      <c r="B35" s="21">
        <f>IF(LoanIsGood,IF(ROW()-ROW(PaymentSchedule34[[#Headers],[PMT NO]])&gt;ScheduledNumberOfPayments,"",ROW()-ROW(PaymentSchedule34[[#Headers],[PMT NO]])),"")</f>
        <v>24</v>
      </c>
      <c r="C35" s="20">
        <f>IF(PaymentSchedule34[[#This Row],[PMT NO]]&lt;&gt;"",EOMONTH(LoanStartDate,ROW(PaymentSchedule34[[#This Row],[PMT NO]])-ROW(PaymentSchedule34[[#Headers],[PMT NO]])-2)+DAY(LoanStartDate),"")</f>
        <v>44348</v>
      </c>
      <c r="D35" s="19">
        <f>IF(PaymentSchedule34[[#This Row],[PMT NO]]&lt;&gt;"",IF(ROW()-ROW(PaymentSchedule34[[#Headers],[BEGINNING BALANCE]])=1,LoanAmount,INDEX(PaymentSchedule34[ENDING BALANCE],ROW()-ROW(PaymentSchedule34[[#Headers],[BEGINNING BALANCE]])-1)),"")</f>
        <v>1961991.5673799876</v>
      </c>
      <c r="E35" s="19">
        <f>IF(PaymentSchedule34[[#This Row],[PMT NO]]&lt;&gt;"",ScheduledPayment,"")</f>
        <v>8672.4039978858091</v>
      </c>
      <c r="F3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5" s="19">
        <f>IF(PaymentSchedule34[[#This Row],[PMT NO]]&lt;&gt;"",PaymentSchedule34[[#This Row],[TOTAL PAYMENT]]-PaymentSchedule34[[#This Row],[INTEREST]],"")</f>
        <v>1723.683863415019</v>
      </c>
      <c r="I35" s="19">
        <f>IF(PaymentSchedule34[[#This Row],[PMT NO]]&lt;&gt;"",PaymentSchedule34[[#This Row],[BEGINNING BALANCE]]*(InterestRate/PaymentsPerYear),"")</f>
        <v>6948.7201344707901</v>
      </c>
      <c r="J3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1960267.8835165726</v>
      </c>
      <c r="K35" s="19">
        <f>IF(PaymentSchedule34[[#This Row],[PMT NO]]&lt;&gt;"",SUM(INDEX(PaymentSchedule34[INTEREST],1,1):PaymentSchedule34[[#This Row],[INTEREST]]),"")</f>
        <v>168405.57946583175</v>
      </c>
    </row>
    <row r="36" spans="2:11" x14ac:dyDescent="0.3">
      <c r="B36" s="21">
        <f>IF(LoanIsGood,IF(ROW()-ROW(PaymentSchedule34[[#Headers],[PMT NO]])&gt;ScheduledNumberOfPayments,"",ROW()-ROW(PaymentSchedule34[[#Headers],[PMT NO]])),"")</f>
        <v>25</v>
      </c>
      <c r="C36" s="20">
        <f>IF(PaymentSchedule34[[#This Row],[PMT NO]]&lt;&gt;"",EOMONTH(LoanStartDate,ROW(PaymentSchedule34[[#This Row],[PMT NO]])-ROW(PaymentSchedule34[[#Headers],[PMT NO]])-2)+DAY(LoanStartDate),"")</f>
        <v>44378</v>
      </c>
      <c r="D36" s="19">
        <f>IF(PaymentSchedule34[[#This Row],[PMT NO]]&lt;&gt;"",IF(ROW()-ROW(PaymentSchedule34[[#Headers],[BEGINNING BALANCE]])=1,LoanAmount,INDEX(PaymentSchedule34[ENDING BALANCE],ROW()-ROW(PaymentSchedule34[[#Headers],[BEGINNING BALANCE]])-1)),"")</f>
        <v>1960267.8835165726</v>
      </c>
      <c r="E36" s="19">
        <f>IF(PaymentSchedule34[[#This Row],[PMT NO]]&lt;&gt;"",ScheduledPayment,"")</f>
        <v>8672.4039978858091</v>
      </c>
      <c r="F3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6" s="19">
        <f>IF(PaymentSchedule34[[#This Row],[PMT NO]]&lt;&gt;"",PaymentSchedule34[[#This Row],[TOTAL PAYMENT]]-PaymentSchedule34[[#This Row],[INTEREST]],"")</f>
        <v>1729.7885770979474</v>
      </c>
      <c r="I36" s="19">
        <f>IF(PaymentSchedule34[[#This Row],[PMT NO]]&lt;&gt;"",PaymentSchedule34[[#This Row],[BEGINNING BALANCE]]*(InterestRate/PaymentsPerYear),"")</f>
        <v>6942.6154207878617</v>
      </c>
      <c r="J3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1958538.0949394747</v>
      </c>
      <c r="K36" s="19">
        <f>IF(PaymentSchedule34[[#This Row],[PMT NO]]&lt;&gt;"",SUM(INDEX(PaymentSchedule34[INTEREST],1,1):PaymentSchedule34[[#This Row],[INTEREST]]),"")</f>
        <v>175348.1948866196</v>
      </c>
    </row>
    <row r="37" spans="2:11" x14ac:dyDescent="0.3">
      <c r="B37" s="21">
        <f>IF(LoanIsGood,IF(ROW()-ROW(PaymentSchedule34[[#Headers],[PMT NO]])&gt;ScheduledNumberOfPayments,"",ROW()-ROW(PaymentSchedule34[[#Headers],[PMT NO]])),"")</f>
        <v>26</v>
      </c>
      <c r="C37" s="20">
        <f>IF(PaymentSchedule34[[#This Row],[PMT NO]]&lt;&gt;"",EOMONTH(LoanStartDate,ROW(PaymentSchedule34[[#This Row],[PMT NO]])-ROW(PaymentSchedule34[[#Headers],[PMT NO]])-2)+DAY(LoanStartDate),"")</f>
        <v>44409</v>
      </c>
      <c r="D37" s="19">
        <f>IF(PaymentSchedule34[[#This Row],[PMT NO]]&lt;&gt;"",IF(ROW()-ROW(PaymentSchedule34[[#Headers],[BEGINNING BALANCE]])=1,LoanAmount,INDEX(PaymentSchedule34[ENDING BALANCE],ROW()-ROW(PaymentSchedule34[[#Headers],[BEGINNING BALANCE]])-1)),"")</f>
        <v>1958538.0949394747</v>
      </c>
      <c r="E37" s="19">
        <f>IF(PaymentSchedule34[[#This Row],[PMT NO]]&lt;&gt;"",ScheduledPayment,"")</f>
        <v>8672.4039978858091</v>
      </c>
      <c r="F3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7" s="19">
        <f>IF(PaymentSchedule34[[#This Row],[PMT NO]]&lt;&gt;"",PaymentSchedule34[[#This Row],[TOTAL PAYMENT]]-PaymentSchedule34[[#This Row],[INTEREST]],"")</f>
        <v>1735.9149116418357</v>
      </c>
      <c r="I37" s="19">
        <f>IF(PaymentSchedule34[[#This Row],[PMT NO]]&lt;&gt;"",PaymentSchedule34[[#This Row],[BEGINNING BALANCE]]*(InterestRate/PaymentsPerYear),"")</f>
        <v>6936.4890862439734</v>
      </c>
      <c r="J3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1956802.180027833</v>
      </c>
      <c r="K37" s="19">
        <f>IF(PaymentSchedule34[[#This Row],[PMT NO]]&lt;&gt;"",SUM(INDEX(PaymentSchedule34[INTEREST],1,1):PaymentSchedule34[[#This Row],[INTEREST]]),"")</f>
        <v>182284.68397286357</v>
      </c>
    </row>
    <row r="38" spans="2:11" x14ac:dyDescent="0.3">
      <c r="B38" s="21">
        <f>IF(LoanIsGood,IF(ROW()-ROW(PaymentSchedule34[[#Headers],[PMT NO]])&gt;ScheduledNumberOfPayments,"",ROW()-ROW(PaymentSchedule34[[#Headers],[PMT NO]])),"")</f>
        <v>27</v>
      </c>
      <c r="C38" s="20">
        <f>IF(PaymentSchedule34[[#This Row],[PMT NO]]&lt;&gt;"",EOMONTH(LoanStartDate,ROW(PaymentSchedule34[[#This Row],[PMT NO]])-ROW(PaymentSchedule34[[#Headers],[PMT NO]])-2)+DAY(LoanStartDate),"")</f>
        <v>44440</v>
      </c>
      <c r="D38" s="19">
        <f>IF(PaymentSchedule34[[#This Row],[PMT NO]]&lt;&gt;"",IF(ROW()-ROW(PaymentSchedule34[[#Headers],[BEGINNING BALANCE]])=1,LoanAmount,INDEX(PaymentSchedule34[ENDING BALANCE],ROW()-ROW(PaymentSchedule34[[#Headers],[BEGINNING BALANCE]])-1)),"")</f>
        <v>1956802.180027833</v>
      </c>
      <c r="E38" s="19">
        <f>IF(PaymentSchedule34[[#This Row],[PMT NO]]&lt;&gt;"",ScheduledPayment,"")</f>
        <v>8672.4039978858091</v>
      </c>
      <c r="F3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8" s="19">
        <f>IF(PaymentSchedule34[[#This Row],[PMT NO]]&lt;&gt;"",PaymentSchedule34[[#This Row],[TOTAL PAYMENT]]-PaymentSchedule34[[#This Row],[INTEREST]],"")</f>
        <v>1742.0629436205672</v>
      </c>
      <c r="I38" s="19">
        <f>IF(PaymentSchedule34[[#This Row],[PMT NO]]&lt;&gt;"",PaymentSchedule34[[#This Row],[BEGINNING BALANCE]]*(InterestRate/PaymentsPerYear),"")</f>
        <v>6930.3410542652418</v>
      </c>
      <c r="J3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1955060.1170842124</v>
      </c>
      <c r="K38" s="19">
        <f>IF(PaymentSchedule34[[#This Row],[PMT NO]]&lt;&gt;"",SUM(INDEX(PaymentSchedule34[INTEREST],1,1):PaymentSchedule34[[#This Row],[INTEREST]]),"")</f>
        <v>189215.02502712881</v>
      </c>
    </row>
    <row r="39" spans="2:11" x14ac:dyDescent="0.3">
      <c r="B39" s="21">
        <f>IF(LoanIsGood,IF(ROW()-ROW(PaymentSchedule34[[#Headers],[PMT NO]])&gt;ScheduledNumberOfPayments,"",ROW()-ROW(PaymentSchedule34[[#Headers],[PMT NO]])),"")</f>
        <v>28</v>
      </c>
      <c r="C39" s="20">
        <f>IF(PaymentSchedule34[[#This Row],[PMT NO]]&lt;&gt;"",EOMONTH(LoanStartDate,ROW(PaymentSchedule34[[#This Row],[PMT NO]])-ROW(PaymentSchedule34[[#Headers],[PMT NO]])-2)+DAY(LoanStartDate),"")</f>
        <v>44470</v>
      </c>
      <c r="D39" s="19">
        <f>IF(PaymentSchedule34[[#This Row],[PMT NO]]&lt;&gt;"",IF(ROW()-ROW(PaymentSchedule34[[#Headers],[BEGINNING BALANCE]])=1,LoanAmount,INDEX(PaymentSchedule34[ENDING BALANCE],ROW()-ROW(PaymentSchedule34[[#Headers],[BEGINNING BALANCE]])-1)),"")</f>
        <v>1955060.1170842124</v>
      </c>
      <c r="E39" s="19">
        <f>IF(PaymentSchedule34[[#This Row],[PMT NO]]&lt;&gt;"",ScheduledPayment,"")</f>
        <v>8672.4039978858091</v>
      </c>
      <c r="F3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9" s="19">
        <f>IF(PaymentSchedule34[[#This Row],[PMT NO]]&lt;&gt;"",PaymentSchedule34[[#This Row],[TOTAL PAYMENT]]-PaymentSchedule34[[#This Row],[INTEREST]],"")</f>
        <v>1748.2327498792229</v>
      </c>
      <c r="I39" s="19">
        <f>IF(PaymentSchedule34[[#This Row],[PMT NO]]&lt;&gt;"",PaymentSchedule34[[#This Row],[BEGINNING BALANCE]]*(InterestRate/PaymentsPerYear),"")</f>
        <v>6924.1712480065862</v>
      </c>
      <c r="J3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1953311.8843343332</v>
      </c>
      <c r="K39" s="19">
        <f>IF(PaymentSchedule34[[#This Row],[PMT NO]]&lt;&gt;"",SUM(INDEX(PaymentSchedule34[INTEREST],1,1):PaymentSchedule34[[#This Row],[INTEREST]]),"")</f>
        <v>196139.19627513539</v>
      </c>
    </row>
    <row r="40" spans="2:11" x14ac:dyDescent="0.3">
      <c r="B40" s="21">
        <f>IF(LoanIsGood,IF(ROW()-ROW(PaymentSchedule34[[#Headers],[PMT NO]])&gt;ScheduledNumberOfPayments,"",ROW()-ROW(PaymentSchedule34[[#Headers],[PMT NO]])),"")</f>
        <v>29</v>
      </c>
      <c r="C40" s="20">
        <f>IF(PaymentSchedule34[[#This Row],[PMT NO]]&lt;&gt;"",EOMONTH(LoanStartDate,ROW(PaymentSchedule34[[#This Row],[PMT NO]])-ROW(PaymentSchedule34[[#Headers],[PMT NO]])-2)+DAY(LoanStartDate),"")</f>
        <v>44501</v>
      </c>
      <c r="D40" s="19">
        <f>IF(PaymentSchedule34[[#This Row],[PMT NO]]&lt;&gt;"",IF(ROW()-ROW(PaymentSchedule34[[#Headers],[BEGINNING BALANCE]])=1,LoanAmount,INDEX(PaymentSchedule34[ENDING BALANCE],ROW()-ROW(PaymentSchedule34[[#Headers],[BEGINNING BALANCE]])-1)),"")</f>
        <v>1953311.8843343332</v>
      </c>
      <c r="E40" s="19">
        <f>IF(PaymentSchedule34[[#This Row],[PMT NO]]&lt;&gt;"",ScheduledPayment,"")</f>
        <v>8672.4039978858091</v>
      </c>
      <c r="F4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4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40" s="19">
        <f>IF(PaymentSchedule34[[#This Row],[PMT NO]]&lt;&gt;"",PaymentSchedule34[[#This Row],[TOTAL PAYMENT]]-PaymentSchedule34[[#This Row],[INTEREST]],"")</f>
        <v>1754.4244075350452</v>
      </c>
      <c r="I40" s="19">
        <f>IF(PaymentSchedule34[[#This Row],[PMT NO]]&lt;&gt;"",PaymentSchedule34[[#This Row],[BEGINNING BALANCE]]*(InterestRate/PaymentsPerYear),"")</f>
        <v>6917.9795903507638</v>
      </c>
      <c r="J4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1951557.4599267982</v>
      </c>
      <c r="K40" s="19">
        <f>IF(PaymentSchedule34[[#This Row],[PMT NO]]&lt;&gt;"",SUM(INDEX(PaymentSchedule34[INTEREST],1,1):PaymentSchedule34[[#This Row],[INTEREST]]),"")</f>
        <v>203057.17586548615</v>
      </c>
    </row>
    <row r="41" spans="2:11" x14ac:dyDescent="0.3">
      <c r="B41" s="21">
        <f>IF(LoanIsGood,IF(ROW()-ROW(PaymentSchedule34[[#Headers],[PMT NO]])&gt;ScheduledNumberOfPayments,"",ROW()-ROW(PaymentSchedule34[[#Headers],[PMT NO]])),"")</f>
        <v>30</v>
      </c>
      <c r="C41" s="20">
        <f>IF(PaymentSchedule34[[#This Row],[PMT NO]]&lt;&gt;"",EOMONTH(LoanStartDate,ROW(PaymentSchedule34[[#This Row],[PMT NO]])-ROW(PaymentSchedule34[[#Headers],[PMT NO]])-2)+DAY(LoanStartDate),"")</f>
        <v>44531</v>
      </c>
      <c r="D41" s="19">
        <f>IF(PaymentSchedule34[[#This Row],[PMT NO]]&lt;&gt;"",IF(ROW()-ROW(PaymentSchedule34[[#Headers],[BEGINNING BALANCE]])=1,LoanAmount,INDEX(PaymentSchedule34[ENDING BALANCE],ROW()-ROW(PaymentSchedule34[[#Headers],[BEGINNING BALANCE]])-1)),"")</f>
        <v>1951557.4599267982</v>
      </c>
      <c r="E41" s="19">
        <f>IF(PaymentSchedule34[[#This Row],[PMT NO]]&lt;&gt;"",ScheduledPayment,"")</f>
        <v>8672.4039978858091</v>
      </c>
      <c r="F4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4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41" s="19">
        <f>IF(PaymentSchedule34[[#This Row],[PMT NO]]&lt;&gt;"",PaymentSchedule34[[#This Row],[TOTAL PAYMENT]]-PaymentSchedule34[[#This Row],[INTEREST]],"")</f>
        <v>1760.6379939783983</v>
      </c>
      <c r="I41" s="19">
        <f>IF(PaymentSchedule34[[#This Row],[PMT NO]]&lt;&gt;"",PaymentSchedule34[[#This Row],[BEGINNING BALANCE]]*(InterestRate/PaymentsPerYear),"")</f>
        <v>6911.7660039074108</v>
      </c>
      <c r="J4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1949796.8219328199</v>
      </c>
      <c r="K41" s="19">
        <f>IF(PaymentSchedule34[[#This Row],[PMT NO]]&lt;&gt;"",SUM(INDEX(PaymentSchedule34[INTEREST],1,1):PaymentSchedule34[[#This Row],[INTEREST]]),"")</f>
        <v>209968.94186939357</v>
      </c>
    </row>
    <row r="42" spans="2:11" x14ac:dyDescent="0.3">
      <c r="B42" s="21">
        <f>IF(LoanIsGood,IF(ROW()-ROW(PaymentSchedule34[[#Headers],[PMT NO]])&gt;ScheduledNumberOfPayments,"",ROW()-ROW(PaymentSchedule34[[#Headers],[PMT NO]])),"")</f>
        <v>31</v>
      </c>
      <c r="C42" s="20">
        <f>IF(PaymentSchedule34[[#This Row],[PMT NO]]&lt;&gt;"",EOMONTH(LoanStartDate,ROW(PaymentSchedule34[[#This Row],[PMT NO]])-ROW(PaymentSchedule34[[#Headers],[PMT NO]])-2)+DAY(LoanStartDate),"")</f>
        <v>44562</v>
      </c>
      <c r="D42" s="19">
        <f>IF(PaymentSchedule34[[#This Row],[PMT NO]]&lt;&gt;"",IF(ROW()-ROW(PaymentSchedule34[[#Headers],[BEGINNING BALANCE]])=1,LoanAmount,INDEX(PaymentSchedule34[ENDING BALANCE],ROW()-ROW(PaymentSchedule34[[#Headers],[BEGINNING BALANCE]])-1)),"")</f>
        <v>1949796.8219328199</v>
      </c>
      <c r="E42" s="19">
        <f>IF(PaymentSchedule34[[#This Row],[PMT NO]]&lt;&gt;"",ScheduledPayment,"")</f>
        <v>8672.4039978858091</v>
      </c>
      <c r="F4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4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42" s="19">
        <f>IF(PaymentSchedule34[[#This Row],[PMT NO]]&lt;&gt;"",PaymentSchedule34[[#This Row],[TOTAL PAYMENT]]-PaymentSchedule34[[#This Row],[INTEREST]],"")</f>
        <v>1766.8735868737385</v>
      </c>
      <c r="I42" s="19">
        <f>IF(PaymentSchedule34[[#This Row],[PMT NO]]&lt;&gt;"",PaymentSchedule34[[#This Row],[BEGINNING BALANCE]]*(InterestRate/PaymentsPerYear),"")</f>
        <v>6905.5304110120705</v>
      </c>
      <c r="J4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1948029.9483459461</v>
      </c>
      <c r="K42" s="19">
        <f>IF(PaymentSchedule34[[#This Row],[PMT NO]]&lt;&gt;"",SUM(INDEX(PaymentSchedule34[INTEREST],1,1):PaymentSchedule34[[#This Row],[INTEREST]]),"")</f>
        <v>216874.47228040564</v>
      </c>
    </row>
    <row r="43" spans="2:11" x14ac:dyDescent="0.3">
      <c r="B43" s="21">
        <f>IF(LoanIsGood,IF(ROW()-ROW(PaymentSchedule34[[#Headers],[PMT NO]])&gt;ScheduledNumberOfPayments,"",ROW()-ROW(PaymentSchedule34[[#Headers],[PMT NO]])),"")</f>
        <v>32</v>
      </c>
      <c r="C43" s="20">
        <f>IF(PaymentSchedule34[[#This Row],[PMT NO]]&lt;&gt;"",EOMONTH(LoanStartDate,ROW(PaymentSchedule34[[#This Row],[PMT NO]])-ROW(PaymentSchedule34[[#Headers],[PMT NO]])-2)+DAY(LoanStartDate),"")</f>
        <v>44593</v>
      </c>
      <c r="D43" s="19">
        <f>IF(PaymentSchedule34[[#This Row],[PMT NO]]&lt;&gt;"",IF(ROW()-ROW(PaymentSchedule34[[#Headers],[BEGINNING BALANCE]])=1,LoanAmount,INDEX(PaymentSchedule34[ENDING BALANCE],ROW()-ROW(PaymentSchedule34[[#Headers],[BEGINNING BALANCE]])-1)),"")</f>
        <v>1948029.9483459461</v>
      </c>
      <c r="E43" s="19">
        <f>IF(PaymentSchedule34[[#This Row],[PMT NO]]&lt;&gt;"",ScheduledPayment,"")</f>
        <v>8672.4039978858091</v>
      </c>
      <c r="F4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4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43" s="19">
        <f>IF(PaymentSchedule34[[#This Row],[PMT NO]]&lt;&gt;"",PaymentSchedule34[[#This Row],[TOTAL PAYMENT]]-PaymentSchedule34[[#This Row],[INTEREST]],"")</f>
        <v>1773.1312641605828</v>
      </c>
      <c r="I43" s="19">
        <f>IF(PaymentSchedule34[[#This Row],[PMT NO]]&lt;&gt;"",PaymentSchedule34[[#This Row],[BEGINNING BALANCE]]*(InterestRate/PaymentsPerYear),"")</f>
        <v>6899.2727337252263</v>
      </c>
      <c r="J4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1946256.8170817855</v>
      </c>
      <c r="K43" s="19">
        <f>IF(PaymentSchedule34[[#This Row],[PMT NO]]&lt;&gt;"",SUM(INDEX(PaymentSchedule34[INTEREST],1,1):PaymentSchedule34[[#This Row],[INTEREST]]),"")</f>
        <v>223773.74501413087</v>
      </c>
    </row>
    <row r="44" spans="2:11" x14ac:dyDescent="0.3">
      <c r="B44" s="21">
        <f>IF(LoanIsGood,IF(ROW()-ROW(PaymentSchedule34[[#Headers],[PMT NO]])&gt;ScheduledNumberOfPayments,"",ROW()-ROW(PaymentSchedule34[[#Headers],[PMT NO]])),"")</f>
        <v>33</v>
      </c>
      <c r="C44" s="20">
        <f>IF(PaymentSchedule34[[#This Row],[PMT NO]]&lt;&gt;"",EOMONTH(LoanStartDate,ROW(PaymentSchedule34[[#This Row],[PMT NO]])-ROW(PaymentSchedule34[[#Headers],[PMT NO]])-2)+DAY(LoanStartDate),"")</f>
        <v>44621</v>
      </c>
      <c r="D44" s="19">
        <f>IF(PaymentSchedule34[[#This Row],[PMT NO]]&lt;&gt;"",IF(ROW()-ROW(PaymentSchedule34[[#Headers],[BEGINNING BALANCE]])=1,LoanAmount,INDEX(PaymentSchedule34[ENDING BALANCE],ROW()-ROW(PaymentSchedule34[[#Headers],[BEGINNING BALANCE]])-1)),"")</f>
        <v>1946256.8170817855</v>
      </c>
      <c r="E44" s="19">
        <f>IF(PaymentSchedule34[[#This Row],[PMT NO]]&lt;&gt;"",ScheduledPayment,"")</f>
        <v>8672.4039978858091</v>
      </c>
      <c r="F4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4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44" s="19">
        <f>IF(PaymentSchedule34[[#This Row],[PMT NO]]&lt;&gt;"",PaymentSchedule34[[#This Row],[TOTAL PAYMENT]]-PaymentSchedule34[[#This Row],[INTEREST]],"")</f>
        <v>1779.4111040544849</v>
      </c>
      <c r="I44" s="19">
        <f>IF(PaymentSchedule34[[#This Row],[PMT NO]]&lt;&gt;"",PaymentSchedule34[[#This Row],[BEGINNING BALANCE]]*(InterestRate/PaymentsPerYear),"")</f>
        <v>6892.9928938313242</v>
      </c>
      <c r="J4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1944477.4059777311</v>
      </c>
      <c r="K44" s="19">
        <f>IF(PaymentSchedule34[[#This Row],[PMT NO]]&lt;&gt;"",SUM(INDEX(PaymentSchedule34[INTEREST],1,1):PaymentSchedule34[[#This Row],[INTEREST]]),"")</f>
        <v>230666.73790796218</v>
      </c>
    </row>
    <row r="45" spans="2:11" x14ac:dyDescent="0.3">
      <c r="B45" s="21">
        <f>IF(LoanIsGood,IF(ROW()-ROW(PaymentSchedule34[[#Headers],[PMT NO]])&gt;ScheduledNumberOfPayments,"",ROW()-ROW(PaymentSchedule34[[#Headers],[PMT NO]])),"")</f>
        <v>34</v>
      </c>
      <c r="C45" s="20">
        <f>IF(PaymentSchedule34[[#This Row],[PMT NO]]&lt;&gt;"",EOMONTH(LoanStartDate,ROW(PaymentSchedule34[[#This Row],[PMT NO]])-ROW(PaymentSchedule34[[#Headers],[PMT NO]])-2)+DAY(LoanStartDate),"")</f>
        <v>44652</v>
      </c>
      <c r="D45" s="19">
        <f>IF(PaymentSchedule34[[#This Row],[PMT NO]]&lt;&gt;"",IF(ROW()-ROW(PaymentSchedule34[[#Headers],[BEGINNING BALANCE]])=1,LoanAmount,INDEX(PaymentSchedule34[ENDING BALANCE],ROW()-ROW(PaymentSchedule34[[#Headers],[BEGINNING BALANCE]])-1)),"")</f>
        <v>1944477.4059777311</v>
      </c>
      <c r="E45" s="19">
        <f>IF(PaymentSchedule34[[#This Row],[PMT NO]]&lt;&gt;"",ScheduledPayment,"")</f>
        <v>8672.4039978858091</v>
      </c>
      <c r="F4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4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45" s="19">
        <f>IF(PaymentSchedule34[[#This Row],[PMT NO]]&lt;&gt;"",PaymentSchedule34[[#This Row],[TOTAL PAYMENT]]-PaymentSchedule34[[#This Row],[INTEREST]],"")</f>
        <v>1785.7131850480109</v>
      </c>
      <c r="I45" s="19">
        <f>IF(PaymentSchedule34[[#This Row],[PMT NO]]&lt;&gt;"",PaymentSchedule34[[#This Row],[BEGINNING BALANCE]]*(InterestRate/PaymentsPerYear),"")</f>
        <v>6886.6908128377981</v>
      </c>
      <c r="J4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1942691.6927926831</v>
      </c>
      <c r="K45" s="19">
        <f>IF(PaymentSchedule34[[#This Row],[PMT NO]]&lt;&gt;"",SUM(INDEX(PaymentSchedule34[INTEREST],1,1):PaymentSchedule34[[#This Row],[INTEREST]]),"")</f>
        <v>237553.42872079997</v>
      </c>
    </row>
    <row r="46" spans="2:11" x14ac:dyDescent="0.3">
      <c r="B46" s="21">
        <f>IF(LoanIsGood,IF(ROW()-ROW(PaymentSchedule34[[#Headers],[PMT NO]])&gt;ScheduledNumberOfPayments,"",ROW()-ROW(PaymentSchedule34[[#Headers],[PMT NO]])),"")</f>
        <v>35</v>
      </c>
      <c r="C46" s="20">
        <f>IF(PaymentSchedule34[[#This Row],[PMT NO]]&lt;&gt;"",EOMONTH(LoanStartDate,ROW(PaymentSchedule34[[#This Row],[PMT NO]])-ROW(PaymentSchedule34[[#Headers],[PMT NO]])-2)+DAY(LoanStartDate),"")</f>
        <v>44682</v>
      </c>
      <c r="D46" s="19">
        <f>IF(PaymentSchedule34[[#This Row],[PMT NO]]&lt;&gt;"",IF(ROW()-ROW(PaymentSchedule34[[#Headers],[BEGINNING BALANCE]])=1,LoanAmount,INDEX(PaymentSchedule34[ENDING BALANCE],ROW()-ROW(PaymentSchedule34[[#Headers],[BEGINNING BALANCE]])-1)),"")</f>
        <v>1942691.6927926831</v>
      </c>
      <c r="E46" s="19">
        <f>IF(PaymentSchedule34[[#This Row],[PMT NO]]&lt;&gt;"",ScheduledPayment,"")</f>
        <v>8672.4039978858091</v>
      </c>
      <c r="F4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4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46" s="19">
        <f>IF(PaymentSchedule34[[#This Row],[PMT NO]]&lt;&gt;"",PaymentSchedule34[[#This Row],[TOTAL PAYMENT]]-PaymentSchedule34[[#This Row],[INTEREST]],"")</f>
        <v>1792.0375859117221</v>
      </c>
      <c r="I46" s="19">
        <f>IF(PaymentSchedule34[[#This Row],[PMT NO]]&lt;&gt;"",PaymentSchedule34[[#This Row],[BEGINNING BALANCE]]*(InterestRate/PaymentsPerYear),"")</f>
        <v>6880.366411974087</v>
      </c>
      <c r="J4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1940899.6552067713</v>
      </c>
      <c r="K46" s="19">
        <f>IF(PaymentSchedule34[[#This Row],[PMT NO]]&lt;&gt;"",SUM(INDEX(PaymentSchedule34[INTEREST],1,1):PaymentSchedule34[[#This Row],[INTEREST]]),"")</f>
        <v>244433.79513277407</v>
      </c>
    </row>
    <row r="47" spans="2:11" x14ac:dyDescent="0.3">
      <c r="B47" s="21">
        <f>IF(LoanIsGood,IF(ROW()-ROW(PaymentSchedule34[[#Headers],[PMT NO]])&gt;ScheduledNumberOfPayments,"",ROW()-ROW(PaymentSchedule34[[#Headers],[PMT NO]])),"")</f>
        <v>36</v>
      </c>
      <c r="C47" s="20">
        <f>IF(PaymentSchedule34[[#This Row],[PMT NO]]&lt;&gt;"",EOMONTH(LoanStartDate,ROW(PaymentSchedule34[[#This Row],[PMT NO]])-ROW(PaymentSchedule34[[#Headers],[PMT NO]])-2)+DAY(LoanStartDate),"")</f>
        <v>44713</v>
      </c>
      <c r="D47" s="19">
        <f>IF(PaymentSchedule34[[#This Row],[PMT NO]]&lt;&gt;"",IF(ROW()-ROW(PaymentSchedule34[[#Headers],[BEGINNING BALANCE]])=1,LoanAmount,INDEX(PaymentSchedule34[ENDING BALANCE],ROW()-ROW(PaymentSchedule34[[#Headers],[BEGINNING BALANCE]])-1)),"")</f>
        <v>1940899.6552067713</v>
      </c>
      <c r="E47" s="19">
        <f>IF(PaymentSchedule34[[#This Row],[PMT NO]]&lt;&gt;"",ScheduledPayment,"")</f>
        <v>8672.4039978858091</v>
      </c>
      <c r="F4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4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47" s="19">
        <f>IF(PaymentSchedule34[[#This Row],[PMT NO]]&lt;&gt;"",PaymentSchedule34[[#This Row],[TOTAL PAYMENT]]-PaymentSchedule34[[#This Row],[INTEREST]],"")</f>
        <v>1798.3843856951598</v>
      </c>
      <c r="I47" s="19">
        <f>IF(PaymentSchedule34[[#This Row],[PMT NO]]&lt;&gt;"",PaymentSchedule34[[#This Row],[BEGINNING BALANCE]]*(InterestRate/PaymentsPerYear),"")</f>
        <v>6874.0196121906492</v>
      </c>
      <c r="J4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1939101.2708210761</v>
      </c>
      <c r="K47" s="19">
        <f>IF(PaymentSchedule34[[#This Row],[PMT NO]]&lt;&gt;"",SUM(INDEX(PaymentSchedule34[INTEREST],1,1):PaymentSchedule34[[#This Row],[INTEREST]]),"")</f>
        <v>251307.81474496474</v>
      </c>
    </row>
    <row r="48" spans="2:11" x14ac:dyDescent="0.3">
      <c r="B48" s="21">
        <f>IF(LoanIsGood,IF(ROW()-ROW(PaymentSchedule34[[#Headers],[PMT NO]])&gt;ScheduledNumberOfPayments,"",ROW()-ROW(PaymentSchedule34[[#Headers],[PMT NO]])),"")</f>
        <v>37</v>
      </c>
      <c r="C48" s="20">
        <f>IF(PaymentSchedule34[[#This Row],[PMT NO]]&lt;&gt;"",EOMONTH(LoanStartDate,ROW(PaymentSchedule34[[#This Row],[PMT NO]])-ROW(PaymentSchedule34[[#Headers],[PMT NO]])-2)+DAY(LoanStartDate),"")</f>
        <v>44743</v>
      </c>
      <c r="D48" s="19">
        <f>IF(PaymentSchedule34[[#This Row],[PMT NO]]&lt;&gt;"",IF(ROW()-ROW(PaymentSchedule34[[#Headers],[BEGINNING BALANCE]])=1,LoanAmount,INDEX(PaymentSchedule34[ENDING BALANCE],ROW()-ROW(PaymentSchedule34[[#Headers],[BEGINNING BALANCE]])-1)),"")</f>
        <v>1939101.2708210761</v>
      </c>
      <c r="E48" s="19">
        <f>IF(PaymentSchedule34[[#This Row],[PMT NO]]&lt;&gt;"",ScheduledPayment,"")</f>
        <v>8672.4039978858091</v>
      </c>
      <c r="F4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4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48" s="19">
        <f>IF(PaymentSchedule34[[#This Row],[PMT NO]]&lt;&gt;"",PaymentSchedule34[[#This Row],[TOTAL PAYMENT]]-PaymentSchedule34[[#This Row],[INTEREST]],"")</f>
        <v>1804.7536637278308</v>
      </c>
      <c r="I48" s="19">
        <f>IF(PaymentSchedule34[[#This Row],[PMT NO]]&lt;&gt;"",PaymentSchedule34[[#This Row],[BEGINNING BALANCE]]*(InterestRate/PaymentsPerYear),"")</f>
        <v>6867.6503341579783</v>
      </c>
      <c r="J4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1937296.5171573483</v>
      </c>
      <c r="K48" s="19">
        <f>IF(PaymentSchedule34[[#This Row],[PMT NO]]&lt;&gt;"",SUM(INDEX(PaymentSchedule34[INTEREST],1,1):PaymentSchedule34[[#This Row],[INTEREST]]),"")</f>
        <v>258175.46507912272</v>
      </c>
    </row>
    <row r="49" spans="2:11" x14ac:dyDescent="0.3">
      <c r="B49" s="21">
        <f>IF(LoanIsGood,IF(ROW()-ROW(PaymentSchedule34[[#Headers],[PMT NO]])&gt;ScheduledNumberOfPayments,"",ROW()-ROW(PaymentSchedule34[[#Headers],[PMT NO]])),"")</f>
        <v>38</v>
      </c>
      <c r="C49" s="20">
        <f>IF(PaymentSchedule34[[#This Row],[PMT NO]]&lt;&gt;"",EOMONTH(LoanStartDate,ROW(PaymentSchedule34[[#This Row],[PMT NO]])-ROW(PaymentSchedule34[[#Headers],[PMT NO]])-2)+DAY(LoanStartDate),"")</f>
        <v>44774</v>
      </c>
      <c r="D49" s="19">
        <f>IF(PaymentSchedule34[[#This Row],[PMT NO]]&lt;&gt;"",IF(ROW()-ROW(PaymentSchedule34[[#Headers],[BEGINNING BALANCE]])=1,LoanAmount,INDEX(PaymentSchedule34[ENDING BALANCE],ROW()-ROW(PaymentSchedule34[[#Headers],[BEGINNING BALANCE]])-1)),"")</f>
        <v>1937296.5171573483</v>
      </c>
      <c r="E49" s="19">
        <f>IF(PaymentSchedule34[[#This Row],[PMT NO]]&lt;&gt;"",ScheduledPayment,"")</f>
        <v>8672.4039978858091</v>
      </c>
      <c r="F4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4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49" s="19">
        <f>IF(PaymentSchedule34[[#This Row],[PMT NO]]&lt;&gt;"",PaymentSchedule34[[#This Row],[TOTAL PAYMENT]]-PaymentSchedule34[[#This Row],[INTEREST]],"")</f>
        <v>1811.1454996202001</v>
      </c>
      <c r="I49" s="19">
        <f>IF(PaymentSchedule34[[#This Row],[PMT NO]]&lt;&gt;"",PaymentSchedule34[[#This Row],[BEGINNING BALANCE]]*(InterestRate/PaymentsPerYear),"")</f>
        <v>6861.258498265609</v>
      </c>
      <c r="J4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1935485.3716577282</v>
      </c>
      <c r="K49" s="19">
        <f>IF(PaymentSchedule34[[#This Row],[PMT NO]]&lt;&gt;"",SUM(INDEX(PaymentSchedule34[INTEREST],1,1):PaymentSchedule34[[#This Row],[INTEREST]]),"")</f>
        <v>265036.72357738833</v>
      </c>
    </row>
    <row r="50" spans="2:11" x14ac:dyDescent="0.3">
      <c r="B50" s="21">
        <f>IF(LoanIsGood,IF(ROW()-ROW(PaymentSchedule34[[#Headers],[PMT NO]])&gt;ScheduledNumberOfPayments,"",ROW()-ROW(PaymentSchedule34[[#Headers],[PMT NO]])),"")</f>
        <v>39</v>
      </c>
      <c r="C50" s="20">
        <f>IF(PaymentSchedule34[[#This Row],[PMT NO]]&lt;&gt;"",EOMONTH(LoanStartDate,ROW(PaymentSchedule34[[#This Row],[PMT NO]])-ROW(PaymentSchedule34[[#Headers],[PMT NO]])-2)+DAY(LoanStartDate),"")</f>
        <v>44805</v>
      </c>
      <c r="D50" s="19">
        <f>IF(PaymentSchedule34[[#This Row],[PMT NO]]&lt;&gt;"",IF(ROW()-ROW(PaymentSchedule34[[#Headers],[BEGINNING BALANCE]])=1,LoanAmount,INDEX(PaymentSchedule34[ENDING BALANCE],ROW()-ROW(PaymentSchedule34[[#Headers],[BEGINNING BALANCE]])-1)),"")</f>
        <v>1935485.3716577282</v>
      </c>
      <c r="E50" s="19">
        <f>IF(PaymentSchedule34[[#This Row],[PMT NO]]&lt;&gt;"",ScheduledPayment,"")</f>
        <v>8672.4039978858091</v>
      </c>
      <c r="F5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5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50" s="19">
        <f>IF(PaymentSchedule34[[#This Row],[PMT NO]]&lt;&gt;"",PaymentSchedule34[[#This Row],[TOTAL PAYMENT]]-PaymentSchedule34[[#This Row],[INTEREST]],"")</f>
        <v>1817.5599732646879</v>
      </c>
      <c r="I50" s="19">
        <f>IF(PaymentSchedule34[[#This Row],[PMT NO]]&lt;&gt;"",PaymentSchedule34[[#This Row],[BEGINNING BALANCE]]*(InterestRate/PaymentsPerYear),"")</f>
        <v>6854.8440246211212</v>
      </c>
      <c r="J5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1933667.8116844636</v>
      </c>
      <c r="K50" s="19">
        <f>IF(PaymentSchedule34[[#This Row],[PMT NO]]&lt;&gt;"",SUM(INDEX(PaymentSchedule34[INTEREST],1,1):PaymentSchedule34[[#This Row],[INTEREST]]),"")</f>
        <v>271891.56760200945</v>
      </c>
    </row>
    <row r="51" spans="2:11" x14ac:dyDescent="0.3">
      <c r="B51" s="21">
        <f>IF(LoanIsGood,IF(ROW()-ROW(PaymentSchedule34[[#Headers],[PMT NO]])&gt;ScheduledNumberOfPayments,"",ROW()-ROW(PaymentSchedule34[[#Headers],[PMT NO]])),"")</f>
        <v>40</v>
      </c>
      <c r="C51" s="20">
        <f>IF(PaymentSchedule34[[#This Row],[PMT NO]]&lt;&gt;"",EOMONTH(LoanStartDate,ROW(PaymentSchedule34[[#This Row],[PMT NO]])-ROW(PaymentSchedule34[[#Headers],[PMT NO]])-2)+DAY(LoanStartDate),"")</f>
        <v>44835</v>
      </c>
      <c r="D51" s="19">
        <f>IF(PaymentSchedule34[[#This Row],[PMT NO]]&lt;&gt;"",IF(ROW()-ROW(PaymentSchedule34[[#Headers],[BEGINNING BALANCE]])=1,LoanAmount,INDEX(PaymentSchedule34[ENDING BALANCE],ROW()-ROW(PaymentSchedule34[[#Headers],[BEGINNING BALANCE]])-1)),"")</f>
        <v>1933667.8116844636</v>
      </c>
      <c r="E51" s="19">
        <f>IF(PaymentSchedule34[[#This Row],[PMT NO]]&lt;&gt;"",ScheduledPayment,"")</f>
        <v>8672.4039978858091</v>
      </c>
      <c r="F5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5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51" s="19">
        <f>IF(PaymentSchedule34[[#This Row],[PMT NO]]&lt;&gt;"",PaymentSchedule34[[#This Row],[TOTAL PAYMENT]]-PaymentSchedule34[[#This Row],[INTEREST]],"")</f>
        <v>1823.9971648366663</v>
      </c>
      <c r="I51" s="19">
        <f>IF(PaymentSchedule34[[#This Row],[PMT NO]]&lt;&gt;"",PaymentSchedule34[[#This Row],[BEGINNING BALANCE]]*(InterestRate/PaymentsPerYear),"")</f>
        <v>6848.4068330491427</v>
      </c>
      <c r="J5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1931843.814519627</v>
      </c>
      <c r="K51" s="19">
        <f>IF(PaymentSchedule34[[#This Row],[PMT NO]]&lt;&gt;"",SUM(INDEX(PaymentSchedule34[INTEREST],1,1):PaymentSchedule34[[#This Row],[INTEREST]]),"")</f>
        <v>278739.9744350586</v>
      </c>
    </row>
    <row r="52" spans="2:11" x14ac:dyDescent="0.3">
      <c r="B52" s="21">
        <f>IF(LoanIsGood,IF(ROW()-ROW(PaymentSchedule34[[#Headers],[PMT NO]])&gt;ScheduledNumberOfPayments,"",ROW()-ROW(PaymentSchedule34[[#Headers],[PMT NO]])),"")</f>
        <v>41</v>
      </c>
      <c r="C52" s="20">
        <f>IF(PaymentSchedule34[[#This Row],[PMT NO]]&lt;&gt;"",EOMONTH(LoanStartDate,ROW(PaymentSchedule34[[#This Row],[PMT NO]])-ROW(PaymentSchedule34[[#Headers],[PMT NO]])-2)+DAY(LoanStartDate),"")</f>
        <v>44866</v>
      </c>
      <c r="D52" s="19">
        <f>IF(PaymentSchedule34[[#This Row],[PMT NO]]&lt;&gt;"",IF(ROW()-ROW(PaymentSchedule34[[#Headers],[BEGINNING BALANCE]])=1,LoanAmount,INDEX(PaymentSchedule34[ENDING BALANCE],ROW()-ROW(PaymentSchedule34[[#Headers],[BEGINNING BALANCE]])-1)),"")</f>
        <v>1931843.814519627</v>
      </c>
      <c r="E52" s="19">
        <f>IF(PaymentSchedule34[[#This Row],[PMT NO]]&lt;&gt;"",ScheduledPayment,"")</f>
        <v>8672.4039978858091</v>
      </c>
      <c r="F5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5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52" s="19">
        <f>IF(PaymentSchedule34[[#This Row],[PMT NO]]&lt;&gt;"",PaymentSchedule34[[#This Row],[TOTAL PAYMENT]]-PaymentSchedule34[[#This Row],[INTEREST]],"")</f>
        <v>1830.4571547954629</v>
      </c>
      <c r="I52" s="19">
        <f>IF(PaymentSchedule34[[#This Row],[PMT NO]]&lt;&gt;"",PaymentSchedule34[[#This Row],[BEGINNING BALANCE]]*(InterestRate/PaymentsPerYear),"")</f>
        <v>6841.9468430903462</v>
      </c>
      <c r="J5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1930013.3573648315</v>
      </c>
      <c r="K52" s="19">
        <f>IF(PaymentSchedule34[[#This Row],[PMT NO]]&lt;&gt;"",SUM(INDEX(PaymentSchedule34[INTEREST],1,1):PaymentSchedule34[[#This Row],[INTEREST]]),"")</f>
        <v>285581.92127814895</v>
      </c>
    </row>
    <row r="53" spans="2:11" x14ac:dyDescent="0.3">
      <c r="B53" s="21">
        <f>IF(LoanIsGood,IF(ROW()-ROW(PaymentSchedule34[[#Headers],[PMT NO]])&gt;ScheduledNumberOfPayments,"",ROW()-ROW(PaymentSchedule34[[#Headers],[PMT NO]])),"")</f>
        <v>42</v>
      </c>
      <c r="C53" s="20">
        <f>IF(PaymentSchedule34[[#This Row],[PMT NO]]&lt;&gt;"",EOMONTH(LoanStartDate,ROW(PaymentSchedule34[[#This Row],[PMT NO]])-ROW(PaymentSchedule34[[#Headers],[PMT NO]])-2)+DAY(LoanStartDate),"")</f>
        <v>44896</v>
      </c>
      <c r="D53" s="19">
        <f>IF(PaymentSchedule34[[#This Row],[PMT NO]]&lt;&gt;"",IF(ROW()-ROW(PaymentSchedule34[[#Headers],[BEGINNING BALANCE]])=1,LoanAmount,INDEX(PaymentSchedule34[ENDING BALANCE],ROW()-ROW(PaymentSchedule34[[#Headers],[BEGINNING BALANCE]])-1)),"")</f>
        <v>1930013.3573648315</v>
      </c>
      <c r="E53" s="19">
        <f>IF(PaymentSchedule34[[#This Row],[PMT NO]]&lt;&gt;"",ScheduledPayment,"")</f>
        <v>8672.4039978858091</v>
      </c>
      <c r="F5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5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53" s="19">
        <f>IF(PaymentSchedule34[[#This Row],[PMT NO]]&lt;&gt;"",PaymentSchedule34[[#This Row],[TOTAL PAYMENT]]-PaymentSchedule34[[#This Row],[INTEREST]],"")</f>
        <v>1836.9400238853641</v>
      </c>
      <c r="I53" s="19">
        <f>IF(PaymentSchedule34[[#This Row],[PMT NO]]&lt;&gt;"",PaymentSchedule34[[#This Row],[BEGINNING BALANCE]]*(InterestRate/PaymentsPerYear),"")</f>
        <v>6835.463974000445</v>
      </c>
      <c r="J5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1928176.4173409462</v>
      </c>
      <c r="K53" s="19">
        <f>IF(PaymentSchedule34[[#This Row],[PMT NO]]&lt;&gt;"",SUM(INDEX(PaymentSchedule34[INTEREST],1,1):PaymentSchedule34[[#This Row],[INTEREST]]),"")</f>
        <v>292417.38525214937</v>
      </c>
    </row>
    <row r="54" spans="2:11" x14ac:dyDescent="0.3">
      <c r="B54" s="21">
        <f>IF(LoanIsGood,IF(ROW()-ROW(PaymentSchedule34[[#Headers],[PMT NO]])&gt;ScheduledNumberOfPayments,"",ROW()-ROW(PaymentSchedule34[[#Headers],[PMT NO]])),"")</f>
        <v>43</v>
      </c>
      <c r="C54" s="20">
        <f>IF(PaymentSchedule34[[#This Row],[PMT NO]]&lt;&gt;"",EOMONTH(LoanStartDate,ROW(PaymentSchedule34[[#This Row],[PMT NO]])-ROW(PaymentSchedule34[[#Headers],[PMT NO]])-2)+DAY(LoanStartDate),"")</f>
        <v>44927</v>
      </c>
      <c r="D54" s="19">
        <f>IF(PaymentSchedule34[[#This Row],[PMT NO]]&lt;&gt;"",IF(ROW()-ROW(PaymentSchedule34[[#Headers],[BEGINNING BALANCE]])=1,LoanAmount,INDEX(PaymentSchedule34[ENDING BALANCE],ROW()-ROW(PaymentSchedule34[[#Headers],[BEGINNING BALANCE]])-1)),"")</f>
        <v>1928176.4173409462</v>
      </c>
      <c r="E54" s="19">
        <f>IF(PaymentSchedule34[[#This Row],[PMT NO]]&lt;&gt;"",ScheduledPayment,"")</f>
        <v>8672.4039978858091</v>
      </c>
      <c r="F5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5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54" s="19">
        <f>IF(PaymentSchedule34[[#This Row],[PMT NO]]&lt;&gt;"",PaymentSchedule34[[#This Row],[TOTAL PAYMENT]]-PaymentSchedule34[[#This Row],[INTEREST]],"")</f>
        <v>1843.4458531366245</v>
      </c>
      <c r="I54" s="19">
        <f>IF(PaymentSchedule34[[#This Row],[PMT NO]]&lt;&gt;"",PaymentSchedule34[[#This Row],[BEGINNING BALANCE]]*(InterestRate/PaymentsPerYear),"")</f>
        <v>6828.9581447491846</v>
      </c>
      <c r="J5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1926332.9714878094</v>
      </c>
      <c r="K54" s="19">
        <f>IF(PaymentSchedule34[[#This Row],[PMT NO]]&lt;&gt;"",SUM(INDEX(PaymentSchedule34[INTEREST],1,1):PaymentSchedule34[[#This Row],[INTEREST]]),"")</f>
        <v>299246.34339689853</v>
      </c>
    </row>
    <row r="55" spans="2:11" x14ac:dyDescent="0.3">
      <c r="B55" s="21">
        <f>IF(LoanIsGood,IF(ROW()-ROW(PaymentSchedule34[[#Headers],[PMT NO]])&gt;ScheduledNumberOfPayments,"",ROW()-ROW(PaymentSchedule34[[#Headers],[PMT NO]])),"")</f>
        <v>44</v>
      </c>
      <c r="C55" s="20">
        <f>IF(PaymentSchedule34[[#This Row],[PMT NO]]&lt;&gt;"",EOMONTH(LoanStartDate,ROW(PaymentSchedule34[[#This Row],[PMT NO]])-ROW(PaymentSchedule34[[#Headers],[PMT NO]])-2)+DAY(LoanStartDate),"")</f>
        <v>44958</v>
      </c>
      <c r="D55" s="19">
        <f>IF(PaymentSchedule34[[#This Row],[PMT NO]]&lt;&gt;"",IF(ROW()-ROW(PaymentSchedule34[[#Headers],[BEGINNING BALANCE]])=1,LoanAmount,INDEX(PaymentSchedule34[ENDING BALANCE],ROW()-ROW(PaymentSchedule34[[#Headers],[BEGINNING BALANCE]])-1)),"")</f>
        <v>1926332.9714878094</v>
      </c>
      <c r="E55" s="19">
        <f>IF(PaymentSchedule34[[#This Row],[PMT NO]]&lt;&gt;"",ScheduledPayment,"")</f>
        <v>8672.4039978858091</v>
      </c>
      <c r="F5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5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55" s="19">
        <f>IF(PaymentSchedule34[[#This Row],[PMT NO]]&lt;&gt;"",PaymentSchedule34[[#This Row],[TOTAL PAYMENT]]-PaymentSchedule34[[#This Row],[INTEREST]],"")</f>
        <v>1849.9747238664831</v>
      </c>
      <c r="I55" s="19">
        <f>IF(PaymentSchedule34[[#This Row],[PMT NO]]&lt;&gt;"",PaymentSchedule34[[#This Row],[BEGINNING BALANCE]]*(InterestRate/PaymentsPerYear),"")</f>
        <v>6822.4292740193259</v>
      </c>
      <c r="J5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1924482.996763943</v>
      </c>
      <c r="K55" s="19">
        <f>IF(PaymentSchedule34[[#This Row],[PMT NO]]&lt;&gt;"",SUM(INDEX(PaymentSchedule34[INTEREST],1,1):PaymentSchedule34[[#This Row],[INTEREST]]),"")</f>
        <v>306068.77267091785</v>
      </c>
    </row>
    <row r="56" spans="2:11" x14ac:dyDescent="0.3">
      <c r="B56" s="21">
        <f>IF(LoanIsGood,IF(ROW()-ROW(PaymentSchedule34[[#Headers],[PMT NO]])&gt;ScheduledNumberOfPayments,"",ROW()-ROW(PaymentSchedule34[[#Headers],[PMT NO]])),"")</f>
        <v>45</v>
      </c>
      <c r="C56" s="20">
        <f>IF(PaymentSchedule34[[#This Row],[PMT NO]]&lt;&gt;"",EOMONTH(LoanStartDate,ROW(PaymentSchedule34[[#This Row],[PMT NO]])-ROW(PaymentSchedule34[[#Headers],[PMT NO]])-2)+DAY(LoanStartDate),"")</f>
        <v>44986</v>
      </c>
      <c r="D56" s="19">
        <f>IF(PaymentSchedule34[[#This Row],[PMT NO]]&lt;&gt;"",IF(ROW()-ROW(PaymentSchedule34[[#Headers],[BEGINNING BALANCE]])=1,LoanAmount,INDEX(PaymentSchedule34[ENDING BALANCE],ROW()-ROW(PaymentSchedule34[[#Headers],[BEGINNING BALANCE]])-1)),"")</f>
        <v>1924482.996763943</v>
      </c>
      <c r="E56" s="19">
        <f>IF(PaymentSchedule34[[#This Row],[PMT NO]]&lt;&gt;"",ScheduledPayment,"")</f>
        <v>8672.4039978858091</v>
      </c>
      <c r="F5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5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56" s="19">
        <f>IF(PaymentSchedule34[[#This Row],[PMT NO]]&lt;&gt;"",PaymentSchedule34[[#This Row],[TOTAL PAYMENT]]-PaymentSchedule34[[#This Row],[INTEREST]],"")</f>
        <v>1856.5267176801772</v>
      </c>
      <c r="I56" s="19">
        <f>IF(PaymentSchedule34[[#This Row],[PMT NO]]&lt;&gt;"",PaymentSchedule34[[#This Row],[BEGINNING BALANCE]]*(InterestRate/PaymentsPerYear),"")</f>
        <v>6815.8772802056319</v>
      </c>
      <c r="J5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1922626.4700462627</v>
      </c>
      <c r="K56" s="19">
        <f>IF(PaymentSchedule34[[#This Row],[PMT NO]]&lt;&gt;"",SUM(INDEX(PaymentSchedule34[INTEREST],1,1):PaymentSchedule34[[#This Row],[INTEREST]]),"")</f>
        <v>312884.64995112346</v>
      </c>
    </row>
    <row r="57" spans="2:11" x14ac:dyDescent="0.3">
      <c r="B57" s="21">
        <f>IF(LoanIsGood,IF(ROW()-ROW(PaymentSchedule34[[#Headers],[PMT NO]])&gt;ScheduledNumberOfPayments,"",ROW()-ROW(PaymentSchedule34[[#Headers],[PMT NO]])),"")</f>
        <v>46</v>
      </c>
      <c r="C57" s="20">
        <f>IF(PaymentSchedule34[[#This Row],[PMT NO]]&lt;&gt;"",EOMONTH(LoanStartDate,ROW(PaymentSchedule34[[#This Row],[PMT NO]])-ROW(PaymentSchedule34[[#Headers],[PMT NO]])-2)+DAY(LoanStartDate),"")</f>
        <v>45017</v>
      </c>
      <c r="D57" s="19">
        <f>IF(PaymentSchedule34[[#This Row],[PMT NO]]&lt;&gt;"",IF(ROW()-ROW(PaymentSchedule34[[#Headers],[BEGINNING BALANCE]])=1,LoanAmount,INDEX(PaymentSchedule34[ENDING BALANCE],ROW()-ROW(PaymentSchedule34[[#Headers],[BEGINNING BALANCE]])-1)),"")</f>
        <v>1922626.4700462627</v>
      </c>
      <c r="E57" s="19">
        <f>IF(PaymentSchedule34[[#This Row],[PMT NO]]&lt;&gt;"",ScheduledPayment,"")</f>
        <v>8672.4039978858091</v>
      </c>
      <c r="F5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5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57" s="19">
        <f>IF(PaymentSchedule34[[#This Row],[PMT NO]]&lt;&gt;"",PaymentSchedule34[[#This Row],[TOTAL PAYMENT]]-PaymentSchedule34[[#This Row],[INTEREST]],"")</f>
        <v>1863.1019164719619</v>
      </c>
      <c r="I57" s="19">
        <f>IF(PaymentSchedule34[[#This Row],[PMT NO]]&lt;&gt;"",PaymentSchedule34[[#This Row],[BEGINNING BALANCE]]*(InterestRate/PaymentsPerYear),"")</f>
        <v>6809.3020814138472</v>
      </c>
      <c r="J5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1920763.3681297908</v>
      </c>
      <c r="K57" s="19">
        <f>IF(PaymentSchedule34[[#This Row],[PMT NO]]&lt;&gt;"",SUM(INDEX(PaymentSchedule34[INTEREST],1,1):PaymentSchedule34[[#This Row],[INTEREST]]),"")</f>
        <v>319693.95203253732</v>
      </c>
    </row>
    <row r="58" spans="2:11" x14ac:dyDescent="0.3">
      <c r="B58" s="21">
        <f>IF(LoanIsGood,IF(ROW()-ROW(PaymentSchedule34[[#Headers],[PMT NO]])&gt;ScheduledNumberOfPayments,"",ROW()-ROW(PaymentSchedule34[[#Headers],[PMT NO]])),"")</f>
        <v>47</v>
      </c>
      <c r="C58" s="20">
        <f>IF(PaymentSchedule34[[#This Row],[PMT NO]]&lt;&gt;"",EOMONTH(LoanStartDate,ROW(PaymentSchedule34[[#This Row],[PMT NO]])-ROW(PaymentSchedule34[[#Headers],[PMT NO]])-2)+DAY(LoanStartDate),"")</f>
        <v>45047</v>
      </c>
      <c r="D58" s="19">
        <f>IF(PaymentSchedule34[[#This Row],[PMT NO]]&lt;&gt;"",IF(ROW()-ROW(PaymentSchedule34[[#Headers],[BEGINNING BALANCE]])=1,LoanAmount,INDEX(PaymentSchedule34[ENDING BALANCE],ROW()-ROW(PaymentSchedule34[[#Headers],[BEGINNING BALANCE]])-1)),"")</f>
        <v>1920763.3681297908</v>
      </c>
      <c r="E58" s="19">
        <f>IF(PaymentSchedule34[[#This Row],[PMT NO]]&lt;&gt;"",ScheduledPayment,"")</f>
        <v>8672.4039978858091</v>
      </c>
      <c r="F5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5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58" s="19">
        <f>IF(PaymentSchedule34[[#This Row],[PMT NO]]&lt;&gt;"",PaymentSchedule34[[#This Row],[TOTAL PAYMENT]]-PaymentSchedule34[[#This Row],[INTEREST]],"")</f>
        <v>1869.7004024261332</v>
      </c>
      <c r="I58" s="19">
        <f>IF(PaymentSchedule34[[#This Row],[PMT NO]]&lt;&gt;"",PaymentSchedule34[[#This Row],[BEGINNING BALANCE]]*(InterestRate/PaymentsPerYear),"")</f>
        <v>6802.7035954596759</v>
      </c>
      <c r="J5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1918893.6677273647</v>
      </c>
      <c r="K58" s="19">
        <f>IF(PaymentSchedule34[[#This Row],[PMT NO]]&lt;&gt;"",SUM(INDEX(PaymentSchedule34[INTEREST],1,1):PaymentSchedule34[[#This Row],[INTEREST]]),"")</f>
        <v>326496.65562799701</v>
      </c>
    </row>
    <row r="59" spans="2:11" x14ac:dyDescent="0.3">
      <c r="B59" s="21">
        <f>IF(LoanIsGood,IF(ROW()-ROW(PaymentSchedule34[[#Headers],[PMT NO]])&gt;ScheduledNumberOfPayments,"",ROW()-ROW(PaymentSchedule34[[#Headers],[PMT NO]])),"")</f>
        <v>48</v>
      </c>
      <c r="C59" s="20">
        <f>IF(PaymentSchedule34[[#This Row],[PMT NO]]&lt;&gt;"",EOMONTH(LoanStartDate,ROW(PaymentSchedule34[[#This Row],[PMT NO]])-ROW(PaymentSchedule34[[#Headers],[PMT NO]])-2)+DAY(LoanStartDate),"")</f>
        <v>45078</v>
      </c>
      <c r="D59" s="19">
        <f>IF(PaymentSchedule34[[#This Row],[PMT NO]]&lt;&gt;"",IF(ROW()-ROW(PaymentSchedule34[[#Headers],[BEGINNING BALANCE]])=1,LoanAmount,INDEX(PaymentSchedule34[ENDING BALANCE],ROW()-ROW(PaymentSchedule34[[#Headers],[BEGINNING BALANCE]])-1)),"")</f>
        <v>1918893.6677273647</v>
      </c>
      <c r="E59" s="19">
        <f>IF(PaymentSchedule34[[#This Row],[PMT NO]]&lt;&gt;"",ScheduledPayment,"")</f>
        <v>8672.4039978858091</v>
      </c>
      <c r="F5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5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59" s="19">
        <f>IF(PaymentSchedule34[[#This Row],[PMT NO]]&lt;&gt;"",PaymentSchedule34[[#This Row],[TOTAL PAYMENT]]-PaymentSchedule34[[#This Row],[INTEREST]],"")</f>
        <v>1876.3222580180591</v>
      </c>
      <c r="I59" s="19">
        <f>IF(PaymentSchedule34[[#This Row],[PMT NO]]&lt;&gt;"",PaymentSchedule34[[#This Row],[BEGINNING BALANCE]]*(InterestRate/PaymentsPerYear),"")</f>
        <v>6796.08173986775</v>
      </c>
      <c r="J5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1917017.3454693467</v>
      </c>
      <c r="K59" s="19">
        <f>IF(PaymentSchedule34[[#This Row],[PMT NO]]&lt;&gt;"",SUM(INDEX(PaymentSchedule34[INTEREST],1,1):PaymentSchedule34[[#This Row],[INTEREST]]),"")</f>
        <v>333292.73736786476</v>
      </c>
    </row>
    <row r="60" spans="2:11" x14ac:dyDescent="0.3">
      <c r="B60" s="21">
        <f>IF(LoanIsGood,IF(ROW()-ROW(PaymentSchedule34[[#Headers],[PMT NO]])&gt;ScheduledNumberOfPayments,"",ROW()-ROW(PaymentSchedule34[[#Headers],[PMT NO]])),"")</f>
        <v>49</v>
      </c>
      <c r="C60" s="20">
        <f>IF(PaymentSchedule34[[#This Row],[PMT NO]]&lt;&gt;"",EOMONTH(LoanStartDate,ROW(PaymentSchedule34[[#This Row],[PMT NO]])-ROW(PaymentSchedule34[[#Headers],[PMT NO]])-2)+DAY(LoanStartDate),"")</f>
        <v>45108</v>
      </c>
      <c r="D60" s="19">
        <f>IF(PaymentSchedule34[[#This Row],[PMT NO]]&lt;&gt;"",IF(ROW()-ROW(PaymentSchedule34[[#Headers],[BEGINNING BALANCE]])=1,LoanAmount,INDEX(PaymentSchedule34[ENDING BALANCE],ROW()-ROW(PaymentSchedule34[[#Headers],[BEGINNING BALANCE]])-1)),"")</f>
        <v>1917017.3454693467</v>
      </c>
      <c r="E60" s="19">
        <f>IF(PaymentSchedule34[[#This Row],[PMT NO]]&lt;&gt;"",ScheduledPayment,"")</f>
        <v>8672.4039978858091</v>
      </c>
      <c r="F6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6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60" s="19">
        <f>IF(PaymentSchedule34[[#This Row],[PMT NO]]&lt;&gt;"",PaymentSchedule34[[#This Row],[TOTAL PAYMENT]]-PaymentSchedule34[[#This Row],[INTEREST]],"")</f>
        <v>1882.9675660152052</v>
      </c>
      <c r="I60" s="19">
        <f>IF(PaymentSchedule34[[#This Row],[PMT NO]]&lt;&gt;"",PaymentSchedule34[[#This Row],[BEGINNING BALANCE]]*(InterestRate/PaymentsPerYear),"")</f>
        <v>6789.4364318706039</v>
      </c>
      <c r="J6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1915134.3779033315</v>
      </c>
      <c r="K60" s="19">
        <f>IF(PaymentSchedule34[[#This Row],[PMT NO]]&lt;&gt;"",SUM(INDEX(PaymentSchedule34[INTEREST],1,1):PaymentSchedule34[[#This Row],[INTEREST]]),"")</f>
        <v>340082.17379973538</v>
      </c>
    </row>
    <row r="61" spans="2:11" x14ac:dyDescent="0.3">
      <c r="B61" s="21">
        <f>IF(LoanIsGood,IF(ROW()-ROW(PaymentSchedule34[[#Headers],[PMT NO]])&gt;ScheduledNumberOfPayments,"",ROW()-ROW(PaymentSchedule34[[#Headers],[PMT NO]])),"")</f>
        <v>50</v>
      </c>
      <c r="C61" s="20">
        <f>IF(PaymentSchedule34[[#This Row],[PMT NO]]&lt;&gt;"",EOMONTH(LoanStartDate,ROW(PaymentSchedule34[[#This Row],[PMT NO]])-ROW(PaymentSchedule34[[#Headers],[PMT NO]])-2)+DAY(LoanStartDate),"")</f>
        <v>45139</v>
      </c>
      <c r="D61" s="19">
        <f>IF(PaymentSchedule34[[#This Row],[PMT NO]]&lt;&gt;"",IF(ROW()-ROW(PaymentSchedule34[[#Headers],[BEGINNING BALANCE]])=1,LoanAmount,INDEX(PaymentSchedule34[ENDING BALANCE],ROW()-ROW(PaymentSchedule34[[#Headers],[BEGINNING BALANCE]])-1)),"")</f>
        <v>1915134.3779033315</v>
      </c>
      <c r="E61" s="19">
        <f>IF(PaymentSchedule34[[#This Row],[PMT NO]]&lt;&gt;"",ScheduledPayment,"")</f>
        <v>8672.4039978858091</v>
      </c>
      <c r="F6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6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61" s="19">
        <f>IF(PaymentSchedule34[[#This Row],[PMT NO]]&lt;&gt;"",PaymentSchedule34[[#This Row],[TOTAL PAYMENT]]-PaymentSchedule34[[#This Row],[INTEREST]],"")</f>
        <v>1889.6364094781757</v>
      </c>
      <c r="I61" s="19">
        <f>IF(PaymentSchedule34[[#This Row],[PMT NO]]&lt;&gt;"",PaymentSchedule34[[#This Row],[BEGINNING BALANCE]]*(InterestRate/PaymentsPerYear),"")</f>
        <v>6782.7675884076334</v>
      </c>
      <c r="J6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1913244.7414938533</v>
      </c>
      <c r="K61" s="19">
        <f>IF(PaymentSchedule34[[#This Row],[PMT NO]]&lt;&gt;"",SUM(INDEX(PaymentSchedule34[INTEREST],1,1):PaymentSchedule34[[#This Row],[INTEREST]]),"")</f>
        <v>346864.94138814299</v>
      </c>
    </row>
    <row r="62" spans="2:11" x14ac:dyDescent="0.3">
      <c r="B62" s="21">
        <f>IF(LoanIsGood,IF(ROW()-ROW(PaymentSchedule34[[#Headers],[PMT NO]])&gt;ScheduledNumberOfPayments,"",ROW()-ROW(PaymentSchedule34[[#Headers],[PMT NO]])),"")</f>
        <v>51</v>
      </c>
      <c r="C62" s="20">
        <f>IF(PaymentSchedule34[[#This Row],[PMT NO]]&lt;&gt;"",EOMONTH(LoanStartDate,ROW(PaymentSchedule34[[#This Row],[PMT NO]])-ROW(PaymentSchedule34[[#Headers],[PMT NO]])-2)+DAY(LoanStartDate),"")</f>
        <v>45170</v>
      </c>
      <c r="D62" s="19">
        <f>IF(PaymentSchedule34[[#This Row],[PMT NO]]&lt;&gt;"",IF(ROW()-ROW(PaymentSchedule34[[#Headers],[BEGINNING BALANCE]])=1,LoanAmount,INDEX(PaymentSchedule34[ENDING BALANCE],ROW()-ROW(PaymentSchedule34[[#Headers],[BEGINNING BALANCE]])-1)),"")</f>
        <v>1913244.7414938533</v>
      </c>
      <c r="E62" s="19">
        <f>IF(PaymentSchedule34[[#This Row],[PMT NO]]&lt;&gt;"",ScheduledPayment,"")</f>
        <v>8672.4039978858091</v>
      </c>
      <c r="F6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6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62" s="19">
        <f>IF(PaymentSchedule34[[#This Row],[PMT NO]]&lt;&gt;"",PaymentSchedule34[[#This Row],[TOTAL PAYMENT]]-PaymentSchedule34[[#This Row],[INTEREST]],"")</f>
        <v>1896.3288717617452</v>
      </c>
      <c r="I62" s="19">
        <f>IF(PaymentSchedule34[[#This Row],[PMT NO]]&lt;&gt;"",PaymentSchedule34[[#This Row],[BEGINNING BALANCE]]*(InterestRate/PaymentsPerYear),"")</f>
        <v>6776.0751261240639</v>
      </c>
      <c r="J6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1911348.4126220916</v>
      </c>
      <c r="K62" s="19">
        <f>IF(PaymentSchedule34[[#This Row],[PMT NO]]&lt;&gt;"",SUM(INDEX(PaymentSchedule34[INTEREST],1,1):PaymentSchedule34[[#This Row],[INTEREST]]),"")</f>
        <v>353641.01651426707</v>
      </c>
    </row>
    <row r="63" spans="2:11" x14ac:dyDescent="0.3">
      <c r="B63" s="21">
        <f>IF(LoanIsGood,IF(ROW()-ROW(PaymentSchedule34[[#Headers],[PMT NO]])&gt;ScheduledNumberOfPayments,"",ROW()-ROW(PaymentSchedule34[[#Headers],[PMT NO]])),"")</f>
        <v>52</v>
      </c>
      <c r="C63" s="20">
        <f>IF(PaymentSchedule34[[#This Row],[PMT NO]]&lt;&gt;"",EOMONTH(LoanStartDate,ROW(PaymentSchedule34[[#This Row],[PMT NO]])-ROW(PaymentSchedule34[[#Headers],[PMT NO]])-2)+DAY(LoanStartDate),"")</f>
        <v>45200</v>
      </c>
      <c r="D63" s="19">
        <f>IF(PaymentSchedule34[[#This Row],[PMT NO]]&lt;&gt;"",IF(ROW()-ROW(PaymentSchedule34[[#Headers],[BEGINNING BALANCE]])=1,LoanAmount,INDEX(PaymentSchedule34[ENDING BALANCE],ROW()-ROW(PaymentSchedule34[[#Headers],[BEGINNING BALANCE]])-1)),"")</f>
        <v>1911348.4126220916</v>
      </c>
      <c r="E63" s="19">
        <f>IF(PaymentSchedule34[[#This Row],[PMT NO]]&lt;&gt;"",ScheduledPayment,"")</f>
        <v>8672.4039978858091</v>
      </c>
      <c r="F6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6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63" s="19">
        <f>IF(PaymentSchedule34[[#This Row],[PMT NO]]&lt;&gt;"",PaymentSchedule34[[#This Row],[TOTAL PAYMENT]]-PaymentSchedule34[[#This Row],[INTEREST]],"")</f>
        <v>1903.0450365159013</v>
      </c>
      <c r="I63" s="19">
        <f>IF(PaymentSchedule34[[#This Row],[PMT NO]]&lt;&gt;"",PaymentSchedule34[[#This Row],[BEGINNING BALANCE]]*(InterestRate/PaymentsPerYear),"")</f>
        <v>6769.3589613699078</v>
      </c>
      <c r="J6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1909445.3675855757</v>
      </c>
      <c r="K63" s="19">
        <f>IF(PaymentSchedule34[[#This Row],[PMT NO]]&lt;&gt;"",SUM(INDEX(PaymentSchedule34[INTEREST],1,1):PaymentSchedule34[[#This Row],[INTEREST]]),"")</f>
        <v>360410.37547563697</v>
      </c>
    </row>
    <row r="64" spans="2:11" x14ac:dyDescent="0.3">
      <c r="B64" s="21">
        <f>IF(LoanIsGood,IF(ROW()-ROW(PaymentSchedule34[[#Headers],[PMT NO]])&gt;ScheduledNumberOfPayments,"",ROW()-ROW(PaymentSchedule34[[#Headers],[PMT NO]])),"")</f>
        <v>53</v>
      </c>
      <c r="C64" s="20">
        <f>IF(PaymentSchedule34[[#This Row],[PMT NO]]&lt;&gt;"",EOMONTH(LoanStartDate,ROW(PaymentSchedule34[[#This Row],[PMT NO]])-ROW(PaymentSchedule34[[#Headers],[PMT NO]])-2)+DAY(LoanStartDate),"")</f>
        <v>45231</v>
      </c>
      <c r="D64" s="19">
        <f>IF(PaymentSchedule34[[#This Row],[PMT NO]]&lt;&gt;"",IF(ROW()-ROW(PaymentSchedule34[[#Headers],[BEGINNING BALANCE]])=1,LoanAmount,INDEX(PaymentSchedule34[ENDING BALANCE],ROW()-ROW(PaymentSchedule34[[#Headers],[BEGINNING BALANCE]])-1)),"")</f>
        <v>1909445.3675855757</v>
      </c>
      <c r="E64" s="19">
        <f>IF(PaymentSchedule34[[#This Row],[PMT NO]]&lt;&gt;"",ScheduledPayment,"")</f>
        <v>8672.4039978858091</v>
      </c>
      <c r="F6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6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64" s="19">
        <f>IF(PaymentSchedule34[[#This Row],[PMT NO]]&lt;&gt;"",PaymentSchedule34[[#This Row],[TOTAL PAYMENT]]-PaymentSchedule34[[#This Row],[INTEREST]],"")</f>
        <v>1909.784987686895</v>
      </c>
      <c r="I64" s="19">
        <f>IF(PaymentSchedule34[[#This Row],[PMT NO]]&lt;&gt;"",PaymentSchedule34[[#This Row],[BEGINNING BALANCE]]*(InterestRate/PaymentsPerYear),"")</f>
        <v>6762.6190101989141</v>
      </c>
      <c r="J6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1907535.5825978888</v>
      </c>
      <c r="K64" s="19">
        <f>IF(PaymentSchedule34[[#This Row],[PMT NO]]&lt;&gt;"",SUM(INDEX(PaymentSchedule34[INTEREST],1,1):PaymentSchedule34[[#This Row],[INTEREST]]),"")</f>
        <v>367172.99448583589</v>
      </c>
    </row>
    <row r="65" spans="2:11" x14ac:dyDescent="0.3">
      <c r="B65" s="21">
        <f>IF(LoanIsGood,IF(ROW()-ROW(PaymentSchedule34[[#Headers],[PMT NO]])&gt;ScheduledNumberOfPayments,"",ROW()-ROW(PaymentSchedule34[[#Headers],[PMT NO]])),"")</f>
        <v>54</v>
      </c>
      <c r="C65" s="20">
        <f>IF(PaymentSchedule34[[#This Row],[PMT NO]]&lt;&gt;"",EOMONTH(LoanStartDate,ROW(PaymentSchedule34[[#This Row],[PMT NO]])-ROW(PaymentSchedule34[[#Headers],[PMT NO]])-2)+DAY(LoanStartDate),"")</f>
        <v>45261</v>
      </c>
      <c r="D65" s="19">
        <f>IF(PaymentSchedule34[[#This Row],[PMT NO]]&lt;&gt;"",IF(ROW()-ROW(PaymentSchedule34[[#Headers],[BEGINNING BALANCE]])=1,LoanAmount,INDEX(PaymentSchedule34[ENDING BALANCE],ROW()-ROW(PaymentSchedule34[[#Headers],[BEGINNING BALANCE]])-1)),"")</f>
        <v>1907535.5825978888</v>
      </c>
      <c r="E65" s="19">
        <f>IF(PaymentSchedule34[[#This Row],[PMT NO]]&lt;&gt;"",ScheduledPayment,"")</f>
        <v>8672.4039978858091</v>
      </c>
      <c r="F6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6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65" s="19">
        <f>IF(PaymentSchedule34[[#This Row],[PMT NO]]&lt;&gt;"",PaymentSchedule34[[#This Row],[TOTAL PAYMENT]]-PaymentSchedule34[[#This Row],[INTEREST]],"")</f>
        <v>1916.5488095182855</v>
      </c>
      <c r="I65" s="19">
        <f>IF(PaymentSchedule34[[#This Row],[PMT NO]]&lt;&gt;"",PaymentSchedule34[[#This Row],[BEGINNING BALANCE]]*(InterestRate/PaymentsPerYear),"")</f>
        <v>6755.8551883675236</v>
      </c>
      <c r="J6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1905619.0337883704</v>
      </c>
      <c r="K65" s="19">
        <f>IF(PaymentSchedule34[[#This Row],[PMT NO]]&lt;&gt;"",SUM(INDEX(PaymentSchedule34[INTEREST],1,1):PaymentSchedule34[[#This Row],[INTEREST]]),"")</f>
        <v>373928.84967420343</v>
      </c>
    </row>
    <row r="66" spans="2:11" x14ac:dyDescent="0.3">
      <c r="B66" s="21">
        <f>IF(LoanIsGood,IF(ROW()-ROW(PaymentSchedule34[[#Headers],[PMT NO]])&gt;ScheduledNumberOfPayments,"",ROW()-ROW(PaymentSchedule34[[#Headers],[PMT NO]])),"")</f>
        <v>55</v>
      </c>
      <c r="C66" s="20">
        <f>IF(PaymentSchedule34[[#This Row],[PMT NO]]&lt;&gt;"",EOMONTH(LoanStartDate,ROW(PaymentSchedule34[[#This Row],[PMT NO]])-ROW(PaymentSchedule34[[#Headers],[PMT NO]])-2)+DAY(LoanStartDate),"")</f>
        <v>45292</v>
      </c>
      <c r="D66" s="19">
        <f>IF(PaymentSchedule34[[#This Row],[PMT NO]]&lt;&gt;"",IF(ROW()-ROW(PaymentSchedule34[[#Headers],[BEGINNING BALANCE]])=1,LoanAmount,INDEX(PaymentSchedule34[ENDING BALANCE],ROW()-ROW(PaymentSchedule34[[#Headers],[BEGINNING BALANCE]])-1)),"")</f>
        <v>1905619.0337883704</v>
      </c>
      <c r="E66" s="19">
        <f>IF(PaymentSchedule34[[#This Row],[PMT NO]]&lt;&gt;"",ScheduledPayment,"")</f>
        <v>8672.4039978858091</v>
      </c>
      <c r="F6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6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66" s="19">
        <f>IF(PaymentSchedule34[[#This Row],[PMT NO]]&lt;&gt;"",PaymentSchedule34[[#This Row],[TOTAL PAYMENT]]-PaymentSchedule34[[#This Row],[INTEREST]],"")</f>
        <v>1923.3365865519963</v>
      </c>
      <c r="I66" s="19">
        <f>IF(PaymentSchedule34[[#This Row],[PMT NO]]&lt;&gt;"",PaymentSchedule34[[#This Row],[BEGINNING BALANCE]]*(InterestRate/PaymentsPerYear),"")</f>
        <v>6749.0674113338127</v>
      </c>
      <c r="J6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1903695.6972018185</v>
      </c>
      <c r="K66" s="19">
        <f>IF(PaymentSchedule34[[#This Row],[PMT NO]]&lt;&gt;"",SUM(INDEX(PaymentSchedule34[INTEREST],1,1):PaymentSchedule34[[#This Row],[INTEREST]]),"")</f>
        <v>380677.91708553722</v>
      </c>
    </row>
    <row r="67" spans="2:11" x14ac:dyDescent="0.3">
      <c r="B67" s="21">
        <f>IF(LoanIsGood,IF(ROW()-ROW(PaymentSchedule34[[#Headers],[PMT NO]])&gt;ScheduledNumberOfPayments,"",ROW()-ROW(PaymentSchedule34[[#Headers],[PMT NO]])),"")</f>
        <v>56</v>
      </c>
      <c r="C67" s="20">
        <f>IF(PaymentSchedule34[[#This Row],[PMT NO]]&lt;&gt;"",EOMONTH(LoanStartDate,ROW(PaymentSchedule34[[#This Row],[PMT NO]])-ROW(PaymentSchedule34[[#Headers],[PMT NO]])-2)+DAY(LoanStartDate),"")</f>
        <v>45323</v>
      </c>
      <c r="D67" s="19">
        <f>IF(PaymentSchedule34[[#This Row],[PMT NO]]&lt;&gt;"",IF(ROW()-ROW(PaymentSchedule34[[#Headers],[BEGINNING BALANCE]])=1,LoanAmount,INDEX(PaymentSchedule34[ENDING BALANCE],ROW()-ROW(PaymentSchedule34[[#Headers],[BEGINNING BALANCE]])-1)),"")</f>
        <v>1903695.6972018185</v>
      </c>
      <c r="E67" s="19">
        <f>IF(PaymentSchedule34[[#This Row],[PMT NO]]&lt;&gt;"",ScheduledPayment,"")</f>
        <v>8672.4039978858091</v>
      </c>
      <c r="F6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6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67" s="19">
        <f>IF(PaymentSchedule34[[#This Row],[PMT NO]]&lt;&gt;"",PaymentSchedule34[[#This Row],[TOTAL PAYMENT]]-PaymentSchedule34[[#This Row],[INTEREST]],"")</f>
        <v>1930.1484036293687</v>
      </c>
      <c r="I67" s="19">
        <f>IF(PaymentSchedule34[[#This Row],[PMT NO]]&lt;&gt;"",PaymentSchedule34[[#This Row],[BEGINNING BALANCE]]*(InterestRate/PaymentsPerYear),"")</f>
        <v>6742.2555942564404</v>
      </c>
      <c r="J6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1901765.548798189</v>
      </c>
      <c r="K67" s="19">
        <f>IF(PaymentSchedule34[[#This Row],[PMT NO]]&lt;&gt;"",SUM(INDEX(PaymentSchedule34[INTEREST],1,1):PaymentSchedule34[[#This Row],[INTEREST]]),"")</f>
        <v>387420.17267979367</v>
      </c>
    </row>
    <row r="68" spans="2:11" x14ac:dyDescent="0.3">
      <c r="B68" s="21">
        <f>IF(LoanIsGood,IF(ROW()-ROW(PaymentSchedule34[[#Headers],[PMT NO]])&gt;ScheduledNumberOfPayments,"",ROW()-ROW(PaymentSchedule34[[#Headers],[PMT NO]])),"")</f>
        <v>57</v>
      </c>
      <c r="C68" s="20">
        <f>IF(PaymentSchedule34[[#This Row],[PMT NO]]&lt;&gt;"",EOMONTH(LoanStartDate,ROW(PaymentSchedule34[[#This Row],[PMT NO]])-ROW(PaymentSchedule34[[#Headers],[PMT NO]])-2)+DAY(LoanStartDate),"")</f>
        <v>45352</v>
      </c>
      <c r="D68" s="19">
        <f>IF(PaymentSchedule34[[#This Row],[PMT NO]]&lt;&gt;"",IF(ROW()-ROW(PaymentSchedule34[[#Headers],[BEGINNING BALANCE]])=1,LoanAmount,INDEX(PaymentSchedule34[ENDING BALANCE],ROW()-ROW(PaymentSchedule34[[#Headers],[BEGINNING BALANCE]])-1)),"")</f>
        <v>1901765.548798189</v>
      </c>
      <c r="E68" s="19">
        <f>IF(PaymentSchedule34[[#This Row],[PMT NO]]&lt;&gt;"",ScheduledPayment,"")</f>
        <v>8672.4039978858091</v>
      </c>
      <c r="F6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6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68" s="19">
        <f>IF(PaymentSchedule34[[#This Row],[PMT NO]]&lt;&gt;"",PaymentSchedule34[[#This Row],[TOTAL PAYMENT]]-PaymentSchedule34[[#This Row],[INTEREST]],"")</f>
        <v>1936.9843458922223</v>
      </c>
      <c r="I68" s="19">
        <f>IF(PaymentSchedule34[[#This Row],[PMT NO]]&lt;&gt;"",PaymentSchedule34[[#This Row],[BEGINNING BALANCE]]*(InterestRate/PaymentsPerYear),"")</f>
        <v>6735.4196519935867</v>
      </c>
      <c r="J6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1899828.5644522968</v>
      </c>
      <c r="K68" s="19">
        <f>IF(PaymentSchedule34[[#This Row],[PMT NO]]&lt;&gt;"",SUM(INDEX(PaymentSchedule34[INTEREST],1,1):PaymentSchedule34[[#This Row],[INTEREST]]),"")</f>
        <v>394155.59233178728</v>
      </c>
    </row>
    <row r="69" spans="2:11" x14ac:dyDescent="0.3">
      <c r="B69" s="21">
        <f>IF(LoanIsGood,IF(ROW()-ROW(PaymentSchedule34[[#Headers],[PMT NO]])&gt;ScheduledNumberOfPayments,"",ROW()-ROW(PaymentSchedule34[[#Headers],[PMT NO]])),"")</f>
        <v>58</v>
      </c>
      <c r="C69" s="20">
        <f>IF(PaymentSchedule34[[#This Row],[PMT NO]]&lt;&gt;"",EOMONTH(LoanStartDate,ROW(PaymentSchedule34[[#This Row],[PMT NO]])-ROW(PaymentSchedule34[[#Headers],[PMT NO]])-2)+DAY(LoanStartDate),"")</f>
        <v>45383</v>
      </c>
      <c r="D69" s="19">
        <f>IF(PaymentSchedule34[[#This Row],[PMT NO]]&lt;&gt;"",IF(ROW()-ROW(PaymentSchedule34[[#Headers],[BEGINNING BALANCE]])=1,LoanAmount,INDEX(PaymentSchedule34[ENDING BALANCE],ROW()-ROW(PaymentSchedule34[[#Headers],[BEGINNING BALANCE]])-1)),"")</f>
        <v>1899828.5644522968</v>
      </c>
      <c r="E69" s="19">
        <f>IF(PaymentSchedule34[[#This Row],[PMT NO]]&lt;&gt;"",ScheduledPayment,"")</f>
        <v>8672.4039978858091</v>
      </c>
      <c r="F6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6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69" s="19">
        <f>IF(PaymentSchedule34[[#This Row],[PMT NO]]&lt;&gt;"",PaymentSchedule34[[#This Row],[TOTAL PAYMENT]]-PaymentSchedule34[[#This Row],[INTEREST]],"")</f>
        <v>1943.8444987839239</v>
      </c>
      <c r="I69" s="19">
        <f>IF(PaymentSchedule34[[#This Row],[PMT NO]]&lt;&gt;"",PaymentSchedule34[[#This Row],[BEGINNING BALANCE]]*(InterestRate/PaymentsPerYear),"")</f>
        <v>6728.5594991018852</v>
      </c>
      <c r="J6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1897884.719953513</v>
      </c>
      <c r="K69" s="19">
        <f>IF(PaymentSchedule34[[#This Row],[PMT NO]]&lt;&gt;"",SUM(INDEX(PaymentSchedule34[INTEREST],1,1):PaymentSchedule34[[#This Row],[INTEREST]]),"")</f>
        <v>400884.15183088917</v>
      </c>
    </row>
    <row r="70" spans="2:11" x14ac:dyDescent="0.3">
      <c r="B70" s="21">
        <f>IF(LoanIsGood,IF(ROW()-ROW(PaymentSchedule34[[#Headers],[PMT NO]])&gt;ScheduledNumberOfPayments,"",ROW()-ROW(PaymentSchedule34[[#Headers],[PMT NO]])),"")</f>
        <v>59</v>
      </c>
      <c r="C70" s="20">
        <f>IF(PaymentSchedule34[[#This Row],[PMT NO]]&lt;&gt;"",EOMONTH(LoanStartDate,ROW(PaymentSchedule34[[#This Row],[PMT NO]])-ROW(PaymentSchedule34[[#Headers],[PMT NO]])-2)+DAY(LoanStartDate),"")</f>
        <v>45413</v>
      </c>
      <c r="D70" s="19">
        <f>IF(PaymentSchedule34[[#This Row],[PMT NO]]&lt;&gt;"",IF(ROW()-ROW(PaymentSchedule34[[#Headers],[BEGINNING BALANCE]])=1,LoanAmount,INDEX(PaymentSchedule34[ENDING BALANCE],ROW()-ROW(PaymentSchedule34[[#Headers],[BEGINNING BALANCE]])-1)),"")</f>
        <v>1897884.719953513</v>
      </c>
      <c r="E70" s="19">
        <f>IF(PaymentSchedule34[[#This Row],[PMT NO]]&lt;&gt;"",ScheduledPayment,"")</f>
        <v>8672.4039978858091</v>
      </c>
      <c r="F7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7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70" s="19">
        <f>IF(PaymentSchedule34[[#This Row],[PMT NO]]&lt;&gt;"",PaymentSchedule34[[#This Row],[TOTAL PAYMENT]]-PaymentSchedule34[[#This Row],[INTEREST]],"")</f>
        <v>1950.7289480504496</v>
      </c>
      <c r="I70" s="19">
        <f>IF(PaymentSchedule34[[#This Row],[PMT NO]]&lt;&gt;"",PaymentSchedule34[[#This Row],[BEGINNING BALANCE]]*(InterestRate/PaymentsPerYear),"")</f>
        <v>6721.6750498353595</v>
      </c>
      <c r="J7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1895933.9910054626</v>
      </c>
      <c r="K70" s="19">
        <f>IF(PaymentSchedule34[[#This Row],[PMT NO]]&lt;&gt;"",SUM(INDEX(PaymentSchedule34[INTEREST],1,1):PaymentSchedule34[[#This Row],[INTEREST]]),"")</f>
        <v>407605.82688072452</v>
      </c>
    </row>
    <row r="71" spans="2:11" x14ac:dyDescent="0.3">
      <c r="B71" s="21">
        <f>IF(LoanIsGood,IF(ROW()-ROW(PaymentSchedule34[[#Headers],[PMT NO]])&gt;ScheduledNumberOfPayments,"",ROW()-ROW(PaymentSchedule34[[#Headers],[PMT NO]])),"")</f>
        <v>60</v>
      </c>
      <c r="C71" s="20">
        <f>IF(PaymentSchedule34[[#This Row],[PMT NO]]&lt;&gt;"",EOMONTH(LoanStartDate,ROW(PaymentSchedule34[[#This Row],[PMT NO]])-ROW(PaymentSchedule34[[#Headers],[PMT NO]])-2)+DAY(LoanStartDate),"")</f>
        <v>45444</v>
      </c>
      <c r="D71" s="19">
        <f>IF(PaymentSchedule34[[#This Row],[PMT NO]]&lt;&gt;"",IF(ROW()-ROW(PaymentSchedule34[[#Headers],[BEGINNING BALANCE]])=1,LoanAmount,INDEX(PaymentSchedule34[ENDING BALANCE],ROW()-ROW(PaymentSchedule34[[#Headers],[BEGINNING BALANCE]])-1)),"")</f>
        <v>1895933.9910054626</v>
      </c>
      <c r="E71" s="19">
        <f>IF(PaymentSchedule34[[#This Row],[PMT NO]]&lt;&gt;"",ScheduledPayment,"")</f>
        <v>8672.4039978858091</v>
      </c>
      <c r="F7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7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71" s="19">
        <f>IF(PaymentSchedule34[[#This Row],[PMT NO]]&lt;&gt;"",PaymentSchedule34[[#This Row],[TOTAL PAYMENT]]-PaymentSchedule34[[#This Row],[INTEREST]],"")</f>
        <v>1957.6377797414616</v>
      </c>
      <c r="I71" s="19">
        <f>IF(PaymentSchedule34[[#This Row],[PMT NO]]&lt;&gt;"",PaymentSchedule34[[#This Row],[BEGINNING BALANCE]]*(InterestRate/PaymentsPerYear),"")</f>
        <v>6714.7662181443475</v>
      </c>
      <c r="J7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1893976.353225721</v>
      </c>
      <c r="K71" s="19">
        <f>IF(PaymentSchedule34[[#This Row],[PMT NO]]&lt;&gt;"",SUM(INDEX(PaymentSchedule34[INTEREST],1,1):PaymentSchedule34[[#This Row],[INTEREST]]),"")</f>
        <v>414320.59309886885</v>
      </c>
    </row>
    <row r="72" spans="2:11" x14ac:dyDescent="0.3">
      <c r="B72" s="21">
        <f>IF(LoanIsGood,IF(ROW()-ROW(PaymentSchedule34[[#Headers],[PMT NO]])&gt;ScheduledNumberOfPayments,"",ROW()-ROW(PaymentSchedule34[[#Headers],[PMT NO]])),"")</f>
        <v>61</v>
      </c>
      <c r="C72" s="20">
        <f>IF(PaymentSchedule34[[#This Row],[PMT NO]]&lt;&gt;"",EOMONTH(LoanStartDate,ROW(PaymentSchedule34[[#This Row],[PMT NO]])-ROW(PaymentSchedule34[[#Headers],[PMT NO]])-2)+DAY(LoanStartDate),"")</f>
        <v>45474</v>
      </c>
      <c r="D72" s="19">
        <f>IF(PaymentSchedule34[[#This Row],[PMT NO]]&lt;&gt;"",IF(ROW()-ROW(PaymentSchedule34[[#Headers],[BEGINNING BALANCE]])=1,LoanAmount,INDEX(PaymentSchedule34[ENDING BALANCE],ROW()-ROW(PaymentSchedule34[[#Headers],[BEGINNING BALANCE]])-1)),"")</f>
        <v>1893976.353225721</v>
      </c>
      <c r="E72" s="19">
        <f>IF(PaymentSchedule34[[#This Row],[PMT NO]]&lt;&gt;"",ScheduledPayment,"")</f>
        <v>8672.4039978858091</v>
      </c>
      <c r="F7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7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72" s="19">
        <f>IF(PaymentSchedule34[[#This Row],[PMT NO]]&lt;&gt;"",PaymentSchedule34[[#This Row],[TOTAL PAYMENT]]-PaymentSchedule34[[#This Row],[INTEREST]],"")</f>
        <v>1964.5710802113799</v>
      </c>
      <c r="I72" s="19">
        <f>IF(PaymentSchedule34[[#This Row],[PMT NO]]&lt;&gt;"",PaymentSchedule34[[#This Row],[BEGINNING BALANCE]]*(InterestRate/PaymentsPerYear),"")</f>
        <v>6707.8329176744292</v>
      </c>
      <c r="J7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1892011.7821455097</v>
      </c>
      <c r="K72" s="19">
        <f>IF(PaymentSchedule34[[#This Row],[PMT NO]]&lt;&gt;"",SUM(INDEX(PaymentSchedule34[INTEREST],1,1):PaymentSchedule34[[#This Row],[INTEREST]]),"")</f>
        <v>421028.42601654329</v>
      </c>
    </row>
    <row r="73" spans="2:11" x14ac:dyDescent="0.3">
      <c r="B73" s="21">
        <f>IF(LoanIsGood,IF(ROW()-ROW(PaymentSchedule34[[#Headers],[PMT NO]])&gt;ScheduledNumberOfPayments,"",ROW()-ROW(PaymentSchedule34[[#Headers],[PMT NO]])),"")</f>
        <v>62</v>
      </c>
      <c r="C73" s="20">
        <f>IF(PaymentSchedule34[[#This Row],[PMT NO]]&lt;&gt;"",EOMONTH(LoanStartDate,ROW(PaymentSchedule34[[#This Row],[PMT NO]])-ROW(PaymentSchedule34[[#Headers],[PMT NO]])-2)+DAY(LoanStartDate),"")</f>
        <v>45505</v>
      </c>
      <c r="D73" s="19">
        <f>IF(PaymentSchedule34[[#This Row],[PMT NO]]&lt;&gt;"",IF(ROW()-ROW(PaymentSchedule34[[#Headers],[BEGINNING BALANCE]])=1,LoanAmount,INDEX(PaymentSchedule34[ENDING BALANCE],ROW()-ROW(PaymentSchedule34[[#Headers],[BEGINNING BALANCE]])-1)),"")</f>
        <v>1892011.7821455097</v>
      </c>
      <c r="E73" s="19">
        <f>IF(PaymentSchedule34[[#This Row],[PMT NO]]&lt;&gt;"",ScheduledPayment,"")</f>
        <v>8672.4039978858091</v>
      </c>
      <c r="F7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7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73" s="19">
        <f>IF(PaymentSchedule34[[#This Row],[PMT NO]]&lt;&gt;"",PaymentSchedule34[[#This Row],[TOTAL PAYMENT]]-PaymentSchedule34[[#This Row],[INTEREST]],"")</f>
        <v>1971.5289361204614</v>
      </c>
      <c r="I73" s="19">
        <f>IF(PaymentSchedule34[[#This Row],[PMT NO]]&lt;&gt;"",PaymentSchedule34[[#This Row],[BEGINNING BALANCE]]*(InterestRate/PaymentsPerYear),"")</f>
        <v>6700.8750617653477</v>
      </c>
      <c r="J7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1890040.2532093893</v>
      </c>
      <c r="K73" s="19">
        <f>IF(PaymentSchedule34[[#This Row],[PMT NO]]&lt;&gt;"",SUM(INDEX(PaymentSchedule34[INTEREST],1,1):PaymentSchedule34[[#This Row],[INTEREST]]),"")</f>
        <v>427729.30107830866</v>
      </c>
    </row>
    <row r="74" spans="2:11" x14ac:dyDescent="0.3">
      <c r="B74" s="21">
        <f>IF(LoanIsGood,IF(ROW()-ROW(PaymentSchedule34[[#Headers],[PMT NO]])&gt;ScheduledNumberOfPayments,"",ROW()-ROW(PaymentSchedule34[[#Headers],[PMT NO]])),"")</f>
        <v>63</v>
      </c>
      <c r="C74" s="20">
        <f>IF(PaymentSchedule34[[#This Row],[PMT NO]]&lt;&gt;"",EOMONTH(LoanStartDate,ROW(PaymentSchedule34[[#This Row],[PMT NO]])-ROW(PaymentSchedule34[[#Headers],[PMT NO]])-2)+DAY(LoanStartDate),"")</f>
        <v>45536</v>
      </c>
      <c r="D74" s="19">
        <f>IF(PaymentSchedule34[[#This Row],[PMT NO]]&lt;&gt;"",IF(ROW()-ROW(PaymentSchedule34[[#Headers],[BEGINNING BALANCE]])=1,LoanAmount,INDEX(PaymentSchedule34[ENDING BALANCE],ROW()-ROW(PaymentSchedule34[[#Headers],[BEGINNING BALANCE]])-1)),"")</f>
        <v>1890040.2532093893</v>
      </c>
      <c r="E74" s="19">
        <f>IF(PaymentSchedule34[[#This Row],[PMT NO]]&lt;&gt;"",ScheduledPayment,"")</f>
        <v>8672.4039978858091</v>
      </c>
      <c r="F7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7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74" s="19">
        <f>IF(PaymentSchedule34[[#This Row],[PMT NO]]&lt;&gt;"",PaymentSchedule34[[#This Row],[TOTAL PAYMENT]]-PaymentSchedule34[[#This Row],[INTEREST]],"")</f>
        <v>1978.5114344358881</v>
      </c>
      <c r="I74" s="19">
        <f>IF(PaymentSchedule34[[#This Row],[PMT NO]]&lt;&gt;"",PaymentSchedule34[[#This Row],[BEGINNING BALANCE]]*(InterestRate/PaymentsPerYear),"")</f>
        <v>6693.892563449921</v>
      </c>
      <c r="J7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1888061.7417749534</v>
      </c>
      <c r="K74" s="19">
        <f>IF(PaymentSchedule34[[#This Row],[PMT NO]]&lt;&gt;"",SUM(INDEX(PaymentSchedule34[INTEREST],1,1):PaymentSchedule34[[#This Row],[INTEREST]]),"")</f>
        <v>434423.19364175858</v>
      </c>
    </row>
    <row r="75" spans="2:11" x14ac:dyDescent="0.3">
      <c r="B75" s="21">
        <f>IF(LoanIsGood,IF(ROW()-ROW(PaymentSchedule34[[#Headers],[PMT NO]])&gt;ScheduledNumberOfPayments,"",ROW()-ROW(PaymentSchedule34[[#Headers],[PMT NO]])),"")</f>
        <v>64</v>
      </c>
      <c r="C75" s="20">
        <f>IF(PaymentSchedule34[[#This Row],[PMT NO]]&lt;&gt;"",EOMONTH(LoanStartDate,ROW(PaymentSchedule34[[#This Row],[PMT NO]])-ROW(PaymentSchedule34[[#Headers],[PMT NO]])-2)+DAY(LoanStartDate),"")</f>
        <v>45566</v>
      </c>
      <c r="D75" s="19">
        <f>IF(PaymentSchedule34[[#This Row],[PMT NO]]&lt;&gt;"",IF(ROW()-ROW(PaymentSchedule34[[#Headers],[BEGINNING BALANCE]])=1,LoanAmount,INDEX(PaymentSchedule34[ENDING BALANCE],ROW()-ROW(PaymentSchedule34[[#Headers],[BEGINNING BALANCE]])-1)),"")</f>
        <v>1888061.7417749534</v>
      </c>
      <c r="E75" s="19">
        <f>IF(PaymentSchedule34[[#This Row],[PMT NO]]&lt;&gt;"",ScheduledPayment,"")</f>
        <v>8672.4039978858091</v>
      </c>
      <c r="F7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7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75" s="19">
        <f>IF(PaymentSchedule34[[#This Row],[PMT NO]]&lt;&gt;"",PaymentSchedule34[[#This Row],[TOTAL PAYMENT]]-PaymentSchedule34[[#This Row],[INTEREST]],"")</f>
        <v>1985.5186624328489</v>
      </c>
      <c r="I75" s="19">
        <f>IF(PaymentSchedule34[[#This Row],[PMT NO]]&lt;&gt;"",PaymentSchedule34[[#This Row],[BEGINNING BALANCE]]*(InterestRate/PaymentsPerYear),"")</f>
        <v>6686.8853354529601</v>
      </c>
      <c r="J7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1886076.2231125205</v>
      </c>
      <c r="K75" s="19">
        <f>IF(PaymentSchedule34[[#This Row],[PMT NO]]&lt;&gt;"",SUM(INDEX(PaymentSchedule34[INTEREST],1,1):PaymentSchedule34[[#This Row],[INTEREST]]),"")</f>
        <v>441110.07897721155</v>
      </c>
    </row>
    <row r="76" spans="2:11" x14ac:dyDescent="0.3">
      <c r="B76" s="21">
        <f>IF(LoanIsGood,IF(ROW()-ROW(PaymentSchedule34[[#Headers],[PMT NO]])&gt;ScheduledNumberOfPayments,"",ROW()-ROW(PaymentSchedule34[[#Headers],[PMT NO]])),"")</f>
        <v>65</v>
      </c>
      <c r="C76" s="20">
        <f>IF(PaymentSchedule34[[#This Row],[PMT NO]]&lt;&gt;"",EOMONTH(LoanStartDate,ROW(PaymentSchedule34[[#This Row],[PMT NO]])-ROW(PaymentSchedule34[[#Headers],[PMT NO]])-2)+DAY(LoanStartDate),"")</f>
        <v>45597</v>
      </c>
      <c r="D76" s="19">
        <f>IF(PaymentSchedule34[[#This Row],[PMT NO]]&lt;&gt;"",IF(ROW()-ROW(PaymentSchedule34[[#Headers],[BEGINNING BALANCE]])=1,LoanAmount,INDEX(PaymentSchedule34[ENDING BALANCE],ROW()-ROW(PaymentSchedule34[[#Headers],[BEGINNING BALANCE]])-1)),"")</f>
        <v>1886076.2231125205</v>
      </c>
      <c r="E76" s="19">
        <f>IF(PaymentSchedule34[[#This Row],[PMT NO]]&lt;&gt;"",ScheduledPayment,"")</f>
        <v>8672.4039978858091</v>
      </c>
      <c r="F7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7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76" s="19">
        <f>IF(PaymentSchedule34[[#This Row],[PMT NO]]&lt;&gt;"",PaymentSchedule34[[#This Row],[TOTAL PAYMENT]]-PaymentSchedule34[[#This Row],[INTEREST]],"")</f>
        <v>1992.5507076956319</v>
      </c>
      <c r="I76" s="19">
        <f>IF(PaymentSchedule34[[#This Row],[PMT NO]]&lt;&gt;"",PaymentSchedule34[[#This Row],[BEGINNING BALANCE]]*(InterestRate/PaymentsPerYear),"")</f>
        <v>6679.8532901901772</v>
      </c>
      <c r="J7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1884083.672404825</v>
      </c>
      <c r="K76" s="19">
        <f>IF(PaymentSchedule34[[#This Row],[PMT NO]]&lt;&gt;"",SUM(INDEX(PaymentSchedule34[INTEREST],1,1):PaymentSchedule34[[#This Row],[INTEREST]]),"")</f>
        <v>447789.93226740172</v>
      </c>
    </row>
    <row r="77" spans="2:11" x14ac:dyDescent="0.3">
      <c r="B77" s="21">
        <f>IF(LoanIsGood,IF(ROW()-ROW(PaymentSchedule34[[#Headers],[PMT NO]])&gt;ScheduledNumberOfPayments,"",ROW()-ROW(PaymentSchedule34[[#Headers],[PMT NO]])),"")</f>
        <v>66</v>
      </c>
      <c r="C77" s="20">
        <f>IF(PaymentSchedule34[[#This Row],[PMT NO]]&lt;&gt;"",EOMONTH(LoanStartDate,ROW(PaymentSchedule34[[#This Row],[PMT NO]])-ROW(PaymentSchedule34[[#Headers],[PMT NO]])-2)+DAY(LoanStartDate),"")</f>
        <v>45627</v>
      </c>
      <c r="D77" s="19">
        <f>IF(PaymentSchedule34[[#This Row],[PMT NO]]&lt;&gt;"",IF(ROW()-ROW(PaymentSchedule34[[#Headers],[BEGINNING BALANCE]])=1,LoanAmount,INDEX(PaymentSchedule34[ENDING BALANCE],ROW()-ROW(PaymentSchedule34[[#Headers],[BEGINNING BALANCE]])-1)),"")</f>
        <v>1884083.672404825</v>
      </c>
      <c r="E77" s="19">
        <f>IF(PaymentSchedule34[[#This Row],[PMT NO]]&lt;&gt;"",ScheduledPayment,"")</f>
        <v>8672.4039978858091</v>
      </c>
      <c r="F7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7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77" s="19">
        <f>IF(PaymentSchedule34[[#This Row],[PMT NO]]&lt;&gt;"",PaymentSchedule34[[#This Row],[TOTAL PAYMENT]]-PaymentSchedule34[[#This Row],[INTEREST]],"")</f>
        <v>1999.6076581187199</v>
      </c>
      <c r="I77" s="19">
        <f>IF(PaymentSchedule34[[#This Row],[PMT NO]]&lt;&gt;"",PaymentSchedule34[[#This Row],[BEGINNING BALANCE]]*(InterestRate/PaymentsPerYear),"")</f>
        <v>6672.7963397670892</v>
      </c>
      <c r="J7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1882084.0647467063</v>
      </c>
      <c r="K77" s="19">
        <f>IF(PaymentSchedule34[[#This Row],[PMT NO]]&lt;&gt;"",SUM(INDEX(PaymentSchedule34[INTEREST],1,1):PaymentSchedule34[[#This Row],[INTEREST]]),"")</f>
        <v>454462.72860716883</v>
      </c>
    </row>
    <row r="78" spans="2:11" x14ac:dyDescent="0.3">
      <c r="B78" s="21">
        <f>IF(LoanIsGood,IF(ROW()-ROW(PaymentSchedule34[[#Headers],[PMT NO]])&gt;ScheduledNumberOfPayments,"",ROW()-ROW(PaymentSchedule34[[#Headers],[PMT NO]])),"")</f>
        <v>67</v>
      </c>
      <c r="C78" s="20">
        <f>IF(PaymentSchedule34[[#This Row],[PMT NO]]&lt;&gt;"",EOMONTH(LoanStartDate,ROW(PaymentSchedule34[[#This Row],[PMT NO]])-ROW(PaymentSchedule34[[#Headers],[PMT NO]])-2)+DAY(LoanStartDate),"")</f>
        <v>45658</v>
      </c>
      <c r="D78" s="19">
        <f>IF(PaymentSchedule34[[#This Row],[PMT NO]]&lt;&gt;"",IF(ROW()-ROW(PaymentSchedule34[[#Headers],[BEGINNING BALANCE]])=1,LoanAmount,INDEX(PaymentSchedule34[ENDING BALANCE],ROW()-ROW(PaymentSchedule34[[#Headers],[BEGINNING BALANCE]])-1)),"")</f>
        <v>1882084.0647467063</v>
      </c>
      <c r="E78" s="19">
        <f>IF(PaymentSchedule34[[#This Row],[PMT NO]]&lt;&gt;"",ScheduledPayment,"")</f>
        <v>8672.4039978858091</v>
      </c>
      <c r="F7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7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78" s="19">
        <f>IF(PaymentSchedule34[[#This Row],[PMT NO]]&lt;&gt;"",PaymentSchedule34[[#This Row],[TOTAL PAYMENT]]-PaymentSchedule34[[#This Row],[INTEREST]],"")</f>
        <v>2006.6896019078904</v>
      </c>
      <c r="I78" s="19">
        <f>IF(PaymentSchedule34[[#This Row],[PMT NO]]&lt;&gt;"",PaymentSchedule34[[#This Row],[BEGINNING BALANCE]]*(InterestRate/PaymentsPerYear),"")</f>
        <v>6665.7143959779187</v>
      </c>
      <c r="J7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1880077.3751447983</v>
      </c>
      <c r="K78" s="19">
        <f>IF(PaymentSchedule34[[#This Row],[PMT NO]]&lt;&gt;"",SUM(INDEX(PaymentSchedule34[INTEREST],1,1):PaymentSchedule34[[#This Row],[INTEREST]]),"")</f>
        <v>461128.44300314673</v>
      </c>
    </row>
    <row r="79" spans="2:11" x14ac:dyDescent="0.3">
      <c r="B79" s="21">
        <f>IF(LoanIsGood,IF(ROW()-ROW(PaymentSchedule34[[#Headers],[PMT NO]])&gt;ScheduledNumberOfPayments,"",ROW()-ROW(PaymentSchedule34[[#Headers],[PMT NO]])),"")</f>
        <v>68</v>
      </c>
      <c r="C79" s="20">
        <f>IF(PaymentSchedule34[[#This Row],[PMT NO]]&lt;&gt;"",EOMONTH(LoanStartDate,ROW(PaymentSchedule34[[#This Row],[PMT NO]])-ROW(PaymentSchedule34[[#Headers],[PMT NO]])-2)+DAY(LoanStartDate),"")</f>
        <v>45689</v>
      </c>
      <c r="D79" s="19">
        <f>IF(PaymentSchedule34[[#This Row],[PMT NO]]&lt;&gt;"",IF(ROW()-ROW(PaymentSchedule34[[#Headers],[BEGINNING BALANCE]])=1,LoanAmount,INDEX(PaymentSchedule34[ENDING BALANCE],ROW()-ROW(PaymentSchedule34[[#Headers],[BEGINNING BALANCE]])-1)),"")</f>
        <v>1880077.3751447983</v>
      </c>
      <c r="E79" s="19">
        <f>IF(PaymentSchedule34[[#This Row],[PMT NO]]&lt;&gt;"",ScheduledPayment,"")</f>
        <v>8672.4039978858091</v>
      </c>
      <c r="F7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7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79" s="19">
        <f>IF(PaymentSchedule34[[#This Row],[PMT NO]]&lt;&gt;"",PaymentSchedule34[[#This Row],[TOTAL PAYMENT]]-PaymentSchedule34[[#This Row],[INTEREST]],"")</f>
        <v>2013.7966275813142</v>
      </c>
      <c r="I79" s="19">
        <f>IF(PaymentSchedule34[[#This Row],[PMT NO]]&lt;&gt;"",PaymentSchedule34[[#This Row],[BEGINNING BALANCE]]*(InterestRate/PaymentsPerYear),"")</f>
        <v>6658.6073703044949</v>
      </c>
      <c r="J7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1878063.578517217</v>
      </c>
      <c r="K79" s="19">
        <f>IF(PaymentSchedule34[[#This Row],[PMT NO]]&lt;&gt;"",SUM(INDEX(PaymentSchedule34[INTEREST],1,1):PaymentSchedule34[[#This Row],[INTEREST]]),"")</f>
        <v>467787.0503734512</v>
      </c>
    </row>
    <row r="80" spans="2:11" x14ac:dyDescent="0.3">
      <c r="B80" s="21">
        <f>IF(LoanIsGood,IF(ROW()-ROW(PaymentSchedule34[[#Headers],[PMT NO]])&gt;ScheduledNumberOfPayments,"",ROW()-ROW(PaymentSchedule34[[#Headers],[PMT NO]])),"")</f>
        <v>69</v>
      </c>
      <c r="C80" s="20">
        <f>IF(PaymentSchedule34[[#This Row],[PMT NO]]&lt;&gt;"",EOMONTH(LoanStartDate,ROW(PaymentSchedule34[[#This Row],[PMT NO]])-ROW(PaymentSchedule34[[#Headers],[PMT NO]])-2)+DAY(LoanStartDate),"")</f>
        <v>45717</v>
      </c>
      <c r="D80" s="19">
        <f>IF(PaymentSchedule34[[#This Row],[PMT NO]]&lt;&gt;"",IF(ROW()-ROW(PaymentSchedule34[[#Headers],[BEGINNING BALANCE]])=1,LoanAmount,INDEX(PaymentSchedule34[ENDING BALANCE],ROW()-ROW(PaymentSchedule34[[#Headers],[BEGINNING BALANCE]])-1)),"")</f>
        <v>1878063.578517217</v>
      </c>
      <c r="E80" s="19">
        <f>IF(PaymentSchedule34[[#This Row],[PMT NO]]&lt;&gt;"",ScheduledPayment,"")</f>
        <v>8672.4039978858091</v>
      </c>
      <c r="F8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8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80" s="19">
        <f>IF(PaymentSchedule34[[#This Row],[PMT NO]]&lt;&gt;"",PaymentSchedule34[[#This Row],[TOTAL PAYMENT]]-PaymentSchedule34[[#This Row],[INTEREST]],"")</f>
        <v>2020.9288239706648</v>
      </c>
      <c r="I80" s="19">
        <f>IF(PaymentSchedule34[[#This Row],[PMT NO]]&lt;&gt;"",PaymentSchedule34[[#This Row],[BEGINNING BALANCE]]*(InterestRate/PaymentsPerYear),"")</f>
        <v>6651.4751739151443</v>
      </c>
      <c r="J8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1876042.6496932462</v>
      </c>
      <c r="K80" s="19">
        <f>IF(PaymentSchedule34[[#This Row],[PMT NO]]&lt;&gt;"",SUM(INDEX(PaymentSchedule34[INTEREST],1,1):PaymentSchedule34[[#This Row],[INTEREST]]),"")</f>
        <v>474438.52554736636</v>
      </c>
    </row>
    <row r="81" spans="2:11" x14ac:dyDescent="0.3">
      <c r="B81" s="21">
        <f>IF(LoanIsGood,IF(ROW()-ROW(PaymentSchedule34[[#Headers],[PMT NO]])&gt;ScheduledNumberOfPayments,"",ROW()-ROW(PaymentSchedule34[[#Headers],[PMT NO]])),"")</f>
        <v>70</v>
      </c>
      <c r="C81" s="20">
        <f>IF(PaymentSchedule34[[#This Row],[PMT NO]]&lt;&gt;"",EOMONTH(LoanStartDate,ROW(PaymentSchedule34[[#This Row],[PMT NO]])-ROW(PaymentSchedule34[[#Headers],[PMT NO]])-2)+DAY(LoanStartDate),"")</f>
        <v>45748</v>
      </c>
      <c r="D81" s="19">
        <f>IF(PaymentSchedule34[[#This Row],[PMT NO]]&lt;&gt;"",IF(ROW()-ROW(PaymentSchedule34[[#Headers],[BEGINNING BALANCE]])=1,LoanAmount,INDEX(PaymentSchedule34[ENDING BALANCE],ROW()-ROW(PaymentSchedule34[[#Headers],[BEGINNING BALANCE]])-1)),"")</f>
        <v>1876042.6496932462</v>
      </c>
      <c r="E81" s="19">
        <f>IF(PaymentSchedule34[[#This Row],[PMT NO]]&lt;&gt;"",ScheduledPayment,"")</f>
        <v>8672.4039978858091</v>
      </c>
      <c r="F8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8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81" s="19">
        <f>IF(PaymentSchedule34[[#This Row],[PMT NO]]&lt;&gt;"",PaymentSchedule34[[#This Row],[TOTAL PAYMENT]]-PaymentSchedule34[[#This Row],[INTEREST]],"")</f>
        <v>2028.0862802222282</v>
      </c>
      <c r="I81" s="19">
        <f>IF(PaymentSchedule34[[#This Row],[PMT NO]]&lt;&gt;"",PaymentSchedule34[[#This Row],[BEGINNING BALANCE]]*(InterestRate/PaymentsPerYear),"")</f>
        <v>6644.3177176635809</v>
      </c>
      <c r="J8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1874014.5634130239</v>
      </c>
      <c r="K81" s="19">
        <f>IF(PaymentSchedule34[[#This Row],[PMT NO]]&lt;&gt;"",SUM(INDEX(PaymentSchedule34[INTEREST],1,1):PaymentSchedule34[[#This Row],[INTEREST]]),"")</f>
        <v>481082.84326502995</v>
      </c>
    </row>
    <row r="82" spans="2:11" x14ac:dyDescent="0.3">
      <c r="B82" s="21">
        <f>IF(LoanIsGood,IF(ROW()-ROW(PaymentSchedule34[[#Headers],[PMT NO]])&gt;ScheduledNumberOfPayments,"",ROW()-ROW(PaymentSchedule34[[#Headers],[PMT NO]])),"")</f>
        <v>71</v>
      </c>
      <c r="C82" s="20">
        <f>IF(PaymentSchedule34[[#This Row],[PMT NO]]&lt;&gt;"",EOMONTH(LoanStartDate,ROW(PaymentSchedule34[[#This Row],[PMT NO]])-ROW(PaymentSchedule34[[#Headers],[PMT NO]])-2)+DAY(LoanStartDate),"")</f>
        <v>45778</v>
      </c>
      <c r="D82" s="19">
        <f>IF(PaymentSchedule34[[#This Row],[PMT NO]]&lt;&gt;"",IF(ROW()-ROW(PaymentSchedule34[[#Headers],[BEGINNING BALANCE]])=1,LoanAmount,INDEX(PaymentSchedule34[ENDING BALANCE],ROW()-ROW(PaymentSchedule34[[#Headers],[BEGINNING BALANCE]])-1)),"")</f>
        <v>1874014.5634130239</v>
      </c>
      <c r="E82" s="19">
        <f>IF(PaymentSchedule34[[#This Row],[PMT NO]]&lt;&gt;"",ScheduledPayment,"")</f>
        <v>8672.4039978858091</v>
      </c>
      <c r="F8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8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82" s="19">
        <f>IF(PaymentSchedule34[[#This Row],[PMT NO]]&lt;&gt;"",PaymentSchedule34[[#This Row],[TOTAL PAYMENT]]-PaymentSchedule34[[#This Row],[INTEREST]],"")</f>
        <v>2035.2690857980151</v>
      </c>
      <c r="I82" s="19">
        <f>IF(PaymentSchedule34[[#This Row],[PMT NO]]&lt;&gt;"",PaymentSchedule34[[#This Row],[BEGINNING BALANCE]]*(InterestRate/PaymentsPerYear),"")</f>
        <v>6637.134912087794</v>
      </c>
      <c r="J8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1871979.294327226</v>
      </c>
      <c r="K82" s="19">
        <f>IF(PaymentSchedule34[[#This Row],[PMT NO]]&lt;&gt;"",SUM(INDEX(PaymentSchedule34[INTEREST],1,1):PaymentSchedule34[[#This Row],[INTEREST]]),"")</f>
        <v>487719.97817711777</v>
      </c>
    </row>
    <row r="83" spans="2:11" x14ac:dyDescent="0.3">
      <c r="B83" s="21">
        <f>IF(LoanIsGood,IF(ROW()-ROW(PaymentSchedule34[[#Headers],[PMT NO]])&gt;ScheduledNumberOfPayments,"",ROW()-ROW(PaymentSchedule34[[#Headers],[PMT NO]])),"")</f>
        <v>72</v>
      </c>
      <c r="C83" s="20">
        <f>IF(PaymentSchedule34[[#This Row],[PMT NO]]&lt;&gt;"",EOMONTH(LoanStartDate,ROW(PaymentSchedule34[[#This Row],[PMT NO]])-ROW(PaymentSchedule34[[#Headers],[PMT NO]])-2)+DAY(LoanStartDate),"")</f>
        <v>45809</v>
      </c>
      <c r="D83" s="19">
        <f>IF(PaymentSchedule34[[#This Row],[PMT NO]]&lt;&gt;"",IF(ROW()-ROW(PaymentSchedule34[[#Headers],[BEGINNING BALANCE]])=1,LoanAmount,INDEX(PaymentSchedule34[ENDING BALANCE],ROW()-ROW(PaymentSchedule34[[#Headers],[BEGINNING BALANCE]])-1)),"")</f>
        <v>1871979.294327226</v>
      </c>
      <c r="E83" s="19">
        <f>IF(PaymentSchedule34[[#This Row],[PMT NO]]&lt;&gt;"",ScheduledPayment,"")</f>
        <v>8672.4039978858091</v>
      </c>
      <c r="F8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8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83" s="19">
        <f>IF(PaymentSchedule34[[#This Row],[PMT NO]]&lt;&gt;"",PaymentSchedule34[[#This Row],[TOTAL PAYMENT]]-PaymentSchedule34[[#This Row],[INTEREST]],"")</f>
        <v>2042.4773304768833</v>
      </c>
      <c r="I83" s="19">
        <f>IF(PaymentSchedule34[[#This Row],[PMT NO]]&lt;&gt;"",PaymentSchedule34[[#This Row],[BEGINNING BALANCE]]*(InterestRate/PaymentsPerYear),"")</f>
        <v>6629.9266674089258</v>
      </c>
      <c r="J8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1869936.816996749</v>
      </c>
      <c r="K83" s="19">
        <f>IF(PaymentSchedule34[[#This Row],[PMT NO]]&lt;&gt;"",SUM(INDEX(PaymentSchedule34[INTEREST],1,1):PaymentSchedule34[[#This Row],[INTEREST]]),"")</f>
        <v>494349.90484452667</v>
      </c>
    </row>
    <row r="84" spans="2:11" x14ac:dyDescent="0.3">
      <c r="B84" s="21">
        <f>IF(LoanIsGood,IF(ROW()-ROW(PaymentSchedule34[[#Headers],[PMT NO]])&gt;ScheduledNumberOfPayments,"",ROW()-ROW(PaymentSchedule34[[#Headers],[PMT NO]])),"")</f>
        <v>73</v>
      </c>
      <c r="C84" s="20">
        <f>IF(PaymentSchedule34[[#This Row],[PMT NO]]&lt;&gt;"",EOMONTH(LoanStartDate,ROW(PaymentSchedule34[[#This Row],[PMT NO]])-ROW(PaymentSchedule34[[#Headers],[PMT NO]])-2)+DAY(LoanStartDate),"")</f>
        <v>45839</v>
      </c>
      <c r="D84" s="19">
        <f>IF(PaymentSchedule34[[#This Row],[PMT NO]]&lt;&gt;"",IF(ROW()-ROW(PaymentSchedule34[[#Headers],[BEGINNING BALANCE]])=1,LoanAmount,INDEX(PaymentSchedule34[ENDING BALANCE],ROW()-ROW(PaymentSchedule34[[#Headers],[BEGINNING BALANCE]])-1)),"")</f>
        <v>1869936.816996749</v>
      </c>
      <c r="E84" s="19">
        <f>IF(PaymentSchedule34[[#This Row],[PMT NO]]&lt;&gt;"",ScheduledPayment,"")</f>
        <v>8672.4039978858091</v>
      </c>
      <c r="F8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8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84" s="19">
        <f>IF(PaymentSchedule34[[#This Row],[PMT NO]]&lt;&gt;"",PaymentSchedule34[[#This Row],[TOTAL PAYMENT]]-PaymentSchedule34[[#This Row],[INTEREST]],"")</f>
        <v>2049.7111043556561</v>
      </c>
      <c r="I84" s="19">
        <f>IF(PaymentSchedule34[[#This Row],[PMT NO]]&lt;&gt;"",PaymentSchedule34[[#This Row],[BEGINNING BALANCE]]*(InterestRate/PaymentsPerYear),"")</f>
        <v>6622.692893530153</v>
      </c>
      <c r="J8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1867887.1058923933</v>
      </c>
      <c r="K84" s="19">
        <f>IF(PaymentSchedule34[[#This Row],[PMT NO]]&lt;&gt;"",SUM(INDEX(PaymentSchedule34[INTEREST],1,1):PaymentSchedule34[[#This Row],[INTEREST]]),"")</f>
        <v>500972.59773805679</v>
      </c>
    </row>
    <row r="85" spans="2:11" x14ac:dyDescent="0.3">
      <c r="B85" s="21">
        <f>IF(LoanIsGood,IF(ROW()-ROW(PaymentSchedule34[[#Headers],[PMT NO]])&gt;ScheduledNumberOfPayments,"",ROW()-ROW(PaymentSchedule34[[#Headers],[PMT NO]])),"")</f>
        <v>74</v>
      </c>
      <c r="C85" s="20">
        <f>IF(PaymentSchedule34[[#This Row],[PMT NO]]&lt;&gt;"",EOMONTH(LoanStartDate,ROW(PaymentSchedule34[[#This Row],[PMT NO]])-ROW(PaymentSchedule34[[#Headers],[PMT NO]])-2)+DAY(LoanStartDate),"")</f>
        <v>45870</v>
      </c>
      <c r="D85" s="19">
        <f>IF(PaymentSchedule34[[#This Row],[PMT NO]]&lt;&gt;"",IF(ROW()-ROW(PaymentSchedule34[[#Headers],[BEGINNING BALANCE]])=1,LoanAmount,INDEX(PaymentSchedule34[ENDING BALANCE],ROW()-ROW(PaymentSchedule34[[#Headers],[BEGINNING BALANCE]])-1)),"")</f>
        <v>1867887.1058923933</v>
      </c>
      <c r="E85" s="19">
        <f>IF(PaymentSchedule34[[#This Row],[PMT NO]]&lt;&gt;"",ScheduledPayment,"")</f>
        <v>8672.4039978858091</v>
      </c>
      <c r="F8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8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85" s="19">
        <f>IF(PaymentSchedule34[[#This Row],[PMT NO]]&lt;&gt;"",PaymentSchedule34[[#This Row],[TOTAL PAYMENT]]-PaymentSchedule34[[#This Row],[INTEREST]],"")</f>
        <v>2056.9704978502486</v>
      </c>
      <c r="I85" s="19">
        <f>IF(PaymentSchedule34[[#This Row],[PMT NO]]&lt;&gt;"",PaymentSchedule34[[#This Row],[BEGINNING BALANCE]]*(InterestRate/PaymentsPerYear),"")</f>
        <v>6615.4335000355604</v>
      </c>
      <c r="J8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1865830.1353945429</v>
      </c>
      <c r="K85" s="19">
        <f>IF(PaymentSchedule34[[#This Row],[PMT NO]]&lt;&gt;"",SUM(INDEX(PaymentSchedule34[INTEREST],1,1):PaymentSchedule34[[#This Row],[INTEREST]]),"")</f>
        <v>507588.03123809234</v>
      </c>
    </row>
    <row r="86" spans="2:11" x14ac:dyDescent="0.3">
      <c r="B86" s="21">
        <f>IF(LoanIsGood,IF(ROW()-ROW(PaymentSchedule34[[#Headers],[PMT NO]])&gt;ScheduledNumberOfPayments,"",ROW()-ROW(PaymentSchedule34[[#Headers],[PMT NO]])),"")</f>
        <v>75</v>
      </c>
      <c r="C86" s="20">
        <f>IF(PaymentSchedule34[[#This Row],[PMT NO]]&lt;&gt;"",EOMONTH(LoanStartDate,ROW(PaymentSchedule34[[#This Row],[PMT NO]])-ROW(PaymentSchedule34[[#Headers],[PMT NO]])-2)+DAY(LoanStartDate),"")</f>
        <v>45901</v>
      </c>
      <c r="D86" s="19">
        <f>IF(PaymentSchedule34[[#This Row],[PMT NO]]&lt;&gt;"",IF(ROW()-ROW(PaymentSchedule34[[#Headers],[BEGINNING BALANCE]])=1,LoanAmount,INDEX(PaymentSchedule34[ENDING BALANCE],ROW()-ROW(PaymentSchedule34[[#Headers],[BEGINNING BALANCE]])-1)),"")</f>
        <v>1865830.1353945429</v>
      </c>
      <c r="E86" s="19">
        <f>IF(PaymentSchedule34[[#This Row],[PMT NO]]&lt;&gt;"",ScheduledPayment,"")</f>
        <v>8672.4039978858091</v>
      </c>
      <c r="F8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8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86" s="19">
        <f>IF(PaymentSchedule34[[#This Row],[PMT NO]]&lt;&gt;"",PaymentSchedule34[[#This Row],[TOTAL PAYMENT]]-PaymentSchedule34[[#This Row],[INTEREST]],"")</f>
        <v>2064.2556016968019</v>
      </c>
      <c r="I86" s="19">
        <f>IF(PaymentSchedule34[[#This Row],[PMT NO]]&lt;&gt;"",PaymentSchedule34[[#This Row],[BEGINNING BALANCE]]*(InterestRate/PaymentsPerYear),"")</f>
        <v>6608.1483961890071</v>
      </c>
      <c r="J8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1863765.879792846</v>
      </c>
      <c r="K86" s="19">
        <f>IF(PaymentSchedule34[[#This Row],[PMT NO]]&lt;&gt;"",SUM(INDEX(PaymentSchedule34[INTEREST],1,1):PaymentSchedule34[[#This Row],[INTEREST]]),"")</f>
        <v>514196.17963428138</v>
      </c>
    </row>
    <row r="87" spans="2:11" x14ac:dyDescent="0.3">
      <c r="B87" s="21">
        <f>IF(LoanIsGood,IF(ROW()-ROW(PaymentSchedule34[[#Headers],[PMT NO]])&gt;ScheduledNumberOfPayments,"",ROW()-ROW(PaymentSchedule34[[#Headers],[PMT NO]])),"")</f>
        <v>76</v>
      </c>
      <c r="C87" s="20">
        <f>IF(PaymentSchedule34[[#This Row],[PMT NO]]&lt;&gt;"",EOMONTH(LoanStartDate,ROW(PaymentSchedule34[[#This Row],[PMT NO]])-ROW(PaymentSchedule34[[#Headers],[PMT NO]])-2)+DAY(LoanStartDate),"")</f>
        <v>45931</v>
      </c>
      <c r="D87" s="19">
        <f>IF(PaymentSchedule34[[#This Row],[PMT NO]]&lt;&gt;"",IF(ROW()-ROW(PaymentSchedule34[[#Headers],[BEGINNING BALANCE]])=1,LoanAmount,INDEX(PaymentSchedule34[ENDING BALANCE],ROW()-ROW(PaymentSchedule34[[#Headers],[BEGINNING BALANCE]])-1)),"")</f>
        <v>1863765.879792846</v>
      </c>
      <c r="E87" s="19">
        <f>IF(PaymentSchedule34[[#This Row],[PMT NO]]&lt;&gt;"",ScheduledPayment,"")</f>
        <v>8672.4039978858091</v>
      </c>
      <c r="F8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8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87" s="19">
        <f>IF(PaymentSchedule34[[#This Row],[PMT NO]]&lt;&gt;"",PaymentSchedule34[[#This Row],[TOTAL PAYMENT]]-PaymentSchedule34[[#This Row],[INTEREST]],"")</f>
        <v>2071.5665069528122</v>
      </c>
      <c r="I87" s="19">
        <f>IF(PaymentSchedule34[[#This Row],[PMT NO]]&lt;&gt;"",PaymentSchedule34[[#This Row],[BEGINNING BALANCE]]*(InterestRate/PaymentsPerYear),"")</f>
        <v>6600.8374909329968</v>
      </c>
      <c r="J8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1861694.3132858933</v>
      </c>
      <c r="K87" s="19">
        <f>IF(PaymentSchedule34[[#This Row],[PMT NO]]&lt;&gt;"",SUM(INDEX(PaymentSchedule34[INTEREST],1,1):PaymentSchedule34[[#This Row],[INTEREST]]),"")</f>
        <v>520797.01712521439</v>
      </c>
    </row>
    <row r="88" spans="2:11" x14ac:dyDescent="0.3">
      <c r="B88" s="21">
        <f>IF(LoanIsGood,IF(ROW()-ROW(PaymentSchedule34[[#Headers],[PMT NO]])&gt;ScheduledNumberOfPayments,"",ROW()-ROW(PaymentSchedule34[[#Headers],[PMT NO]])),"")</f>
        <v>77</v>
      </c>
      <c r="C88" s="20">
        <f>IF(PaymentSchedule34[[#This Row],[PMT NO]]&lt;&gt;"",EOMONTH(LoanStartDate,ROW(PaymentSchedule34[[#This Row],[PMT NO]])-ROW(PaymentSchedule34[[#Headers],[PMT NO]])-2)+DAY(LoanStartDate),"")</f>
        <v>45962</v>
      </c>
      <c r="D88" s="19">
        <f>IF(PaymentSchedule34[[#This Row],[PMT NO]]&lt;&gt;"",IF(ROW()-ROW(PaymentSchedule34[[#Headers],[BEGINNING BALANCE]])=1,LoanAmount,INDEX(PaymentSchedule34[ENDING BALANCE],ROW()-ROW(PaymentSchedule34[[#Headers],[BEGINNING BALANCE]])-1)),"")</f>
        <v>1861694.3132858933</v>
      </c>
      <c r="E88" s="19">
        <f>IF(PaymentSchedule34[[#This Row],[PMT NO]]&lt;&gt;"",ScheduledPayment,"")</f>
        <v>8672.4039978858091</v>
      </c>
      <c r="F8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8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88" s="19">
        <f>IF(PaymentSchedule34[[#This Row],[PMT NO]]&lt;&gt;"",PaymentSchedule34[[#This Row],[TOTAL PAYMENT]]-PaymentSchedule34[[#This Row],[INTEREST]],"")</f>
        <v>2078.90330499827</v>
      </c>
      <c r="I88" s="19">
        <f>IF(PaymentSchedule34[[#This Row],[PMT NO]]&lt;&gt;"",PaymentSchedule34[[#This Row],[BEGINNING BALANCE]]*(InterestRate/PaymentsPerYear),"")</f>
        <v>6593.5006928875391</v>
      </c>
      <c r="J8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1859615.409980895</v>
      </c>
      <c r="K88" s="19">
        <f>IF(PaymentSchedule34[[#This Row],[PMT NO]]&lt;&gt;"",SUM(INDEX(PaymentSchedule34[INTEREST],1,1):PaymentSchedule34[[#This Row],[INTEREST]]),"")</f>
        <v>527390.51781810191</v>
      </c>
    </row>
    <row r="89" spans="2:11" x14ac:dyDescent="0.3">
      <c r="B89" s="21">
        <f>IF(LoanIsGood,IF(ROW()-ROW(PaymentSchedule34[[#Headers],[PMT NO]])&gt;ScheduledNumberOfPayments,"",ROW()-ROW(PaymentSchedule34[[#Headers],[PMT NO]])),"")</f>
        <v>78</v>
      </c>
      <c r="C89" s="20">
        <f>IF(PaymentSchedule34[[#This Row],[PMT NO]]&lt;&gt;"",EOMONTH(LoanStartDate,ROW(PaymentSchedule34[[#This Row],[PMT NO]])-ROW(PaymentSchedule34[[#Headers],[PMT NO]])-2)+DAY(LoanStartDate),"")</f>
        <v>45992</v>
      </c>
      <c r="D89" s="19">
        <f>IF(PaymentSchedule34[[#This Row],[PMT NO]]&lt;&gt;"",IF(ROW()-ROW(PaymentSchedule34[[#Headers],[BEGINNING BALANCE]])=1,LoanAmount,INDEX(PaymentSchedule34[ENDING BALANCE],ROW()-ROW(PaymentSchedule34[[#Headers],[BEGINNING BALANCE]])-1)),"")</f>
        <v>1859615.409980895</v>
      </c>
      <c r="E89" s="19">
        <f>IF(PaymentSchedule34[[#This Row],[PMT NO]]&lt;&gt;"",ScheduledPayment,"")</f>
        <v>8672.4039978858091</v>
      </c>
      <c r="F8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8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89" s="19">
        <f>IF(PaymentSchedule34[[#This Row],[PMT NO]]&lt;&gt;"",PaymentSchedule34[[#This Row],[TOTAL PAYMENT]]-PaymentSchedule34[[#This Row],[INTEREST]],"")</f>
        <v>2086.2660875368056</v>
      </c>
      <c r="I89" s="19">
        <f>IF(PaymentSchedule34[[#This Row],[PMT NO]]&lt;&gt;"",PaymentSchedule34[[#This Row],[BEGINNING BALANCE]]*(InterestRate/PaymentsPerYear),"")</f>
        <v>6586.1379103490035</v>
      </c>
      <c r="J8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1857529.1438933583</v>
      </c>
      <c r="K89" s="19">
        <f>IF(PaymentSchedule34[[#This Row],[PMT NO]]&lt;&gt;"",SUM(INDEX(PaymentSchedule34[INTEREST],1,1):PaymentSchedule34[[#This Row],[INTEREST]]),"")</f>
        <v>533976.65572845098</v>
      </c>
    </row>
    <row r="90" spans="2:11" x14ac:dyDescent="0.3">
      <c r="B90" s="21">
        <f>IF(LoanIsGood,IF(ROW()-ROW(PaymentSchedule34[[#Headers],[PMT NO]])&gt;ScheduledNumberOfPayments,"",ROW()-ROW(PaymentSchedule34[[#Headers],[PMT NO]])),"")</f>
        <v>79</v>
      </c>
      <c r="C90" s="20">
        <f>IF(PaymentSchedule34[[#This Row],[PMT NO]]&lt;&gt;"",EOMONTH(LoanStartDate,ROW(PaymentSchedule34[[#This Row],[PMT NO]])-ROW(PaymentSchedule34[[#Headers],[PMT NO]])-2)+DAY(LoanStartDate),"")</f>
        <v>46023</v>
      </c>
      <c r="D90" s="19">
        <f>IF(PaymentSchedule34[[#This Row],[PMT NO]]&lt;&gt;"",IF(ROW()-ROW(PaymentSchedule34[[#Headers],[BEGINNING BALANCE]])=1,LoanAmount,INDEX(PaymentSchedule34[ENDING BALANCE],ROW()-ROW(PaymentSchedule34[[#Headers],[BEGINNING BALANCE]])-1)),"")</f>
        <v>1857529.1438933583</v>
      </c>
      <c r="E90" s="19">
        <f>IF(PaymentSchedule34[[#This Row],[PMT NO]]&lt;&gt;"",ScheduledPayment,"")</f>
        <v>8672.4039978858091</v>
      </c>
      <c r="F9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9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90" s="19">
        <f>IF(PaymentSchedule34[[#This Row],[PMT NO]]&lt;&gt;"",PaymentSchedule34[[#This Row],[TOTAL PAYMENT]]-PaymentSchedule34[[#This Row],[INTEREST]],"")</f>
        <v>2093.654946596831</v>
      </c>
      <c r="I90" s="19">
        <f>IF(PaymentSchedule34[[#This Row],[PMT NO]]&lt;&gt;"",PaymentSchedule34[[#This Row],[BEGINNING BALANCE]]*(InterestRate/PaymentsPerYear),"")</f>
        <v>6578.7490512889781</v>
      </c>
      <c r="J9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1855435.4889467615</v>
      </c>
      <c r="K90" s="19">
        <f>IF(PaymentSchedule34[[#This Row],[PMT NO]]&lt;&gt;"",SUM(INDEX(PaymentSchedule34[INTEREST],1,1):PaymentSchedule34[[#This Row],[INTEREST]]),"")</f>
        <v>540555.40477973991</v>
      </c>
    </row>
    <row r="91" spans="2:11" x14ac:dyDescent="0.3">
      <c r="B91" s="21">
        <f>IF(LoanIsGood,IF(ROW()-ROW(PaymentSchedule34[[#Headers],[PMT NO]])&gt;ScheduledNumberOfPayments,"",ROW()-ROW(PaymentSchedule34[[#Headers],[PMT NO]])),"")</f>
        <v>80</v>
      </c>
      <c r="C91" s="20">
        <f>IF(PaymentSchedule34[[#This Row],[PMT NO]]&lt;&gt;"",EOMONTH(LoanStartDate,ROW(PaymentSchedule34[[#This Row],[PMT NO]])-ROW(PaymentSchedule34[[#Headers],[PMT NO]])-2)+DAY(LoanStartDate),"")</f>
        <v>46054</v>
      </c>
      <c r="D91" s="19">
        <f>IF(PaymentSchedule34[[#This Row],[PMT NO]]&lt;&gt;"",IF(ROW()-ROW(PaymentSchedule34[[#Headers],[BEGINNING BALANCE]])=1,LoanAmount,INDEX(PaymentSchedule34[ENDING BALANCE],ROW()-ROW(PaymentSchedule34[[#Headers],[BEGINNING BALANCE]])-1)),"")</f>
        <v>1855435.4889467615</v>
      </c>
      <c r="E91" s="19">
        <f>IF(PaymentSchedule34[[#This Row],[PMT NO]]&lt;&gt;"",ScheduledPayment,"")</f>
        <v>8672.4039978858091</v>
      </c>
      <c r="F9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9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91" s="19">
        <f>IF(PaymentSchedule34[[#This Row],[PMT NO]]&lt;&gt;"",PaymentSchedule34[[#This Row],[TOTAL PAYMENT]]-PaymentSchedule34[[#This Row],[INTEREST]],"")</f>
        <v>2101.0699745326947</v>
      </c>
      <c r="I91" s="19">
        <f>IF(PaymentSchedule34[[#This Row],[PMT NO]]&lt;&gt;"",PaymentSchedule34[[#This Row],[BEGINNING BALANCE]]*(InterestRate/PaymentsPerYear),"")</f>
        <v>6571.3340233531144</v>
      </c>
      <c r="J9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1853334.4189722289</v>
      </c>
      <c r="K91" s="19">
        <f>IF(PaymentSchedule34[[#This Row],[PMT NO]]&lt;&gt;"",SUM(INDEX(PaymentSchedule34[INTEREST],1,1):PaymentSchedule34[[#This Row],[INTEREST]]),"")</f>
        <v>547126.73880309297</v>
      </c>
    </row>
    <row r="92" spans="2:11" x14ac:dyDescent="0.3">
      <c r="B92" s="21">
        <f>IF(LoanIsGood,IF(ROW()-ROW(PaymentSchedule34[[#Headers],[PMT NO]])&gt;ScheduledNumberOfPayments,"",ROW()-ROW(PaymentSchedule34[[#Headers],[PMT NO]])),"")</f>
        <v>81</v>
      </c>
      <c r="C92" s="20">
        <f>IF(PaymentSchedule34[[#This Row],[PMT NO]]&lt;&gt;"",EOMONTH(LoanStartDate,ROW(PaymentSchedule34[[#This Row],[PMT NO]])-ROW(PaymentSchedule34[[#Headers],[PMT NO]])-2)+DAY(LoanStartDate),"")</f>
        <v>46082</v>
      </c>
      <c r="D92" s="19">
        <f>IF(PaymentSchedule34[[#This Row],[PMT NO]]&lt;&gt;"",IF(ROW()-ROW(PaymentSchedule34[[#Headers],[BEGINNING BALANCE]])=1,LoanAmount,INDEX(PaymentSchedule34[ENDING BALANCE],ROW()-ROW(PaymentSchedule34[[#Headers],[BEGINNING BALANCE]])-1)),"")</f>
        <v>1853334.4189722289</v>
      </c>
      <c r="E92" s="19">
        <f>IF(PaymentSchedule34[[#This Row],[PMT NO]]&lt;&gt;"",ScheduledPayment,"")</f>
        <v>8672.4039978858091</v>
      </c>
      <c r="F9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9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92" s="19">
        <f>IF(PaymentSchedule34[[#This Row],[PMT NO]]&lt;&gt;"",PaymentSchedule34[[#This Row],[TOTAL PAYMENT]]-PaymentSchedule34[[#This Row],[INTEREST]],"")</f>
        <v>2108.5112640258312</v>
      </c>
      <c r="I92" s="19">
        <f>IF(PaymentSchedule34[[#This Row],[PMT NO]]&lt;&gt;"",PaymentSchedule34[[#This Row],[BEGINNING BALANCE]]*(InterestRate/PaymentsPerYear),"")</f>
        <v>6563.8927338599779</v>
      </c>
      <c r="J9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1851225.907708203</v>
      </c>
      <c r="K92" s="19">
        <f>IF(PaymentSchedule34[[#This Row],[PMT NO]]&lt;&gt;"",SUM(INDEX(PaymentSchedule34[INTEREST],1,1):PaymentSchedule34[[#This Row],[INTEREST]]),"")</f>
        <v>553690.63153695292</v>
      </c>
    </row>
    <row r="93" spans="2:11" x14ac:dyDescent="0.3">
      <c r="B93" s="21">
        <f>IF(LoanIsGood,IF(ROW()-ROW(PaymentSchedule34[[#Headers],[PMT NO]])&gt;ScheduledNumberOfPayments,"",ROW()-ROW(PaymentSchedule34[[#Headers],[PMT NO]])),"")</f>
        <v>82</v>
      </c>
      <c r="C93" s="20">
        <f>IF(PaymentSchedule34[[#This Row],[PMT NO]]&lt;&gt;"",EOMONTH(LoanStartDate,ROW(PaymentSchedule34[[#This Row],[PMT NO]])-ROW(PaymentSchedule34[[#Headers],[PMT NO]])-2)+DAY(LoanStartDate),"")</f>
        <v>46113</v>
      </c>
      <c r="D93" s="19">
        <f>IF(PaymentSchedule34[[#This Row],[PMT NO]]&lt;&gt;"",IF(ROW()-ROW(PaymentSchedule34[[#Headers],[BEGINNING BALANCE]])=1,LoanAmount,INDEX(PaymentSchedule34[ENDING BALANCE],ROW()-ROW(PaymentSchedule34[[#Headers],[BEGINNING BALANCE]])-1)),"")</f>
        <v>1851225.907708203</v>
      </c>
      <c r="E93" s="19">
        <f>IF(PaymentSchedule34[[#This Row],[PMT NO]]&lt;&gt;"",ScheduledPayment,"")</f>
        <v>8672.4039978858091</v>
      </c>
      <c r="F9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9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93" s="19">
        <f>IF(PaymentSchedule34[[#This Row],[PMT NO]]&lt;&gt;"",PaymentSchedule34[[#This Row],[TOTAL PAYMENT]]-PaymentSchedule34[[#This Row],[INTEREST]],"")</f>
        <v>2115.9789080859227</v>
      </c>
      <c r="I93" s="19">
        <f>IF(PaymentSchedule34[[#This Row],[PMT NO]]&lt;&gt;"",PaymentSchedule34[[#This Row],[BEGINNING BALANCE]]*(InterestRate/PaymentsPerYear),"")</f>
        <v>6556.4250897998863</v>
      </c>
      <c r="J9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1849109.928800117</v>
      </c>
      <c r="K93" s="19">
        <f>IF(PaymentSchedule34[[#This Row],[PMT NO]]&lt;&gt;"",SUM(INDEX(PaymentSchedule34[INTEREST],1,1):PaymentSchedule34[[#This Row],[INTEREST]]),"")</f>
        <v>560247.05662675283</v>
      </c>
    </row>
    <row r="94" spans="2:11" x14ac:dyDescent="0.3">
      <c r="B94" s="21">
        <f>IF(LoanIsGood,IF(ROW()-ROW(PaymentSchedule34[[#Headers],[PMT NO]])&gt;ScheduledNumberOfPayments,"",ROW()-ROW(PaymentSchedule34[[#Headers],[PMT NO]])),"")</f>
        <v>83</v>
      </c>
      <c r="C94" s="20">
        <f>IF(PaymentSchedule34[[#This Row],[PMT NO]]&lt;&gt;"",EOMONTH(LoanStartDate,ROW(PaymentSchedule34[[#This Row],[PMT NO]])-ROW(PaymentSchedule34[[#Headers],[PMT NO]])-2)+DAY(LoanStartDate),"")</f>
        <v>46143</v>
      </c>
      <c r="D94" s="19">
        <f>IF(PaymentSchedule34[[#This Row],[PMT NO]]&lt;&gt;"",IF(ROW()-ROW(PaymentSchedule34[[#Headers],[BEGINNING BALANCE]])=1,LoanAmount,INDEX(PaymentSchedule34[ENDING BALANCE],ROW()-ROW(PaymentSchedule34[[#Headers],[BEGINNING BALANCE]])-1)),"")</f>
        <v>1849109.928800117</v>
      </c>
      <c r="E94" s="19">
        <f>IF(PaymentSchedule34[[#This Row],[PMT NO]]&lt;&gt;"",ScheduledPayment,"")</f>
        <v>8672.4039978858091</v>
      </c>
      <c r="F9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9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94" s="19">
        <f>IF(PaymentSchedule34[[#This Row],[PMT NO]]&lt;&gt;"",PaymentSchedule34[[#This Row],[TOTAL PAYMENT]]-PaymentSchedule34[[#This Row],[INTEREST]],"")</f>
        <v>2123.4730000520613</v>
      </c>
      <c r="I94" s="19">
        <f>IF(PaymentSchedule34[[#This Row],[PMT NO]]&lt;&gt;"",PaymentSchedule34[[#This Row],[BEGINNING BALANCE]]*(InterestRate/PaymentsPerYear),"")</f>
        <v>6548.9309978337478</v>
      </c>
      <c r="J9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1846986.4558000648</v>
      </c>
      <c r="K94" s="19">
        <f>IF(PaymentSchedule34[[#This Row],[PMT NO]]&lt;&gt;"",SUM(INDEX(PaymentSchedule34[INTEREST],1,1):PaymentSchedule34[[#This Row],[INTEREST]]),"")</f>
        <v>566795.98762458656</v>
      </c>
    </row>
    <row r="95" spans="2:11" x14ac:dyDescent="0.3">
      <c r="B95" s="21">
        <f>IF(LoanIsGood,IF(ROW()-ROW(PaymentSchedule34[[#Headers],[PMT NO]])&gt;ScheduledNumberOfPayments,"",ROW()-ROW(PaymentSchedule34[[#Headers],[PMT NO]])),"")</f>
        <v>84</v>
      </c>
      <c r="C95" s="20">
        <f>IF(PaymentSchedule34[[#This Row],[PMT NO]]&lt;&gt;"",EOMONTH(LoanStartDate,ROW(PaymentSchedule34[[#This Row],[PMT NO]])-ROW(PaymentSchedule34[[#Headers],[PMT NO]])-2)+DAY(LoanStartDate),"")</f>
        <v>46174</v>
      </c>
      <c r="D95" s="19">
        <f>IF(PaymentSchedule34[[#This Row],[PMT NO]]&lt;&gt;"",IF(ROW()-ROW(PaymentSchedule34[[#Headers],[BEGINNING BALANCE]])=1,LoanAmount,INDEX(PaymentSchedule34[ENDING BALANCE],ROW()-ROW(PaymentSchedule34[[#Headers],[BEGINNING BALANCE]])-1)),"")</f>
        <v>1846986.4558000648</v>
      </c>
      <c r="E95" s="19">
        <f>IF(PaymentSchedule34[[#This Row],[PMT NO]]&lt;&gt;"",ScheduledPayment,"")</f>
        <v>8672.4039978858091</v>
      </c>
      <c r="F9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9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95" s="19">
        <f>IF(PaymentSchedule34[[#This Row],[PMT NO]]&lt;&gt;"",PaymentSchedule34[[#This Row],[TOTAL PAYMENT]]-PaymentSchedule34[[#This Row],[INTEREST]],"")</f>
        <v>2130.9936335939119</v>
      </c>
      <c r="I95" s="19">
        <f>IF(PaymentSchedule34[[#This Row],[PMT NO]]&lt;&gt;"",PaymentSchedule34[[#This Row],[BEGINNING BALANCE]]*(InterestRate/PaymentsPerYear),"")</f>
        <v>6541.4103642918972</v>
      </c>
      <c r="J9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1844855.4621664709</v>
      </c>
      <c r="K95" s="19">
        <f>IF(PaymentSchedule34[[#This Row],[PMT NO]]&lt;&gt;"",SUM(INDEX(PaymentSchedule34[INTEREST],1,1):PaymentSchedule34[[#This Row],[INTEREST]]),"")</f>
        <v>573337.39798887842</v>
      </c>
    </row>
    <row r="96" spans="2:11" x14ac:dyDescent="0.3">
      <c r="B96" s="21">
        <f>IF(LoanIsGood,IF(ROW()-ROW(PaymentSchedule34[[#Headers],[PMT NO]])&gt;ScheduledNumberOfPayments,"",ROW()-ROW(PaymentSchedule34[[#Headers],[PMT NO]])),"")</f>
        <v>85</v>
      </c>
      <c r="C96" s="20">
        <f>IF(PaymentSchedule34[[#This Row],[PMT NO]]&lt;&gt;"",EOMONTH(LoanStartDate,ROW(PaymentSchedule34[[#This Row],[PMT NO]])-ROW(PaymentSchedule34[[#Headers],[PMT NO]])-2)+DAY(LoanStartDate),"")</f>
        <v>46204</v>
      </c>
      <c r="D96" s="19">
        <f>IF(PaymentSchedule34[[#This Row],[PMT NO]]&lt;&gt;"",IF(ROW()-ROW(PaymentSchedule34[[#Headers],[BEGINNING BALANCE]])=1,LoanAmount,INDEX(PaymentSchedule34[ENDING BALANCE],ROW()-ROW(PaymentSchedule34[[#Headers],[BEGINNING BALANCE]])-1)),"")</f>
        <v>1844855.4621664709</v>
      </c>
      <c r="E96" s="19">
        <f>IF(PaymentSchedule34[[#This Row],[PMT NO]]&lt;&gt;"",ScheduledPayment,"")</f>
        <v>8672.4039978858091</v>
      </c>
      <c r="F9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9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96" s="19">
        <f>IF(PaymentSchedule34[[#This Row],[PMT NO]]&lt;&gt;"",PaymentSchedule34[[#This Row],[TOTAL PAYMENT]]-PaymentSchedule34[[#This Row],[INTEREST]],"")</f>
        <v>2138.5409027128908</v>
      </c>
      <c r="I96" s="19">
        <f>IF(PaymentSchedule34[[#This Row],[PMT NO]]&lt;&gt;"",PaymentSchedule34[[#This Row],[BEGINNING BALANCE]]*(InterestRate/PaymentsPerYear),"")</f>
        <v>6533.8630951729183</v>
      </c>
      <c r="J9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1842716.9212637581</v>
      </c>
      <c r="K96" s="19">
        <f>IF(PaymentSchedule34[[#This Row],[PMT NO]]&lt;&gt;"",SUM(INDEX(PaymentSchedule34[INTEREST],1,1):PaymentSchedule34[[#This Row],[INTEREST]]),"")</f>
        <v>579871.26108405134</v>
      </c>
    </row>
    <row r="97" spans="2:11" x14ac:dyDescent="0.3">
      <c r="B97" s="21">
        <f>IF(LoanIsGood,IF(ROW()-ROW(PaymentSchedule34[[#Headers],[PMT NO]])&gt;ScheduledNumberOfPayments,"",ROW()-ROW(PaymentSchedule34[[#Headers],[PMT NO]])),"")</f>
        <v>86</v>
      </c>
      <c r="C97" s="20">
        <f>IF(PaymentSchedule34[[#This Row],[PMT NO]]&lt;&gt;"",EOMONTH(LoanStartDate,ROW(PaymentSchedule34[[#This Row],[PMT NO]])-ROW(PaymentSchedule34[[#Headers],[PMT NO]])-2)+DAY(LoanStartDate),"")</f>
        <v>46235</v>
      </c>
      <c r="D97" s="19">
        <f>IF(PaymentSchedule34[[#This Row],[PMT NO]]&lt;&gt;"",IF(ROW()-ROW(PaymentSchedule34[[#Headers],[BEGINNING BALANCE]])=1,LoanAmount,INDEX(PaymentSchedule34[ENDING BALANCE],ROW()-ROW(PaymentSchedule34[[#Headers],[BEGINNING BALANCE]])-1)),"")</f>
        <v>1842716.9212637581</v>
      </c>
      <c r="E97" s="19">
        <f>IF(PaymentSchedule34[[#This Row],[PMT NO]]&lt;&gt;"",ScheduledPayment,"")</f>
        <v>8672.4039978858091</v>
      </c>
      <c r="F9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9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97" s="19">
        <f>IF(PaymentSchedule34[[#This Row],[PMT NO]]&lt;&gt;"",PaymentSchedule34[[#This Row],[TOTAL PAYMENT]]-PaymentSchedule34[[#This Row],[INTEREST]],"")</f>
        <v>2146.1149017433318</v>
      </c>
      <c r="I97" s="19">
        <f>IF(PaymentSchedule34[[#This Row],[PMT NO]]&lt;&gt;"",PaymentSchedule34[[#This Row],[BEGINNING BALANCE]]*(InterestRate/PaymentsPerYear),"")</f>
        <v>6526.2890961424773</v>
      </c>
      <c r="J9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1840570.8063620147</v>
      </c>
      <c r="K97" s="19">
        <f>IF(PaymentSchedule34[[#This Row],[PMT NO]]&lt;&gt;"",SUM(INDEX(PaymentSchedule34[INTEREST],1,1):PaymentSchedule34[[#This Row],[INTEREST]]),"")</f>
        <v>586397.55018019385</v>
      </c>
    </row>
    <row r="98" spans="2:11" x14ac:dyDescent="0.3">
      <c r="B98" s="21">
        <f>IF(LoanIsGood,IF(ROW()-ROW(PaymentSchedule34[[#Headers],[PMT NO]])&gt;ScheduledNumberOfPayments,"",ROW()-ROW(PaymentSchedule34[[#Headers],[PMT NO]])),"")</f>
        <v>87</v>
      </c>
      <c r="C98" s="20">
        <f>IF(PaymentSchedule34[[#This Row],[PMT NO]]&lt;&gt;"",EOMONTH(LoanStartDate,ROW(PaymentSchedule34[[#This Row],[PMT NO]])-ROW(PaymentSchedule34[[#Headers],[PMT NO]])-2)+DAY(LoanStartDate),"")</f>
        <v>46266</v>
      </c>
      <c r="D98" s="19">
        <f>IF(PaymentSchedule34[[#This Row],[PMT NO]]&lt;&gt;"",IF(ROW()-ROW(PaymentSchedule34[[#Headers],[BEGINNING BALANCE]])=1,LoanAmount,INDEX(PaymentSchedule34[ENDING BALANCE],ROW()-ROW(PaymentSchedule34[[#Headers],[BEGINNING BALANCE]])-1)),"")</f>
        <v>1840570.8063620147</v>
      </c>
      <c r="E98" s="19">
        <f>IF(PaymentSchedule34[[#This Row],[PMT NO]]&lt;&gt;"",ScheduledPayment,"")</f>
        <v>8672.4039978858091</v>
      </c>
      <c r="F9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9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98" s="19">
        <f>IF(PaymentSchedule34[[#This Row],[PMT NO]]&lt;&gt;"",PaymentSchedule34[[#This Row],[TOTAL PAYMENT]]-PaymentSchedule34[[#This Row],[INTEREST]],"")</f>
        <v>2153.7157253536734</v>
      </c>
      <c r="I98" s="19">
        <f>IF(PaymentSchedule34[[#This Row],[PMT NO]]&lt;&gt;"",PaymentSchedule34[[#This Row],[BEGINNING BALANCE]]*(InterestRate/PaymentsPerYear),"")</f>
        <v>6518.6882725321357</v>
      </c>
      <c r="J9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1838417.090636661</v>
      </c>
      <c r="K98" s="19">
        <f>IF(PaymentSchedule34[[#This Row],[PMT NO]]&lt;&gt;"",SUM(INDEX(PaymentSchedule34[INTEREST],1,1):PaymentSchedule34[[#This Row],[INTEREST]]),"")</f>
        <v>592916.23845272604</v>
      </c>
    </row>
    <row r="99" spans="2:11" x14ac:dyDescent="0.3">
      <c r="B99" s="21">
        <f>IF(LoanIsGood,IF(ROW()-ROW(PaymentSchedule34[[#Headers],[PMT NO]])&gt;ScheduledNumberOfPayments,"",ROW()-ROW(PaymentSchedule34[[#Headers],[PMT NO]])),"")</f>
        <v>88</v>
      </c>
      <c r="C99" s="20">
        <f>IF(PaymentSchedule34[[#This Row],[PMT NO]]&lt;&gt;"",EOMONTH(LoanStartDate,ROW(PaymentSchedule34[[#This Row],[PMT NO]])-ROW(PaymentSchedule34[[#Headers],[PMT NO]])-2)+DAY(LoanStartDate),"")</f>
        <v>46296</v>
      </c>
      <c r="D99" s="19">
        <f>IF(PaymentSchedule34[[#This Row],[PMT NO]]&lt;&gt;"",IF(ROW()-ROW(PaymentSchedule34[[#Headers],[BEGINNING BALANCE]])=1,LoanAmount,INDEX(PaymentSchedule34[ENDING BALANCE],ROW()-ROW(PaymentSchedule34[[#Headers],[BEGINNING BALANCE]])-1)),"")</f>
        <v>1838417.090636661</v>
      </c>
      <c r="E99" s="19">
        <f>IF(PaymentSchedule34[[#This Row],[PMT NO]]&lt;&gt;"",ScheduledPayment,"")</f>
        <v>8672.4039978858091</v>
      </c>
      <c r="F9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9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99" s="19">
        <f>IF(PaymentSchedule34[[#This Row],[PMT NO]]&lt;&gt;"",PaymentSchedule34[[#This Row],[TOTAL PAYMENT]]-PaymentSchedule34[[#This Row],[INTEREST]],"")</f>
        <v>2161.3434685476341</v>
      </c>
      <c r="I99" s="19">
        <f>IF(PaymentSchedule34[[#This Row],[PMT NO]]&lt;&gt;"",PaymentSchedule34[[#This Row],[BEGINNING BALANCE]]*(InterestRate/PaymentsPerYear),"")</f>
        <v>6511.060529338175</v>
      </c>
      <c r="J9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1836255.7471681135</v>
      </c>
      <c r="K99" s="19">
        <f>IF(PaymentSchedule34[[#This Row],[PMT NO]]&lt;&gt;"",SUM(INDEX(PaymentSchedule34[INTEREST],1,1):PaymentSchedule34[[#This Row],[INTEREST]]),"")</f>
        <v>599427.29898206424</v>
      </c>
    </row>
    <row r="100" spans="2:11" x14ac:dyDescent="0.3">
      <c r="B100" s="21">
        <f>IF(LoanIsGood,IF(ROW()-ROW(PaymentSchedule34[[#Headers],[PMT NO]])&gt;ScheduledNumberOfPayments,"",ROW()-ROW(PaymentSchedule34[[#Headers],[PMT NO]])),"")</f>
        <v>89</v>
      </c>
      <c r="C100" s="20">
        <f>IF(PaymentSchedule34[[#This Row],[PMT NO]]&lt;&gt;"",EOMONTH(LoanStartDate,ROW(PaymentSchedule34[[#This Row],[PMT NO]])-ROW(PaymentSchedule34[[#Headers],[PMT NO]])-2)+DAY(LoanStartDate),"")</f>
        <v>46327</v>
      </c>
      <c r="D100" s="19">
        <f>IF(PaymentSchedule34[[#This Row],[PMT NO]]&lt;&gt;"",IF(ROW()-ROW(PaymentSchedule34[[#Headers],[BEGINNING BALANCE]])=1,LoanAmount,INDEX(PaymentSchedule34[ENDING BALANCE],ROW()-ROW(PaymentSchedule34[[#Headers],[BEGINNING BALANCE]])-1)),"")</f>
        <v>1836255.7471681135</v>
      </c>
      <c r="E100" s="19">
        <f>IF(PaymentSchedule34[[#This Row],[PMT NO]]&lt;&gt;"",ScheduledPayment,"")</f>
        <v>8672.4039978858091</v>
      </c>
      <c r="F10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0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00" s="19">
        <f>IF(PaymentSchedule34[[#This Row],[PMT NO]]&lt;&gt;"",PaymentSchedule34[[#This Row],[TOTAL PAYMENT]]-PaymentSchedule34[[#This Row],[INTEREST]],"")</f>
        <v>2168.9982266654069</v>
      </c>
      <c r="I100" s="19">
        <f>IF(PaymentSchedule34[[#This Row],[PMT NO]]&lt;&gt;"",PaymentSchedule34[[#This Row],[BEGINNING BALANCE]]*(InterestRate/PaymentsPerYear),"")</f>
        <v>6503.4057712204021</v>
      </c>
      <c r="J10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1834086.7489414481</v>
      </c>
      <c r="K100" s="19">
        <f>IF(PaymentSchedule34[[#This Row],[PMT NO]]&lt;&gt;"",SUM(INDEX(PaymentSchedule34[INTEREST],1,1):PaymentSchedule34[[#This Row],[INTEREST]]),"")</f>
        <v>605930.70475328469</v>
      </c>
    </row>
    <row r="101" spans="2:11" x14ac:dyDescent="0.3">
      <c r="B101" s="21">
        <f>IF(LoanIsGood,IF(ROW()-ROW(PaymentSchedule34[[#Headers],[PMT NO]])&gt;ScheduledNumberOfPayments,"",ROW()-ROW(PaymentSchedule34[[#Headers],[PMT NO]])),"")</f>
        <v>90</v>
      </c>
      <c r="C101" s="20">
        <f>IF(PaymentSchedule34[[#This Row],[PMT NO]]&lt;&gt;"",EOMONTH(LoanStartDate,ROW(PaymentSchedule34[[#This Row],[PMT NO]])-ROW(PaymentSchedule34[[#Headers],[PMT NO]])-2)+DAY(LoanStartDate),"")</f>
        <v>46357</v>
      </c>
      <c r="D101" s="19">
        <f>IF(PaymentSchedule34[[#This Row],[PMT NO]]&lt;&gt;"",IF(ROW()-ROW(PaymentSchedule34[[#Headers],[BEGINNING BALANCE]])=1,LoanAmount,INDEX(PaymentSchedule34[ENDING BALANCE],ROW()-ROW(PaymentSchedule34[[#Headers],[BEGINNING BALANCE]])-1)),"")</f>
        <v>1834086.7489414481</v>
      </c>
      <c r="E101" s="19">
        <f>IF(PaymentSchedule34[[#This Row],[PMT NO]]&lt;&gt;"",ScheduledPayment,"")</f>
        <v>8672.4039978858091</v>
      </c>
      <c r="F10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0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01" s="19">
        <f>IF(PaymentSchedule34[[#This Row],[PMT NO]]&lt;&gt;"",PaymentSchedule34[[#This Row],[TOTAL PAYMENT]]-PaymentSchedule34[[#This Row],[INTEREST]],"")</f>
        <v>2176.6800953848469</v>
      </c>
      <c r="I101" s="19">
        <f>IF(PaymentSchedule34[[#This Row],[PMT NO]]&lt;&gt;"",PaymentSchedule34[[#This Row],[BEGINNING BALANCE]]*(InterestRate/PaymentsPerYear),"")</f>
        <v>6495.7239025009621</v>
      </c>
      <c r="J10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1831910.0688460632</v>
      </c>
      <c r="K101" s="19">
        <f>IF(PaymentSchedule34[[#This Row],[PMT NO]]&lt;&gt;"",SUM(INDEX(PaymentSchedule34[INTEREST],1,1):PaymentSchedule34[[#This Row],[INTEREST]]),"")</f>
        <v>612426.42865578562</v>
      </c>
    </row>
    <row r="102" spans="2:11" x14ac:dyDescent="0.3">
      <c r="B102" s="21">
        <f>IF(LoanIsGood,IF(ROW()-ROW(PaymentSchedule34[[#Headers],[PMT NO]])&gt;ScheduledNumberOfPayments,"",ROW()-ROW(PaymentSchedule34[[#Headers],[PMT NO]])),"")</f>
        <v>91</v>
      </c>
      <c r="C102" s="20">
        <f>IF(PaymentSchedule34[[#This Row],[PMT NO]]&lt;&gt;"",EOMONTH(LoanStartDate,ROW(PaymentSchedule34[[#This Row],[PMT NO]])-ROW(PaymentSchedule34[[#Headers],[PMT NO]])-2)+DAY(LoanStartDate),"")</f>
        <v>46388</v>
      </c>
      <c r="D102" s="19">
        <f>IF(PaymentSchedule34[[#This Row],[PMT NO]]&lt;&gt;"",IF(ROW()-ROW(PaymentSchedule34[[#Headers],[BEGINNING BALANCE]])=1,LoanAmount,INDEX(PaymentSchedule34[ENDING BALANCE],ROW()-ROW(PaymentSchedule34[[#Headers],[BEGINNING BALANCE]])-1)),"")</f>
        <v>1831910.0688460632</v>
      </c>
      <c r="E102" s="19">
        <f>IF(PaymentSchedule34[[#This Row],[PMT NO]]&lt;&gt;"",ScheduledPayment,"")</f>
        <v>8672.4039978858091</v>
      </c>
      <c r="F10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0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02" s="19">
        <f>IF(PaymentSchedule34[[#This Row],[PMT NO]]&lt;&gt;"",PaymentSchedule34[[#This Row],[TOTAL PAYMENT]]-PaymentSchedule34[[#This Row],[INTEREST]],"")</f>
        <v>2184.3891707226676</v>
      </c>
      <c r="I102" s="19">
        <f>IF(PaymentSchedule34[[#This Row],[PMT NO]]&lt;&gt;"",PaymentSchedule34[[#This Row],[BEGINNING BALANCE]]*(InterestRate/PaymentsPerYear),"")</f>
        <v>6488.0148271631415</v>
      </c>
      <c r="J10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1829725.6796753407</v>
      </c>
      <c r="K102" s="19">
        <f>IF(PaymentSchedule34[[#This Row],[PMT NO]]&lt;&gt;"",SUM(INDEX(PaymentSchedule34[INTEREST],1,1):PaymentSchedule34[[#This Row],[INTEREST]]),"")</f>
        <v>618914.44348294882</v>
      </c>
    </row>
    <row r="103" spans="2:11" x14ac:dyDescent="0.3">
      <c r="B103" s="21">
        <f>IF(LoanIsGood,IF(ROW()-ROW(PaymentSchedule34[[#Headers],[PMT NO]])&gt;ScheduledNumberOfPayments,"",ROW()-ROW(PaymentSchedule34[[#Headers],[PMT NO]])),"")</f>
        <v>92</v>
      </c>
      <c r="C103" s="20">
        <f>IF(PaymentSchedule34[[#This Row],[PMT NO]]&lt;&gt;"",EOMONTH(LoanStartDate,ROW(PaymentSchedule34[[#This Row],[PMT NO]])-ROW(PaymentSchedule34[[#Headers],[PMT NO]])-2)+DAY(LoanStartDate),"")</f>
        <v>46419</v>
      </c>
      <c r="D103" s="19">
        <f>IF(PaymentSchedule34[[#This Row],[PMT NO]]&lt;&gt;"",IF(ROW()-ROW(PaymentSchedule34[[#Headers],[BEGINNING BALANCE]])=1,LoanAmount,INDEX(PaymentSchedule34[ENDING BALANCE],ROW()-ROW(PaymentSchedule34[[#Headers],[BEGINNING BALANCE]])-1)),"")</f>
        <v>1829725.6796753407</v>
      </c>
      <c r="E103" s="19">
        <f>IF(PaymentSchedule34[[#This Row],[PMT NO]]&lt;&gt;"",ScheduledPayment,"")</f>
        <v>8672.4039978858091</v>
      </c>
      <c r="F10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0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03" s="19">
        <f>IF(PaymentSchedule34[[#This Row],[PMT NO]]&lt;&gt;"",PaymentSchedule34[[#This Row],[TOTAL PAYMENT]]-PaymentSchedule34[[#This Row],[INTEREST]],"")</f>
        <v>2192.1255490356434</v>
      </c>
      <c r="I103" s="19">
        <f>IF(PaymentSchedule34[[#This Row],[PMT NO]]&lt;&gt;"",PaymentSchedule34[[#This Row],[BEGINNING BALANCE]]*(InterestRate/PaymentsPerYear),"")</f>
        <v>6480.2784488501657</v>
      </c>
      <c r="J10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1827533.554126305</v>
      </c>
      <c r="K103" s="19">
        <f>IF(PaymentSchedule34[[#This Row],[PMT NO]]&lt;&gt;"",SUM(INDEX(PaymentSchedule34[INTEREST],1,1):PaymentSchedule34[[#This Row],[INTEREST]]),"")</f>
        <v>625394.72193179897</v>
      </c>
    </row>
    <row r="104" spans="2:11" x14ac:dyDescent="0.3">
      <c r="B104" s="21">
        <f>IF(LoanIsGood,IF(ROW()-ROW(PaymentSchedule34[[#Headers],[PMT NO]])&gt;ScheduledNumberOfPayments,"",ROW()-ROW(PaymentSchedule34[[#Headers],[PMT NO]])),"")</f>
        <v>93</v>
      </c>
      <c r="C104" s="20">
        <f>IF(PaymentSchedule34[[#This Row],[PMT NO]]&lt;&gt;"",EOMONTH(LoanStartDate,ROW(PaymentSchedule34[[#This Row],[PMT NO]])-ROW(PaymentSchedule34[[#Headers],[PMT NO]])-2)+DAY(LoanStartDate),"")</f>
        <v>46447</v>
      </c>
      <c r="D104" s="19">
        <f>IF(PaymentSchedule34[[#This Row],[PMT NO]]&lt;&gt;"",IF(ROW()-ROW(PaymentSchedule34[[#Headers],[BEGINNING BALANCE]])=1,LoanAmount,INDEX(PaymentSchedule34[ENDING BALANCE],ROW()-ROW(PaymentSchedule34[[#Headers],[BEGINNING BALANCE]])-1)),"")</f>
        <v>1827533.554126305</v>
      </c>
      <c r="E104" s="19">
        <f>IF(PaymentSchedule34[[#This Row],[PMT NO]]&lt;&gt;"",ScheduledPayment,"")</f>
        <v>8672.4039978858091</v>
      </c>
      <c r="F10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0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04" s="19">
        <f>IF(PaymentSchedule34[[#This Row],[PMT NO]]&lt;&gt;"",PaymentSchedule34[[#This Row],[TOTAL PAYMENT]]-PaymentSchedule34[[#This Row],[INTEREST]],"")</f>
        <v>2199.8893270218114</v>
      </c>
      <c r="I104" s="19">
        <f>IF(PaymentSchedule34[[#This Row],[PMT NO]]&lt;&gt;"",PaymentSchedule34[[#This Row],[BEGINNING BALANCE]]*(InterestRate/PaymentsPerYear),"")</f>
        <v>6472.5146708639977</v>
      </c>
      <c r="J10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1825333.6647992833</v>
      </c>
      <c r="K104" s="19">
        <f>IF(PaymentSchedule34[[#This Row],[PMT NO]]&lt;&gt;"",SUM(INDEX(PaymentSchedule34[INTEREST],1,1):PaymentSchedule34[[#This Row],[INTEREST]]),"")</f>
        <v>631867.23660266295</v>
      </c>
    </row>
    <row r="105" spans="2:11" x14ac:dyDescent="0.3">
      <c r="B105" s="21">
        <f>IF(LoanIsGood,IF(ROW()-ROW(PaymentSchedule34[[#Headers],[PMT NO]])&gt;ScheduledNumberOfPayments,"",ROW()-ROW(PaymentSchedule34[[#Headers],[PMT NO]])),"")</f>
        <v>94</v>
      </c>
      <c r="C105" s="20">
        <f>IF(PaymentSchedule34[[#This Row],[PMT NO]]&lt;&gt;"",EOMONTH(LoanStartDate,ROW(PaymentSchedule34[[#This Row],[PMT NO]])-ROW(PaymentSchedule34[[#Headers],[PMT NO]])-2)+DAY(LoanStartDate),"")</f>
        <v>46478</v>
      </c>
      <c r="D105" s="19">
        <f>IF(PaymentSchedule34[[#This Row],[PMT NO]]&lt;&gt;"",IF(ROW()-ROW(PaymentSchedule34[[#Headers],[BEGINNING BALANCE]])=1,LoanAmount,INDEX(PaymentSchedule34[ENDING BALANCE],ROW()-ROW(PaymentSchedule34[[#Headers],[BEGINNING BALANCE]])-1)),"")</f>
        <v>1825333.6647992833</v>
      </c>
      <c r="E105" s="19">
        <f>IF(PaymentSchedule34[[#This Row],[PMT NO]]&lt;&gt;"",ScheduledPayment,"")</f>
        <v>8672.4039978858091</v>
      </c>
      <c r="F10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0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05" s="19">
        <f>IF(PaymentSchedule34[[#This Row],[PMT NO]]&lt;&gt;"",PaymentSchedule34[[#This Row],[TOTAL PAYMENT]]-PaymentSchedule34[[#This Row],[INTEREST]],"")</f>
        <v>2207.6806017216804</v>
      </c>
      <c r="I105" s="19">
        <f>IF(PaymentSchedule34[[#This Row],[PMT NO]]&lt;&gt;"",PaymentSchedule34[[#This Row],[BEGINNING BALANCE]]*(InterestRate/PaymentsPerYear),"")</f>
        <v>6464.7233961641286</v>
      </c>
      <c r="J10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1823125.9841975616</v>
      </c>
      <c r="K105" s="19">
        <f>IF(PaymentSchedule34[[#This Row],[PMT NO]]&lt;&gt;"",SUM(INDEX(PaymentSchedule34[INTEREST],1,1):PaymentSchedule34[[#This Row],[INTEREST]]),"")</f>
        <v>638331.95999882708</v>
      </c>
    </row>
    <row r="106" spans="2:11" x14ac:dyDescent="0.3">
      <c r="B106" s="21">
        <f>IF(LoanIsGood,IF(ROW()-ROW(PaymentSchedule34[[#Headers],[PMT NO]])&gt;ScheduledNumberOfPayments,"",ROW()-ROW(PaymentSchedule34[[#Headers],[PMT NO]])),"")</f>
        <v>95</v>
      </c>
      <c r="C106" s="20">
        <f>IF(PaymentSchedule34[[#This Row],[PMT NO]]&lt;&gt;"",EOMONTH(LoanStartDate,ROW(PaymentSchedule34[[#This Row],[PMT NO]])-ROW(PaymentSchedule34[[#Headers],[PMT NO]])-2)+DAY(LoanStartDate),"")</f>
        <v>46508</v>
      </c>
      <c r="D106" s="19">
        <f>IF(PaymentSchedule34[[#This Row],[PMT NO]]&lt;&gt;"",IF(ROW()-ROW(PaymentSchedule34[[#Headers],[BEGINNING BALANCE]])=1,LoanAmount,INDEX(PaymentSchedule34[ENDING BALANCE],ROW()-ROW(PaymentSchedule34[[#Headers],[BEGINNING BALANCE]])-1)),"")</f>
        <v>1823125.9841975616</v>
      </c>
      <c r="E106" s="19">
        <f>IF(PaymentSchedule34[[#This Row],[PMT NO]]&lt;&gt;"",ScheduledPayment,"")</f>
        <v>8672.4039978858091</v>
      </c>
      <c r="F10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0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06" s="19">
        <f>IF(PaymentSchedule34[[#This Row],[PMT NO]]&lt;&gt;"",PaymentSchedule34[[#This Row],[TOTAL PAYMENT]]-PaymentSchedule34[[#This Row],[INTEREST]],"")</f>
        <v>2215.4994705194449</v>
      </c>
      <c r="I106" s="19">
        <f>IF(PaymentSchedule34[[#This Row],[PMT NO]]&lt;&gt;"",PaymentSchedule34[[#This Row],[BEGINNING BALANCE]]*(InterestRate/PaymentsPerYear),"")</f>
        <v>6456.9045273663642</v>
      </c>
      <c r="J10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1820910.4847270423</v>
      </c>
      <c r="K106" s="19">
        <f>IF(PaymentSchedule34[[#This Row],[PMT NO]]&lt;&gt;"",SUM(INDEX(PaymentSchedule34[INTEREST],1,1):PaymentSchedule34[[#This Row],[INTEREST]]),"")</f>
        <v>644788.86452619347</v>
      </c>
    </row>
    <row r="107" spans="2:11" x14ac:dyDescent="0.3">
      <c r="B107" s="21">
        <f>IF(LoanIsGood,IF(ROW()-ROW(PaymentSchedule34[[#Headers],[PMT NO]])&gt;ScheduledNumberOfPayments,"",ROW()-ROW(PaymentSchedule34[[#Headers],[PMT NO]])),"")</f>
        <v>96</v>
      </c>
      <c r="C107" s="20">
        <f>IF(PaymentSchedule34[[#This Row],[PMT NO]]&lt;&gt;"",EOMONTH(LoanStartDate,ROW(PaymentSchedule34[[#This Row],[PMT NO]])-ROW(PaymentSchedule34[[#Headers],[PMT NO]])-2)+DAY(LoanStartDate),"")</f>
        <v>46539</v>
      </c>
      <c r="D107" s="19">
        <f>IF(PaymentSchedule34[[#This Row],[PMT NO]]&lt;&gt;"",IF(ROW()-ROW(PaymentSchedule34[[#Headers],[BEGINNING BALANCE]])=1,LoanAmount,INDEX(PaymentSchedule34[ENDING BALANCE],ROW()-ROW(PaymentSchedule34[[#Headers],[BEGINNING BALANCE]])-1)),"")</f>
        <v>1820910.4847270423</v>
      </c>
      <c r="E107" s="19">
        <f>IF(PaymentSchedule34[[#This Row],[PMT NO]]&lt;&gt;"",ScheduledPayment,"")</f>
        <v>8672.4039978858091</v>
      </c>
      <c r="F10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0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07" s="19">
        <f>IF(PaymentSchedule34[[#This Row],[PMT NO]]&lt;&gt;"",PaymentSchedule34[[#This Row],[TOTAL PAYMENT]]-PaymentSchedule34[[#This Row],[INTEREST]],"")</f>
        <v>2223.3460311442004</v>
      </c>
      <c r="I107" s="19">
        <f>IF(PaymentSchedule34[[#This Row],[PMT NO]]&lt;&gt;"",PaymentSchedule34[[#This Row],[BEGINNING BALANCE]]*(InterestRate/PaymentsPerYear),"")</f>
        <v>6449.0579667416087</v>
      </c>
      <c r="J10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1818687.138695898</v>
      </c>
      <c r="K107" s="19">
        <f>IF(PaymentSchedule34[[#This Row],[PMT NO]]&lt;&gt;"",SUM(INDEX(PaymentSchedule34[INTEREST],1,1):PaymentSchedule34[[#This Row],[INTEREST]]),"")</f>
        <v>651237.92249293509</v>
      </c>
    </row>
    <row r="108" spans="2:11" x14ac:dyDescent="0.3">
      <c r="B108" s="21">
        <f>IF(LoanIsGood,IF(ROW()-ROW(PaymentSchedule34[[#Headers],[PMT NO]])&gt;ScheduledNumberOfPayments,"",ROW()-ROW(PaymentSchedule34[[#Headers],[PMT NO]])),"")</f>
        <v>97</v>
      </c>
      <c r="C108" s="20">
        <f>IF(PaymentSchedule34[[#This Row],[PMT NO]]&lt;&gt;"",EOMONTH(LoanStartDate,ROW(PaymentSchedule34[[#This Row],[PMT NO]])-ROW(PaymentSchedule34[[#Headers],[PMT NO]])-2)+DAY(LoanStartDate),"")</f>
        <v>46569</v>
      </c>
      <c r="D108" s="19">
        <f>IF(PaymentSchedule34[[#This Row],[PMT NO]]&lt;&gt;"",IF(ROW()-ROW(PaymentSchedule34[[#Headers],[BEGINNING BALANCE]])=1,LoanAmount,INDEX(PaymentSchedule34[ENDING BALANCE],ROW()-ROW(PaymentSchedule34[[#Headers],[BEGINNING BALANCE]])-1)),"")</f>
        <v>1818687.138695898</v>
      </c>
      <c r="E108" s="19">
        <f>IF(PaymentSchedule34[[#This Row],[PMT NO]]&lt;&gt;"",ScheduledPayment,"")</f>
        <v>8672.4039978858091</v>
      </c>
      <c r="F10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0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08" s="19">
        <f>IF(PaymentSchedule34[[#This Row],[PMT NO]]&lt;&gt;"",PaymentSchedule34[[#This Row],[TOTAL PAYMENT]]-PaymentSchedule34[[#This Row],[INTEREST]],"")</f>
        <v>2231.2203816711699</v>
      </c>
      <c r="I108" s="19">
        <f>IF(PaymentSchedule34[[#This Row],[PMT NO]]&lt;&gt;"",PaymentSchedule34[[#This Row],[BEGINNING BALANCE]]*(InterestRate/PaymentsPerYear),"")</f>
        <v>6441.1836162146392</v>
      </c>
      <c r="J10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1816455.9183142269</v>
      </c>
      <c r="K108" s="19">
        <f>IF(PaymentSchedule34[[#This Row],[PMT NO]]&lt;&gt;"",SUM(INDEX(PaymentSchedule34[INTEREST],1,1):PaymentSchedule34[[#This Row],[INTEREST]]),"")</f>
        <v>657679.10610914975</v>
      </c>
    </row>
    <row r="109" spans="2:11" x14ac:dyDescent="0.3">
      <c r="B109" s="21">
        <f>IF(LoanIsGood,IF(ROW()-ROW(PaymentSchedule34[[#Headers],[PMT NO]])&gt;ScheduledNumberOfPayments,"",ROW()-ROW(PaymentSchedule34[[#Headers],[PMT NO]])),"")</f>
        <v>98</v>
      </c>
      <c r="C109" s="20">
        <f>IF(PaymentSchedule34[[#This Row],[PMT NO]]&lt;&gt;"",EOMONTH(LoanStartDate,ROW(PaymentSchedule34[[#This Row],[PMT NO]])-ROW(PaymentSchedule34[[#Headers],[PMT NO]])-2)+DAY(LoanStartDate),"")</f>
        <v>46600</v>
      </c>
      <c r="D109" s="19">
        <f>IF(PaymentSchedule34[[#This Row],[PMT NO]]&lt;&gt;"",IF(ROW()-ROW(PaymentSchedule34[[#Headers],[BEGINNING BALANCE]])=1,LoanAmount,INDEX(PaymentSchedule34[ENDING BALANCE],ROW()-ROW(PaymentSchedule34[[#Headers],[BEGINNING BALANCE]])-1)),"")</f>
        <v>1816455.9183142269</v>
      </c>
      <c r="E109" s="19">
        <f>IF(PaymentSchedule34[[#This Row],[PMT NO]]&lt;&gt;"",ScheduledPayment,"")</f>
        <v>8672.4039978858091</v>
      </c>
      <c r="F10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0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09" s="19">
        <f>IF(PaymentSchedule34[[#This Row],[PMT NO]]&lt;&gt;"",PaymentSchedule34[[#This Row],[TOTAL PAYMENT]]-PaymentSchedule34[[#This Row],[INTEREST]],"")</f>
        <v>2239.1226205229214</v>
      </c>
      <c r="I109" s="19">
        <f>IF(PaymentSchedule34[[#This Row],[PMT NO]]&lt;&gt;"",PaymentSchedule34[[#This Row],[BEGINNING BALANCE]]*(InterestRate/PaymentsPerYear),"")</f>
        <v>6433.2813773628877</v>
      </c>
      <c r="J10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1814216.7956937039</v>
      </c>
      <c r="K109" s="19">
        <f>IF(PaymentSchedule34[[#This Row],[PMT NO]]&lt;&gt;"",SUM(INDEX(PaymentSchedule34[INTEREST],1,1):PaymentSchedule34[[#This Row],[INTEREST]]),"")</f>
        <v>664112.38748651266</v>
      </c>
    </row>
    <row r="110" spans="2:11" x14ac:dyDescent="0.3">
      <c r="B110" s="21">
        <f>IF(LoanIsGood,IF(ROW()-ROW(PaymentSchedule34[[#Headers],[PMT NO]])&gt;ScheduledNumberOfPayments,"",ROW()-ROW(PaymentSchedule34[[#Headers],[PMT NO]])),"")</f>
        <v>99</v>
      </c>
      <c r="C110" s="20">
        <f>IF(PaymentSchedule34[[#This Row],[PMT NO]]&lt;&gt;"",EOMONTH(LoanStartDate,ROW(PaymentSchedule34[[#This Row],[PMT NO]])-ROW(PaymentSchedule34[[#Headers],[PMT NO]])-2)+DAY(LoanStartDate),"")</f>
        <v>46631</v>
      </c>
      <c r="D110" s="19">
        <f>IF(PaymentSchedule34[[#This Row],[PMT NO]]&lt;&gt;"",IF(ROW()-ROW(PaymentSchedule34[[#Headers],[BEGINNING BALANCE]])=1,LoanAmount,INDEX(PaymentSchedule34[ENDING BALANCE],ROW()-ROW(PaymentSchedule34[[#Headers],[BEGINNING BALANCE]])-1)),"")</f>
        <v>1814216.7956937039</v>
      </c>
      <c r="E110" s="19">
        <f>IF(PaymentSchedule34[[#This Row],[PMT NO]]&lt;&gt;"",ScheduledPayment,"")</f>
        <v>8672.4039978858091</v>
      </c>
      <c r="F11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1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10" s="19">
        <f>IF(PaymentSchedule34[[#This Row],[PMT NO]]&lt;&gt;"",PaymentSchedule34[[#This Row],[TOTAL PAYMENT]]-PaymentSchedule34[[#This Row],[INTEREST]],"")</f>
        <v>2247.0528464706076</v>
      </c>
      <c r="I110" s="19">
        <f>IF(PaymentSchedule34[[#This Row],[PMT NO]]&lt;&gt;"",PaymentSchedule34[[#This Row],[BEGINNING BALANCE]]*(InterestRate/PaymentsPerYear),"")</f>
        <v>6425.3511514152015</v>
      </c>
      <c r="J11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1811969.7428472333</v>
      </c>
      <c r="K110" s="19">
        <f>IF(PaymentSchedule34[[#This Row],[PMT NO]]&lt;&gt;"",SUM(INDEX(PaymentSchedule34[INTEREST],1,1):PaymentSchedule34[[#This Row],[INTEREST]]),"")</f>
        <v>670537.7386379278</v>
      </c>
    </row>
    <row r="111" spans="2:11" x14ac:dyDescent="0.3">
      <c r="B111" s="21">
        <f>IF(LoanIsGood,IF(ROW()-ROW(PaymentSchedule34[[#Headers],[PMT NO]])&gt;ScheduledNumberOfPayments,"",ROW()-ROW(PaymentSchedule34[[#Headers],[PMT NO]])),"")</f>
        <v>100</v>
      </c>
      <c r="C111" s="20">
        <f>IF(PaymentSchedule34[[#This Row],[PMT NO]]&lt;&gt;"",EOMONTH(LoanStartDate,ROW(PaymentSchedule34[[#This Row],[PMT NO]])-ROW(PaymentSchedule34[[#Headers],[PMT NO]])-2)+DAY(LoanStartDate),"")</f>
        <v>46661</v>
      </c>
      <c r="D111" s="19">
        <f>IF(PaymentSchedule34[[#This Row],[PMT NO]]&lt;&gt;"",IF(ROW()-ROW(PaymentSchedule34[[#Headers],[BEGINNING BALANCE]])=1,LoanAmount,INDEX(PaymentSchedule34[ENDING BALANCE],ROW()-ROW(PaymentSchedule34[[#Headers],[BEGINNING BALANCE]])-1)),"")</f>
        <v>1811969.7428472333</v>
      </c>
      <c r="E111" s="19">
        <f>IF(PaymentSchedule34[[#This Row],[PMT NO]]&lt;&gt;"",ScheduledPayment,"")</f>
        <v>8672.4039978858091</v>
      </c>
      <c r="F11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1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11" s="19">
        <f>IF(PaymentSchedule34[[#This Row],[PMT NO]]&lt;&gt;"",PaymentSchedule34[[#This Row],[TOTAL PAYMENT]]-PaymentSchedule34[[#This Row],[INTEREST]],"")</f>
        <v>2255.0111586351904</v>
      </c>
      <c r="I111" s="19">
        <f>IF(PaymentSchedule34[[#This Row],[PMT NO]]&lt;&gt;"",PaymentSchedule34[[#This Row],[BEGINNING BALANCE]]*(InterestRate/PaymentsPerYear),"")</f>
        <v>6417.3928392506186</v>
      </c>
      <c r="J11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1809714.7316885982</v>
      </c>
      <c r="K111" s="19">
        <f>IF(PaymentSchedule34[[#This Row],[PMT NO]]&lt;&gt;"",SUM(INDEX(PaymentSchedule34[INTEREST],1,1):PaymentSchedule34[[#This Row],[INTEREST]]),"")</f>
        <v>676955.13147717842</v>
      </c>
    </row>
    <row r="112" spans="2:11" x14ac:dyDescent="0.3">
      <c r="B112" s="21">
        <f>IF(LoanIsGood,IF(ROW()-ROW(PaymentSchedule34[[#Headers],[PMT NO]])&gt;ScheduledNumberOfPayments,"",ROW()-ROW(PaymentSchedule34[[#Headers],[PMT NO]])),"")</f>
        <v>101</v>
      </c>
      <c r="C112" s="20">
        <f>IF(PaymentSchedule34[[#This Row],[PMT NO]]&lt;&gt;"",EOMONTH(LoanStartDate,ROW(PaymentSchedule34[[#This Row],[PMT NO]])-ROW(PaymentSchedule34[[#Headers],[PMT NO]])-2)+DAY(LoanStartDate),"")</f>
        <v>46692</v>
      </c>
      <c r="D112" s="19">
        <f>IF(PaymentSchedule34[[#This Row],[PMT NO]]&lt;&gt;"",IF(ROW()-ROW(PaymentSchedule34[[#Headers],[BEGINNING BALANCE]])=1,LoanAmount,INDEX(PaymentSchedule34[ENDING BALANCE],ROW()-ROW(PaymentSchedule34[[#Headers],[BEGINNING BALANCE]])-1)),"")</f>
        <v>1809714.7316885982</v>
      </c>
      <c r="E112" s="19">
        <f>IF(PaymentSchedule34[[#This Row],[PMT NO]]&lt;&gt;"",ScheduledPayment,"")</f>
        <v>8672.4039978858091</v>
      </c>
      <c r="F11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1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12" s="19">
        <f>IF(PaymentSchedule34[[#This Row],[PMT NO]]&lt;&gt;"",PaymentSchedule34[[#This Row],[TOTAL PAYMENT]]-PaymentSchedule34[[#This Row],[INTEREST]],"")</f>
        <v>2262.9976564886902</v>
      </c>
      <c r="I112" s="19">
        <f>IF(PaymentSchedule34[[#This Row],[PMT NO]]&lt;&gt;"",PaymentSchedule34[[#This Row],[BEGINNING BALANCE]]*(InterestRate/PaymentsPerYear),"")</f>
        <v>6409.4063413971189</v>
      </c>
      <c r="J11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1807451.7340321094</v>
      </c>
      <c r="K112" s="19">
        <f>IF(PaymentSchedule34[[#This Row],[PMT NO]]&lt;&gt;"",SUM(INDEX(PaymentSchedule34[INTEREST],1,1):PaymentSchedule34[[#This Row],[INTEREST]]),"")</f>
        <v>683364.53781857551</v>
      </c>
    </row>
    <row r="113" spans="2:11" x14ac:dyDescent="0.3">
      <c r="B113" s="21">
        <f>IF(LoanIsGood,IF(ROW()-ROW(PaymentSchedule34[[#Headers],[PMT NO]])&gt;ScheduledNumberOfPayments,"",ROW()-ROW(PaymentSchedule34[[#Headers],[PMT NO]])),"")</f>
        <v>102</v>
      </c>
      <c r="C113" s="20">
        <f>IF(PaymentSchedule34[[#This Row],[PMT NO]]&lt;&gt;"",EOMONTH(LoanStartDate,ROW(PaymentSchedule34[[#This Row],[PMT NO]])-ROW(PaymentSchedule34[[#Headers],[PMT NO]])-2)+DAY(LoanStartDate),"")</f>
        <v>46722</v>
      </c>
      <c r="D113" s="19">
        <f>IF(PaymentSchedule34[[#This Row],[PMT NO]]&lt;&gt;"",IF(ROW()-ROW(PaymentSchedule34[[#Headers],[BEGINNING BALANCE]])=1,LoanAmount,INDEX(PaymentSchedule34[ENDING BALANCE],ROW()-ROW(PaymentSchedule34[[#Headers],[BEGINNING BALANCE]])-1)),"")</f>
        <v>1807451.7340321094</v>
      </c>
      <c r="E113" s="19">
        <f>IF(PaymentSchedule34[[#This Row],[PMT NO]]&lt;&gt;"",ScheduledPayment,"")</f>
        <v>8672.4039978858091</v>
      </c>
      <c r="F11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1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13" s="19">
        <f>IF(PaymentSchedule34[[#This Row],[PMT NO]]&lt;&gt;"",PaymentSchedule34[[#This Row],[TOTAL PAYMENT]]-PaymentSchedule34[[#This Row],[INTEREST]],"")</f>
        <v>2271.0124398554208</v>
      </c>
      <c r="I113" s="19">
        <f>IF(PaymentSchedule34[[#This Row],[PMT NO]]&lt;&gt;"",PaymentSchedule34[[#This Row],[BEGINNING BALANCE]]*(InterestRate/PaymentsPerYear),"")</f>
        <v>6401.3915580303883</v>
      </c>
      <c r="J11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1805180.721592254</v>
      </c>
      <c r="K113" s="19">
        <f>IF(PaymentSchedule34[[#This Row],[PMT NO]]&lt;&gt;"",SUM(INDEX(PaymentSchedule34[INTEREST],1,1):PaymentSchedule34[[#This Row],[INTEREST]]),"")</f>
        <v>689765.9293766059</v>
      </c>
    </row>
    <row r="114" spans="2:11" x14ac:dyDescent="0.3">
      <c r="B114" s="21">
        <f>IF(LoanIsGood,IF(ROW()-ROW(PaymentSchedule34[[#Headers],[PMT NO]])&gt;ScheduledNumberOfPayments,"",ROW()-ROW(PaymentSchedule34[[#Headers],[PMT NO]])),"")</f>
        <v>103</v>
      </c>
      <c r="C114" s="20">
        <f>IF(PaymentSchedule34[[#This Row],[PMT NO]]&lt;&gt;"",EOMONTH(LoanStartDate,ROW(PaymentSchedule34[[#This Row],[PMT NO]])-ROW(PaymentSchedule34[[#Headers],[PMT NO]])-2)+DAY(LoanStartDate),"")</f>
        <v>46753</v>
      </c>
      <c r="D114" s="19">
        <f>IF(PaymentSchedule34[[#This Row],[PMT NO]]&lt;&gt;"",IF(ROW()-ROW(PaymentSchedule34[[#Headers],[BEGINNING BALANCE]])=1,LoanAmount,INDEX(PaymentSchedule34[ENDING BALANCE],ROW()-ROW(PaymentSchedule34[[#Headers],[BEGINNING BALANCE]])-1)),"")</f>
        <v>1805180.721592254</v>
      </c>
      <c r="E114" s="19">
        <f>IF(PaymentSchedule34[[#This Row],[PMT NO]]&lt;&gt;"",ScheduledPayment,"")</f>
        <v>8672.4039978858091</v>
      </c>
      <c r="F11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1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14" s="19">
        <f>IF(PaymentSchedule34[[#This Row],[PMT NO]]&lt;&gt;"",PaymentSchedule34[[#This Row],[TOTAL PAYMENT]]-PaymentSchedule34[[#This Row],[INTEREST]],"")</f>
        <v>2279.0556089132424</v>
      </c>
      <c r="I114" s="19">
        <f>IF(PaymentSchedule34[[#This Row],[PMT NO]]&lt;&gt;"",PaymentSchedule34[[#This Row],[BEGINNING BALANCE]]*(InterestRate/PaymentsPerYear),"")</f>
        <v>6393.3483889725667</v>
      </c>
      <c r="J11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1802901.6659833407</v>
      </c>
      <c r="K114" s="19">
        <f>IF(PaymentSchedule34[[#This Row],[PMT NO]]&lt;&gt;"",SUM(INDEX(PaymentSchedule34[INTEREST],1,1):PaymentSchedule34[[#This Row],[INTEREST]]),"")</f>
        <v>696159.27776557847</v>
      </c>
    </row>
    <row r="115" spans="2:11" x14ac:dyDescent="0.3">
      <c r="B115" s="21">
        <f>IF(LoanIsGood,IF(ROW()-ROW(PaymentSchedule34[[#Headers],[PMT NO]])&gt;ScheduledNumberOfPayments,"",ROW()-ROW(PaymentSchedule34[[#Headers],[PMT NO]])),"")</f>
        <v>104</v>
      </c>
      <c r="C115" s="20">
        <f>IF(PaymentSchedule34[[#This Row],[PMT NO]]&lt;&gt;"",EOMONTH(LoanStartDate,ROW(PaymentSchedule34[[#This Row],[PMT NO]])-ROW(PaymentSchedule34[[#Headers],[PMT NO]])-2)+DAY(LoanStartDate),"")</f>
        <v>46784</v>
      </c>
      <c r="D115" s="19">
        <f>IF(PaymentSchedule34[[#This Row],[PMT NO]]&lt;&gt;"",IF(ROW()-ROW(PaymentSchedule34[[#Headers],[BEGINNING BALANCE]])=1,LoanAmount,INDEX(PaymentSchedule34[ENDING BALANCE],ROW()-ROW(PaymentSchedule34[[#Headers],[BEGINNING BALANCE]])-1)),"")</f>
        <v>1802901.6659833407</v>
      </c>
      <c r="E115" s="19">
        <f>IF(PaymentSchedule34[[#This Row],[PMT NO]]&lt;&gt;"",ScheduledPayment,"")</f>
        <v>8672.4039978858091</v>
      </c>
      <c r="F11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1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15" s="19">
        <f>IF(PaymentSchedule34[[#This Row],[PMT NO]]&lt;&gt;"",PaymentSchedule34[[#This Row],[TOTAL PAYMENT]]-PaymentSchedule34[[#This Row],[INTEREST]],"")</f>
        <v>2287.1272641948099</v>
      </c>
      <c r="I115" s="19">
        <f>IF(PaymentSchedule34[[#This Row],[PMT NO]]&lt;&gt;"",PaymentSchedule34[[#This Row],[BEGINNING BALANCE]]*(InterestRate/PaymentsPerYear),"")</f>
        <v>6385.2767336909992</v>
      </c>
      <c r="J11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1800614.5387191458</v>
      </c>
      <c r="K115" s="19">
        <f>IF(PaymentSchedule34[[#This Row],[PMT NO]]&lt;&gt;"",SUM(INDEX(PaymentSchedule34[INTEREST],1,1):PaymentSchedule34[[#This Row],[INTEREST]]),"")</f>
        <v>702544.55449926946</v>
      </c>
    </row>
    <row r="116" spans="2:11" x14ac:dyDescent="0.3">
      <c r="B116" s="21">
        <f>IF(LoanIsGood,IF(ROW()-ROW(PaymentSchedule34[[#Headers],[PMT NO]])&gt;ScheduledNumberOfPayments,"",ROW()-ROW(PaymentSchedule34[[#Headers],[PMT NO]])),"")</f>
        <v>105</v>
      </c>
      <c r="C116" s="20">
        <f>IF(PaymentSchedule34[[#This Row],[PMT NO]]&lt;&gt;"",EOMONTH(LoanStartDate,ROW(PaymentSchedule34[[#This Row],[PMT NO]])-ROW(PaymentSchedule34[[#Headers],[PMT NO]])-2)+DAY(LoanStartDate),"")</f>
        <v>46813</v>
      </c>
      <c r="D116" s="19">
        <f>IF(PaymentSchedule34[[#This Row],[PMT NO]]&lt;&gt;"",IF(ROW()-ROW(PaymentSchedule34[[#Headers],[BEGINNING BALANCE]])=1,LoanAmount,INDEX(PaymentSchedule34[ENDING BALANCE],ROW()-ROW(PaymentSchedule34[[#Headers],[BEGINNING BALANCE]])-1)),"")</f>
        <v>1800614.5387191458</v>
      </c>
      <c r="E116" s="19">
        <f>IF(PaymentSchedule34[[#This Row],[PMT NO]]&lt;&gt;"",ScheduledPayment,"")</f>
        <v>8672.4039978858091</v>
      </c>
      <c r="F11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1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16" s="19">
        <f>IF(PaymentSchedule34[[#This Row],[PMT NO]]&lt;&gt;"",PaymentSchedule34[[#This Row],[TOTAL PAYMENT]]-PaymentSchedule34[[#This Row],[INTEREST]],"")</f>
        <v>2295.2275065888334</v>
      </c>
      <c r="I116" s="19">
        <f>IF(PaymentSchedule34[[#This Row],[PMT NO]]&lt;&gt;"",PaymentSchedule34[[#This Row],[BEGINNING BALANCE]]*(InterestRate/PaymentsPerYear),"")</f>
        <v>6377.1764912969757</v>
      </c>
      <c r="J11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1798319.3112125569</v>
      </c>
      <c r="K116" s="19">
        <f>IF(PaymentSchedule34[[#This Row],[PMT NO]]&lt;&gt;"",SUM(INDEX(PaymentSchedule34[INTEREST],1,1):PaymentSchedule34[[#This Row],[INTEREST]]),"")</f>
        <v>708921.73099056643</v>
      </c>
    </row>
    <row r="117" spans="2:11" x14ac:dyDescent="0.3">
      <c r="B117" s="21">
        <f>IF(LoanIsGood,IF(ROW()-ROW(PaymentSchedule34[[#Headers],[PMT NO]])&gt;ScheduledNumberOfPayments,"",ROW()-ROW(PaymentSchedule34[[#Headers],[PMT NO]])),"")</f>
        <v>106</v>
      </c>
      <c r="C117" s="20">
        <f>IF(PaymentSchedule34[[#This Row],[PMT NO]]&lt;&gt;"",EOMONTH(LoanStartDate,ROW(PaymentSchedule34[[#This Row],[PMT NO]])-ROW(PaymentSchedule34[[#Headers],[PMT NO]])-2)+DAY(LoanStartDate),"")</f>
        <v>46844</v>
      </c>
      <c r="D117" s="19">
        <f>IF(PaymentSchedule34[[#This Row],[PMT NO]]&lt;&gt;"",IF(ROW()-ROW(PaymentSchedule34[[#Headers],[BEGINNING BALANCE]])=1,LoanAmount,INDEX(PaymentSchedule34[ENDING BALANCE],ROW()-ROW(PaymentSchedule34[[#Headers],[BEGINNING BALANCE]])-1)),"")</f>
        <v>1798319.3112125569</v>
      </c>
      <c r="E117" s="19">
        <f>IF(PaymentSchedule34[[#This Row],[PMT NO]]&lt;&gt;"",ScheduledPayment,"")</f>
        <v>8672.4039978858091</v>
      </c>
      <c r="F11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1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17" s="19">
        <f>IF(PaymentSchedule34[[#This Row],[PMT NO]]&lt;&gt;"",PaymentSchedule34[[#This Row],[TOTAL PAYMENT]]-PaymentSchedule34[[#This Row],[INTEREST]],"")</f>
        <v>2303.3564373413365</v>
      </c>
      <c r="I117" s="19">
        <f>IF(PaymentSchedule34[[#This Row],[PMT NO]]&lt;&gt;"",PaymentSchedule34[[#This Row],[BEGINNING BALANCE]]*(InterestRate/PaymentsPerYear),"")</f>
        <v>6369.0475605444726</v>
      </c>
      <c r="J11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1796015.9547752156</v>
      </c>
      <c r="K117" s="19">
        <f>IF(PaymentSchedule34[[#This Row],[PMT NO]]&lt;&gt;"",SUM(INDEX(PaymentSchedule34[INTEREST],1,1):PaymentSchedule34[[#This Row],[INTEREST]]),"")</f>
        <v>715290.77855111088</v>
      </c>
    </row>
    <row r="118" spans="2:11" x14ac:dyDescent="0.3">
      <c r="B118" s="21">
        <f>IF(LoanIsGood,IF(ROW()-ROW(PaymentSchedule34[[#Headers],[PMT NO]])&gt;ScheduledNumberOfPayments,"",ROW()-ROW(PaymentSchedule34[[#Headers],[PMT NO]])),"")</f>
        <v>107</v>
      </c>
      <c r="C118" s="20">
        <f>IF(PaymentSchedule34[[#This Row],[PMT NO]]&lt;&gt;"",EOMONTH(LoanStartDate,ROW(PaymentSchedule34[[#This Row],[PMT NO]])-ROW(PaymentSchedule34[[#Headers],[PMT NO]])-2)+DAY(LoanStartDate),"")</f>
        <v>46874</v>
      </c>
      <c r="D118" s="19">
        <f>IF(PaymentSchedule34[[#This Row],[PMT NO]]&lt;&gt;"",IF(ROW()-ROW(PaymentSchedule34[[#Headers],[BEGINNING BALANCE]])=1,LoanAmount,INDEX(PaymentSchedule34[ENDING BALANCE],ROW()-ROW(PaymentSchedule34[[#Headers],[BEGINNING BALANCE]])-1)),"")</f>
        <v>1796015.9547752156</v>
      </c>
      <c r="E118" s="19">
        <f>IF(PaymentSchedule34[[#This Row],[PMT NO]]&lt;&gt;"",ScheduledPayment,"")</f>
        <v>8672.4039978858091</v>
      </c>
      <c r="F11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1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18" s="19">
        <f>IF(PaymentSchedule34[[#This Row],[PMT NO]]&lt;&gt;"",PaymentSchedule34[[#This Row],[TOTAL PAYMENT]]-PaymentSchedule34[[#This Row],[INTEREST]],"")</f>
        <v>2311.5141580569198</v>
      </c>
      <c r="I118" s="19">
        <f>IF(PaymentSchedule34[[#This Row],[PMT NO]]&lt;&gt;"",PaymentSchedule34[[#This Row],[BEGINNING BALANCE]]*(InterestRate/PaymentsPerYear),"")</f>
        <v>6360.8898398288893</v>
      </c>
      <c r="J11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1793704.4406171588</v>
      </c>
      <c r="K118" s="19">
        <f>IF(PaymentSchedule34[[#This Row],[PMT NO]]&lt;&gt;"",SUM(INDEX(PaymentSchedule34[INTEREST],1,1):PaymentSchedule34[[#This Row],[INTEREST]]),"")</f>
        <v>721651.66839093983</v>
      </c>
    </row>
    <row r="119" spans="2:11" x14ac:dyDescent="0.3">
      <c r="B119" s="21">
        <f>IF(LoanIsGood,IF(ROW()-ROW(PaymentSchedule34[[#Headers],[PMT NO]])&gt;ScheduledNumberOfPayments,"",ROW()-ROW(PaymentSchedule34[[#Headers],[PMT NO]])),"")</f>
        <v>108</v>
      </c>
      <c r="C119" s="20">
        <f>IF(PaymentSchedule34[[#This Row],[PMT NO]]&lt;&gt;"",EOMONTH(LoanStartDate,ROW(PaymentSchedule34[[#This Row],[PMT NO]])-ROW(PaymentSchedule34[[#Headers],[PMT NO]])-2)+DAY(LoanStartDate),"")</f>
        <v>46905</v>
      </c>
      <c r="D119" s="19">
        <f>IF(PaymentSchedule34[[#This Row],[PMT NO]]&lt;&gt;"",IF(ROW()-ROW(PaymentSchedule34[[#Headers],[BEGINNING BALANCE]])=1,LoanAmount,INDEX(PaymentSchedule34[ENDING BALANCE],ROW()-ROW(PaymentSchedule34[[#Headers],[BEGINNING BALANCE]])-1)),"")</f>
        <v>1793704.4406171588</v>
      </c>
      <c r="E119" s="19">
        <f>IF(PaymentSchedule34[[#This Row],[PMT NO]]&lt;&gt;"",ScheduledPayment,"")</f>
        <v>8672.4039978858091</v>
      </c>
      <c r="F11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1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19" s="19">
        <f>IF(PaymentSchedule34[[#This Row],[PMT NO]]&lt;&gt;"",PaymentSchedule34[[#This Row],[TOTAL PAYMENT]]-PaymentSchedule34[[#This Row],[INTEREST]],"")</f>
        <v>2319.7007707000375</v>
      </c>
      <c r="I119" s="19">
        <f>IF(PaymentSchedule34[[#This Row],[PMT NO]]&lt;&gt;"",PaymentSchedule34[[#This Row],[BEGINNING BALANCE]]*(InterestRate/PaymentsPerYear),"")</f>
        <v>6352.7032271857715</v>
      </c>
      <c r="J11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1791384.7398464587</v>
      </c>
      <c r="K119" s="19">
        <f>IF(PaymentSchedule34[[#This Row],[PMT NO]]&lt;&gt;"",SUM(INDEX(PaymentSchedule34[INTEREST],1,1):PaymentSchedule34[[#This Row],[INTEREST]]),"")</f>
        <v>728004.37161812559</v>
      </c>
    </row>
    <row r="120" spans="2:11" x14ac:dyDescent="0.3">
      <c r="B120" s="21">
        <f>IF(LoanIsGood,IF(ROW()-ROW(PaymentSchedule34[[#Headers],[PMT NO]])&gt;ScheduledNumberOfPayments,"",ROW()-ROW(PaymentSchedule34[[#Headers],[PMT NO]])),"")</f>
        <v>109</v>
      </c>
      <c r="C120" s="20">
        <f>IF(PaymentSchedule34[[#This Row],[PMT NO]]&lt;&gt;"",EOMONTH(LoanStartDate,ROW(PaymentSchedule34[[#This Row],[PMT NO]])-ROW(PaymentSchedule34[[#Headers],[PMT NO]])-2)+DAY(LoanStartDate),"")</f>
        <v>46935</v>
      </c>
      <c r="D120" s="19">
        <f>IF(PaymentSchedule34[[#This Row],[PMT NO]]&lt;&gt;"",IF(ROW()-ROW(PaymentSchedule34[[#Headers],[BEGINNING BALANCE]])=1,LoanAmount,INDEX(PaymentSchedule34[ENDING BALANCE],ROW()-ROW(PaymentSchedule34[[#Headers],[BEGINNING BALANCE]])-1)),"")</f>
        <v>1791384.7398464587</v>
      </c>
      <c r="E120" s="19">
        <f>IF(PaymentSchedule34[[#This Row],[PMT NO]]&lt;&gt;"",ScheduledPayment,"")</f>
        <v>8672.4039978858091</v>
      </c>
      <c r="F12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2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20" s="19">
        <f>IF(PaymentSchedule34[[#This Row],[PMT NO]]&lt;&gt;"",PaymentSchedule34[[#This Row],[TOTAL PAYMENT]]-PaymentSchedule34[[#This Row],[INTEREST]],"")</f>
        <v>2327.9163775962679</v>
      </c>
      <c r="I120" s="19">
        <f>IF(PaymentSchedule34[[#This Row],[PMT NO]]&lt;&gt;"",PaymentSchedule34[[#This Row],[BEGINNING BALANCE]]*(InterestRate/PaymentsPerYear),"")</f>
        <v>6344.4876202895412</v>
      </c>
      <c r="J12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1789056.8234688623</v>
      </c>
      <c r="K120" s="19">
        <f>IF(PaymentSchedule34[[#This Row],[PMT NO]]&lt;&gt;"",SUM(INDEX(PaymentSchedule34[INTEREST],1,1):PaymentSchedule34[[#This Row],[INTEREST]]),"")</f>
        <v>734348.85923841514</v>
      </c>
    </row>
    <row r="121" spans="2:11" x14ac:dyDescent="0.3">
      <c r="B121" s="21">
        <f>IF(LoanIsGood,IF(ROW()-ROW(PaymentSchedule34[[#Headers],[PMT NO]])&gt;ScheduledNumberOfPayments,"",ROW()-ROW(PaymentSchedule34[[#Headers],[PMT NO]])),"")</f>
        <v>110</v>
      </c>
      <c r="C121" s="20">
        <f>IF(PaymentSchedule34[[#This Row],[PMT NO]]&lt;&gt;"",EOMONTH(LoanStartDate,ROW(PaymentSchedule34[[#This Row],[PMT NO]])-ROW(PaymentSchedule34[[#Headers],[PMT NO]])-2)+DAY(LoanStartDate),"")</f>
        <v>46966</v>
      </c>
      <c r="D121" s="19">
        <f>IF(PaymentSchedule34[[#This Row],[PMT NO]]&lt;&gt;"",IF(ROW()-ROW(PaymentSchedule34[[#Headers],[BEGINNING BALANCE]])=1,LoanAmount,INDEX(PaymentSchedule34[ENDING BALANCE],ROW()-ROW(PaymentSchedule34[[#Headers],[BEGINNING BALANCE]])-1)),"")</f>
        <v>1789056.8234688623</v>
      </c>
      <c r="E121" s="19">
        <f>IF(PaymentSchedule34[[#This Row],[PMT NO]]&lt;&gt;"",ScheduledPayment,"")</f>
        <v>8672.4039978858091</v>
      </c>
      <c r="F12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2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21" s="19">
        <f>IF(PaymentSchedule34[[#This Row],[PMT NO]]&lt;&gt;"",PaymentSchedule34[[#This Row],[TOTAL PAYMENT]]-PaymentSchedule34[[#This Row],[INTEREST]],"")</f>
        <v>2336.1610814335882</v>
      </c>
      <c r="I121" s="19">
        <f>IF(PaymentSchedule34[[#This Row],[PMT NO]]&lt;&gt;"",PaymentSchedule34[[#This Row],[BEGINNING BALANCE]]*(InterestRate/PaymentsPerYear),"")</f>
        <v>6336.2429164522209</v>
      </c>
      <c r="J12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1786720.6623874288</v>
      </c>
      <c r="K121" s="19">
        <f>IF(PaymentSchedule34[[#This Row],[PMT NO]]&lt;&gt;"",SUM(INDEX(PaymentSchedule34[INTEREST],1,1):PaymentSchedule34[[#This Row],[INTEREST]]),"")</f>
        <v>740685.10215486737</v>
      </c>
    </row>
    <row r="122" spans="2:11" x14ac:dyDescent="0.3">
      <c r="B122" s="21">
        <f>IF(LoanIsGood,IF(ROW()-ROW(PaymentSchedule34[[#Headers],[PMT NO]])&gt;ScheduledNumberOfPayments,"",ROW()-ROW(PaymentSchedule34[[#Headers],[PMT NO]])),"")</f>
        <v>111</v>
      </c>
      <c r="C122" s="20">
        <f>IF(PaymentSchedule34[[#This Row],[PMT NO]]&lt;&gt;"",EOMONTH(LoanStartDate,ROW(PaymentSchedule34[[#This Row],[PMT NO]])-ROW(PaymentSchedule34[[#Headers],[PMT NO]])-2)+DAY(LoanStartDate),"")</f>
        <v>46997</v>
      </c>
      <c r="D122" s="19">
        <f>IF(PaymentSchedule34[[#This Row],[PMT NO]]&lt;&gt;"",IF(ROW()-ROW(PaymentSchedule34[[#Headers],[BEGINNING BALANCE]])=1,LoanAmount,INDEX(PaymentSchedule34[ENDING BALANCE],ROW()-ROW(PaymentSchedule34[[#Headers],[BEGINNING BALANCE]])-1)),"")</f>
        <v>1786720.6623874288</v>
      </c>
      <c r="E122" s="19">
        <f>IF(PaymentSchedule34[[#This Row],[PMT NO]]&lt;&gt;"",ScheduledPayment,"")</f>
        <v>8672.4039978858091</v>
      </c>
      <c r="F12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2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22" s="19">
        <f>IF(PaymentSchedule34[[#This Row],[PMT NO]]&lt;&gt;"",PaymentSchedule34[[#This Row],[TOTAL PAYMENT]]-PaymentSchedule34[[#This Row],[INTEREST]],"")</f>
        <v>2344.4349852636651</v>
      </c>
      <c r="I122" s="19">
        <f>IF(PaymentSchedule34[[#This Row],[PMT NO]]&lt;&gt;"",PaymentSchedule34[[#This Row],[BEGINNING BALANCE]]*(InterestRate/PaymentsPerYear),"")</f>
        <v>6327.969012622144</v>
      </c>
      <c r="J12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1784376.2274021651</v>
      </c>
      <c r="K122" s="19">
        <f>IF(PaymentSchedule34[[#This Row],[PMT NO]]&lt;&gt;"",SUM(INDEX(PaymentSchedule34[INTEREST],1,1):PaymentSchedule34[[#This Row],[INTEREST]]),"")</f>
        <v>747013.07116748951</v>
      </c>
    </row>
    <row r="123" spans="2:11" x14ac:dyDescent="0.3">
      <c r="B123" s="21">
        <f>IF(LoanIsGood,IF(ROW()-ROW(PaymentSchedule34[[#Headers],[PMT NO]])&gt;ScheduledNumberOfPayments,"",ROW()-ROW(PaymentSchedule34[[#Headers],[PMT NO]])),"")</f>
        <v>112</v>
      </c>
      <c r="C123" s="20">
        <f>IF(PaymentSchedule34[[#This Row],[PMT NO]]&lt;&gt;"",EOMONTH(LoanStartDate,ROW(PaymentSchedule34[[#This Row],[PMT NO]])-ROW(PaymentSchedule34[[#Headers],[PMT NO]])-2)+DAY(LoanStartDate),"")</f>
        <v>47027</v>
      </c>
      <c r="D123" s="19">
        <f>IF(PaymentSchedule34[[#This Row],[PMT NO]]&lt;&gt;"",IF(ROW()-ROW(PaymentSchedule34[[#Headers],[BEGINNING BALANCE]])=1,LoanAmount,INDEX(PaymentSchedule34[ENDING BALANCE],ROW()-ROW(PaymentSchedule34[[#Headers],[BEGINNING BALANCE]])-1)),"")</f>
        <v>1784376.2274021651</v>
      </c>
      <c r="E123" s="19">
        <f>IF(PaymentSchedule34[[#This Row],[PMT NO]]&lt;&gt;"",ScheduledPayment,"")</f>
        <v>8672.4039978858091</v>
      </c>
      <c r="F12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2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23" s="19">
        <f>IF(PaymentSchedule34[[#This Row],[PMT NO]]&lt;&gt;"",PaymentSchedule34[[#This Row],[TOTAL PAYMENT]]-PaymentSchedule34[[#This Row],[INTEREST]],"")</f>
        <v>2352.7381925031405</v>
      </c>
      <c r="I123" s="19">
        <f>IF(PaymentSchedule34[[#This Row],[PMT NO]]&lt;&gt;"",PaymentSchedule34[[#This Row],[BEGINNING BALANCE]]*(InterestRate/PaymentsPerYear),"")</f>
        <v>6319.6658053826686</v>
      </c>
      <c r="J12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1782023.489209662</v>
      </c>
      <c r="K123" s="19">
        <f>IF(PaymentSchedule34[[#This Row],[PMT NO]]&lt;&gt;"",SUM(INDEX(PaymentSchedule34[INTEREST],1,1):PaymentSchedule34[[#This Row],[INTEREST]]),"")</f>
        <v>753332.73697287217</v>
      </c>
    </row>
    <row r="124" spans="2:11" x14ac:dyDescent="0.3">
      <c r="B124" s="21">
        <f>IF(LoanIsGood,IF(ROW()-ROW(PaymentSchedule34[[#Headers],[PMT NO]])&gt;ScheduledNumberOfPayments,"",ROW()-ROW(PaymentSchedule34[[#Headers],[PMT NO]])),"")</f>
        <v>113</v>
      </c>
      <c r="C124" s="20">
        <f>IF(PaymentSchedule34[[#This Row],[PMT NO]]&lt;&gt;"",EOMONTH(LoanStartDate,ROW(PaymentSchedule34[[#This Row],[PMT NO]])-ROW(PaymentSchedule34[[#Headers],[PMT NO]])-2)+DAY(LoanStartDate),"")</f>
        <v>47058</v>
      </c>
      <c r="D124" s="19">
        <f>IF(PaymentSchedule34[[#This Row],[PMT NO]]&lt;&gt;"",IF(ROW()-ROW(PaymentSchedule34[[#Headers],[BEGINNING BALANCE]])=1,LoanAmount,INDEX(PaymentSchedule34[ENDING BALANCE],ROW()-ROW(PaymentSchedule34[[#Headers],[BEGINNING BALANCE]])-1)),"")</f>
        <v>1782023.489209662</v>
      </c>
      <c r="E124" s="19">
        <f>IF(PaymentSchedule34[[#This Row],[PMT NO]]&lt;&gt;"",ScheduledPayment,"")</f>
        <v>8672.4039978858091</v>
      </c>
      <c r="F12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2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24" s="19">
        <f>IF(PaymentSchedule34[[#This Row],[PMT NO]]&lt;&gt;"",PaymentSchedule34[[#This Row],[TOTAL PAYMENT]]-PaymentSchedule34[[#This Row],[INTEREST]],"")</f>
        <v>2361.0708069349221</v>
      </c>
      <c r="I124" s="19">
        <f>IF(PaymentSchedule34[[#This Row],[PMT NO]]&lt;&gt;"",PaymentSchedule34[[#This Row],[BEGINNING BALANCE]]*(InterestRate/PaymentsPerYear),"")</f>
        <v>6311.333190950887</v>
      </c>
      <c r="J12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1779662.418402727</v>
      </c>
      <c r="K124" s="19">
        <f>IF(PaymentSchedule34[[#This Row],[PMT NO]]&lt;&gt;"",SUM(INDEX(PaymentSchedule34[INTEREST],1,1):PaymentSchedule34[[#This Row],[INTEREST]]),"")</f>
        <v>759644.07016382308</v>
      </c>
    </row>
    <row r="125" spans="2:11" x14ac:dyDescent="0.3">
      <c r="B125" s="21">
        <f>IF(LoanIsGood,IF(ROW()-ROW(PaymentSchedule34[[#Headers],[PMT NO]])&gt;ScheduledNumberOfPayments,"",ROW()-ROW(PaymentSchedule34[[#Headers],[PMT NO]])),"")</f>
        <v>114</v>
      </c>
      <c r="C125" s="20">
        <f>IF(PaymentSchedule34[[#This Row],[PMT NO]]&lt;&gt;"",EOMONTH(LoanStartDate,ROW(PaymentSchedule34[[#This Row],[PMT NO]])-ROW(PaymentSchedule34[[#Headers],[PMT NO]])-2)+DAY(LoanStartDate),"")</f>
        <v>47088</v>
      </c>
      <c r="D125" s="19">
        <f>IF(PaymentSchedule34[[#This Row],[PMT NO]]&lt;&gt;"",IF(ROW()-ROW(PaymentSchedule34[[#Headers],[BEGINNING BALANCE]])=1,LoanAmount,INDEX(PaymentSchedule34[ENDING BALANCE],ROW()-ROW(PaymentSchedule34[[#Headers],[BEGINNING BALANCE]])-1)),"")</f>
        <v>1779662.418402727</v>
      </c>
      <c r="E125" s="19">
        <f>IF(PaymentSchedule34[[#This Row],[PMT NO]]&lt;&gt;"",ScheduledPayment,"")</f>
        <v>8672.4039978858091</v>
      </c>
      <c r="F12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2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25" s="19">
        <f>IF(PaymentSchedule34[[#This Row],[PMT NO]]&lt;&gt;"",PaymentSchedule34[[#This Row],[TOTAL PAYMENT]]-PaymentSchedule34[[#This Row],[INTEREST]],"")</f>
        <v>2369.4329327094838</v>
      </c>
      <c r="I125" s="19">
        <f>IF(PaymentSchedule34[[#This Row],[PMT NO]]&lt;&gt;"",PaymentSchedule34[[#This Row],[BEGINNING BALANCE]]*(InterestRate/PaymentsPerYear),"")</f>
        <v>6302.9710651763253</v>
      </c>
      <c r="J12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1777292.9854700174</v>
      </c>
      <c r="K125" s="19">
        <f>IF(PaymentSchedule34[[#This Row],[PMT NO]]&lt;&gt;"",SUM(INDEX(PaymentSchedule34[INTEREST],1,1):PaymentSchedule34[[#This Row],[INTEREST]]),"")</f>
        <v>765947.04122899938</v>
      </c>
    </row>
    <row r="126" spans="2:11" x14ac:dyDescent="0.3">
      <c r="B126" s="21">
        <f>IF(LoanIsGood,IF(ROW()-ROW(PaymentSchedule34[[#Headers],[PMT NO]])&gt;ScheduledNumberOfPayments,"",ROW()-ROW(PaymentSchedule34[[#Headers],[PMT NO]])),"")</f>
        <v>115</v>
      </c>
      <c r="C126" s="20">
        <f>IF(PaymentSchedule34[[#This Row],[PMT NO]]&lt;&gt;"",EOMONTH(LoanStartDate,ROW(PaymentSchedule34[[#This Row],[PMT NO]])-ROW(PaymentSchedule34[[#Headers],[PMT NO]])-2)+DAY(LoanStartDate),"")</f>
        <v>47119</v>
      </c>
      <c r="D126" s="19">
        <f>IF(PaymentSchedule34[[#This Row],[PMT NO]]&lt;&gt;"",IF(ROW()-ROW(PaymentSchedule34[[#Headers],[BEGINNING BALANCE]])=1,LoanAmount,INDEX(PaymentSchedule34[ENDING BALANCE],ROW()-ROW(PaymentSchedule34[[#Headers],[BEGINNING BALANCE]])-1)),"")</f>
        <v>1777292.9854700174</v>
      </c>
      <c r="E126" s="19">
        <f>IF(PaymentSchedule34[[#This Row],[PMT NO]]&lt;&gt;"",ScheduledPayment,"")</f>
        <v>8672.4039978858091</v>
      </c>
      <c r="F12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2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26" s="19">
        <f>IF(PaymentSchedule34[[#This Row],[PMT NO]]&lt;&gt;"",PaymentSchedule34[[#This Row],[TOTAL PAYMENT]]-PaymentSchedule34[[#This Row],[INTEREST]],"")</f>
        <v>2377.8246743461632</v>
      </c>
      <c r="I126" s="19">
        <f>IF(PaymentSchedule34[[#This Row],[PMT NO]]&lt;&gt;"",PaymentSchedule34[[#This Row],[BEGINNING BALANCE]]*(InterestRate/PaymentsPerYear),"")</f>
        <v>6294.5793235396459</v>
      </c>
      <c r="J12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1774915.1607956712</v>
      </c>
      <c r="K126" s="19">
        <f>IF(PaymentSchedule34[[#This Row],[PMT NO]]&lt;&gt;"",SUM(INDEX(PaymentSchedule34[INTEREST],1,1):PaymentSchedule34[[#This Row],[INTEREST]]),"")</f>
        <v>772241.62055253901</v>
      </c>
    </row>
    <row r="127" spans="2:11" x14ac:dyDescent="0.3">
      <c r="B127" s="21">
        <f>IF(LoanIsGood,IF(ROW()-ROW(PaymentSchedule34[[#Headers],[PMT NO]])&gt;ScheduledNumberOfPayments,"",ROW()-ROW(PaymentSchedule34[[#Headers],[PMT NO]])),"")</f>
        <v>116</v>
      </c>
      <c r="C127" s="20">
        <f>IF(PaymentSchedule34[[#This Row],[PMT NO]]&lt;&gt;"",EOMONTH(LoanStartDate,ROW(PaymentSchedule34[[#This Row],[PMT NO]])-ROW(PaymentSchedule34[[#Headers],[PMT NO]])-2)+DAY(LoanStartDate),"")</f>
        <v>47150</v>
      </c>
      <c r="D127" s="19">
        <f>IF(PaymentSchedule34[[#This Row],[PMT NO]]&lt;&gt;"",IF(ROW()-ROW(PaymentSchedule34[[#Headers],[BEGINNING BALANCE]])=1,LoanAmount,INDEX(PaymentSchedule34[ENDING BALANCE],ROW()-ROW(PaymentSchedule34[[#Headers],[BEGINNING BALANCE]])-1)),"")</f>
        <v>1774915.1607956712</v>
      </c>
      <c r="E127" s="19">
        <f>IF(PaymentSchedule34[[#This Row],[PMT NO]]&lt;&gt;"",ScheduledPayment,"")</f>
        <v>8672.4039978858091</v>
      </c>
      <c r="F12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2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27" s="19">
        <f>IF(PaymentSchedule34[[#This Row],[PMT NO]]&lt;&gt;"",PaymentSchedule34[[#This Row],[TOTAL PAYMENT]]-PaymentSchedule34[[#This Row],[INTEREST]],"")</f>
        <v>2386.2461367344731</v>
      </c>
      <c r="I127" s="19">
        <f>IF(PaymentSchedule34[[#This Row],[PMT NO]]&lt;&gt;"",PaymentSchedule34[[#This Row],[BEGINNING BALANCE]]*(InterestRate/PaymentsPerYear),"")</f>
        <v>6286.157861151336</v>
      </c>
      <c r="J12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1772528.9146589367</v>
      </c>
      <c r="K127" s="19">
        <f>IF(PaymentSchedule34[[#This Row],[PMT NO]]&lt;&gt;"",SUM(INDEX(PaymentSchedule34[INTEREST],1,1):PaymentSchedule34[[#This Row],[INTEREST]]),"")</f>
        <v>778527.77841369039</v>
      </c>
    </row>
    <row r="128" spans="2:11" x14ac:dyDescent="0.3">
      <c r="B128" s="21">
        <f>IF(LoanIsGood,IF(ROW()-ROW(PaymentSchedule34[[#Headers],[PMT NO]])&gt;ScheduledNumberOfPayments,"",ROW()-ROW(PaymentSchedule34[[#Headers],[PMT NO]])),"")</f>
        <v>117</v>
      </c>
      <c r="C128" s="20">
        <f>IF(PaymentSchedule34[[#This Row],[PMT NO]]&lt;&gt;"",EOMONTH(LoanStartDate,ROW(PaymentSchedule34[[#This Row],[PMT NO]])-ROW(PaymentSchedule34[[#Headers],[PMT NO]])-2)+DAY(LoanStartDate),"")</f>
        <v>47178</v>
      </c>
      <c r="D128" s="19">
        <f>IF(PaymentSchedule34[[#This Row],[PMT NO]]&lt;&gt;"",IF(ROW()-ROW(PaymentSchedule34[[#Headers],[BEGINNING BALANCE]])=1,LoanAmount,INDEX(PaymentSchedule34[ENDING BALANCE],ROW()-ROW(PaymentSchedule34[[#Headers],[BEGINNING BALANCE]])-1)),"")</f>
        <v>1772528.9146589367</v>
      </c>
      <c r="E128" s="19">
        <f>IF(PaymentSchedule34[[#This Row],[PMT NO]]&lt;&gt;"",ScheduledPayment,"")</f>
        <v>8672.4039978858091</v>
      </c>
      <c r="F12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2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28" s="19">
        <f>IF(PaymentSchedule34[[#This Row],[PMT NO]]&lt;&gt;"",PaymentSchedule34[[#This Row],[TOTAL PAYMENT]]-PaymentSchedule34[[#This Row],[INTEREST]],"")</f>
        <v>2394.6974251354077</v>
      </c>
      <c r="I128" s="19">
        <f>IF(PaymentSchedule34[[#This Row],[PMT NO]]&lt;&gt;"",PaymentSchedule34[[#This Row],[BEGINNING BALANCE]]*(InterestRate/PaymentsPerYear),"")</f>
        <v>6277.7065727504014</v>
      </c>
      <c r="J12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1770134.2172338013</v>
      </c>
      <c r="K128" s="19">
        <f>IF(PaymentSchedule34[[#This Row],[PMT NO]]&lt;&gt;"",SUM(INDEX(PaymentSchedule34[INTEREST],1,1):PaymentSchedule34[[#This Row],[INTEREST]]),"")</f>
        <v>784805.48498644074</v>
      </c>
    </row>
    <row r="129" spans="2:11" x14ac:dyDescent="0.3">
      <c r="B129" s="21">
        <f>IF(LoanIsGood,IF(ROW()-ROW(PaymentSchedule34[[#Headers],[PMT NO]])&gt;ScheduledNumberOfPayments,"",ROW()-ROW(PaymentSchedule34[[#Headers],[PMT NO]])),"")</f>
        <v>118</v>
      </c>
      <c r="C129" s="20">
        <f>IF(PaymentSchedule34[[#This Row],[PMT NO]]&lt;&gt;"",EOMONTH(LoanStartDate,ROW(PaymentSchedule34[[#This Row],[PMT NO]])-ROW(PaymentSchedule34[[#Headers],[PMT NO]])-2)+DAY(LoanStartDate),"")</f>
        <v>47209</v>
      </c>
      <c r="D129" s="19">
        <f>IF(PaymentSchedule34[[#This Row],[PMT NO]]&lt;&gt;"",IF(ROW()-ROW(PaymentSchedule34[[#Headers],[BEGINNING BALANCE]])=1,LoanAmount,INDEX(PaymentSchedule34[ENDING BALANCE],ROW()-ROW(PaymentSchedule34[[#Headers],[BEGINNING BALANCE]])-1)),"")</f>
        <v>1770134.2172338013</v>
      </c>
      <c r="E129" s="19">
        <f>IF(PaymentSchedule34[[#This Row],[PMT NO]]&lt;&gt;"",ScheduledPayment,"")</f>
        <v>8672.4039978858091</v>
      </c>
      <c r="F12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2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29" s="19">
        <f>IF(PaymentSchedule34[[#This Row],[PMT NO]]&lt;&gt;"",PaymentSchedule34[[#This Row],[TOTAL PAYMENT]]-PaymentSchedule34[[#This Row],[INTEREST]],"")</f>
        <v>2403.1786451827629</v>
      </c>
      <c r="I129" s="19">
        <f>IF(PaymentSchedule34[[#This Row],[PMT NO]]&lt;&gt;"",PaymentSchedule34[[#This Row],[BEGINNING BALANCE]]*(InterestRate/PaymentsPerYear),"")</f>
        <v>6269.2253527030462</v>
      </c>
      <c r="J12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1767731.0385886184</v>
      </c>
      <c r="K129" s="19">
        <f>IF(PaymentSchedule34[[#This Row],[PMT NO]]&lt;&gt;"",SUM(INDEX(PaymentSchedule34[INTEREST],1,1):PaymentSchedule34[[#This Row],[INTEREST]]),"")</f>
        <v>791074.71033914376</v>
      </c>
    </row>
    <row r="130" spans="2:11" x14ac:dyDescent="0.3">
      <c r="B130" s="21">
        <f>IF(LoanIsGood,IF(ROW()-ROW(PaymentSchedule34[[#Headers],[PMT NO]])&gt;ScheduledNumberOfPayments,"",ROW()-ROW(PaymentSchedule34[[#Headers],[PMT NO]])),"")</f>
        <v>119</v>
      </c>
      <c r="C130" s="20">
        <f>IF(PaymentSchedule34[[#This Row],[PMT NO]]&lt;&gt;"",EOMONTH(LoanStartDate,ROW(PaymentSchedule34[[#This Row],[PMT NO]])-ROW(PaymentSchedule34[[#Headers],[PMT NO]])-2)+DAY(LoanStartDate),"")</f>
        <v>47239</v>
      </c>
      <c r="D130" s="19">
        <f>IF(PaymentSchedule34[[#This Row],[PMT NO]]&lt;&gt;"",IF(ROW()-ROW(PaymentSchedule34[[#Headers],[BEGINNING BALANCE]])=1,LoanAmount,INDEX(PaymentSchedule34[ENDING BALANCE],ROW()-ROW(PaymentSchedule34[[#Headers],[BEGINNING BALANCE]])-1)),"")</f>
        <v>1767731.0385886184</v>
      </c>
      <c r="E130" s="19">
        <f>IF(PaymentSchedule34[[#This Row],[PMT NO]]&lt;&gt;"",ScheduledPayment,"")</f>
        <v>8672.4039978858091</v>
      </c>
      <c r="F13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3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30" s="19">
        <f>IF(PaymentSchedule34[[#This Row],[PMT NO]]&lt;&gt;"",PaymentSchedule34[[#This Row],[TOTAL PAYMENT]]-PaymentSchedule34[[#This Row],[INTEREST]],"")</f>
        <v>2411.6899028844518</v>
      </c>
      <c r="I130" s="19">
        <f>IF(PaymentSchedule34[[#This Row],[PMT NO]]&lt;&gt;"",PaymentSchedule34[[#This Row],[BEGINNING BALANCE]]*(InterestRate/PaymentsPerYear),"")</f>
        <v>6260.7140950013572</v>
      </c>
      <c r="J13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1765319.348685734</v>
      </c>
      <c r="K130" s="19">
        <f>IF(PaymentSchedule34[[#This Row],[PMT NO]]&lt;&gt;"",SUM(INDEX(PaymentSchedule34[INTEREST],1,1):PaymentSchedule34[[#This Row],[INTEREST]]),"")</f>
        <v>797335.4244341451</v>
      </c>
    </row>
    <row r="131" spans="2:11" x14ac:dyDescent="0.3">
      <c r="B131" s="21">
        <f>IF(LoanIsGood,IF(ROW()-ROW(PaymentSchedule34[[#Headers],[PMT NO]])&gt;ScheduledNumberOfPayments,"",ROW()-ROW(PaymentSchedule34[[#Headers],[PMT NO]])),"")</f>
        <v>120</v>
      </c>
      <c r="C131" s="20">
        <f>IF(PaymentSchedule34[[#This Row],[PMT NO]]&lt;&gt;"",EOMONTH(LoanStartDate,ROW(PaymentSchedule34[[#This Row],[PMT NO]])-ROW(PaymentSchedule34[[#Headers],[PMT NO]])-2)+DAY(LoanStartDate),"")</f>
        <v>47270</v>
      </c>
      <c r="D131" s="19">
        <f>IF(PaymentSchedule34[[#This Row],[PMT NO]]&lt;&gt;"",IF(ROW()-ROW(PaymentSchedule34[[#Headers],[BEGINNING BALANCE]])=1,LoanAmount,INDEX(PaymentSchedule34[ENDING BALANCE],ROW()-ROW(PaymentSchedule34[[#Headers],[BEGINNING BALANCE]])-1)),"")</f>
        <v>1765319.348685734</v>
      </c>
      <c r="E131" s="19">
        <f>IF(PaymentSchedule34[[#This Row],[PMT NO]]&lt;&gt;"",ScheduledPayment,"")</f>
        <v>8672.4039978858091</v>
      </c>
      <c r="F13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3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31" s="19">
        <f>IF(PaymentSchedule34[[#This Row],[PMT NO]]&lt;&gt;"",PaymentSchedule34[[#This Row],[TOTAL PAYMENT]]-PaymentSchedule34[[#This Row],[INTEREST]],"")</f>
        <v>2420.2313046238341</v>
      </c>
      <c r="I131" s="19">
        <f>IF(PaymentSchedule34[[#This Row],[PMT NO]]&lt;&gt;"",PaymentSchedule34[[#This Row],[BEGINNING BALANCE]]*(InterestRate/PaymentsPerYear),"")</f>
        <v>6252.1726932619749</v>
      </c>
      <c r="J13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1762899.1173811101</v>
      </c>
      <c r="K131" s="19">
        <f>IF(PaymentSchedule34[[#This Row],[PMT NO]]&lt;&gt;"",SUM(INDEX(PaymentSchedule34[INTEREST],1,1):PaymentSchedule34[[#This Row],[INTEREST]]),"")</f>
        <v>803587.59712740709</v>
      </c>
    </row>
    <row r="132" spans="2:11" x14ac:dyDescent="0.3">
      <c r="B132" s="21">
        <f>IF(LoanIsGood,IF(ROW()-ROW(PaymentSchedule34[[#Headers],[PMT NO]])&gt;ScheduledNumberOfPayments,"",ROW()-ROW(PaymentSchedule34[[#Headers],[PMT NO]])),"")</f>
        <v>121</v>
      </c>
      <c r="C132" s="20">
        <f>IF(PaymentSchedule34[[#This Row],[PMT NO]]&lt;&gt;"",EOMONTH(LoanStartDate,ROW(PaymentSchedule34[[#This Row],[PMT NO]])-ROW(PaymentSchedule34[[#Headers],[PMT NO]])-2)+DAY(LoanStartDate),"")</f>
        <v>47300</v>
      </c>
      <c r="D132" s="19">
        <f>IF(PaymentSchedule34[[#This Row],[PMT NO]]&lt;&gt;"",IF(ROW()-ROW(PaymentSchedule34[[#Headers],[BEGINNING BALANCE]])=1,LoanAmount,INDEX(PaymentSchedule34[ENDING BALANCE],ROW()-ROW(PaymentSchedule34[[#Headers],[BEGINNING BALANCE]])-1)),"")</f>
        <v>1762899.1173811101</v>
      </c>
      <c r="E132" s="19">
        <f>IF(PaymentSchedule34[[#This Row],[PMT NO]]&lt;&gt;"",ScheduledPayment,"")</f>
        <v>8672.4039978858091</v>
      </c>
      <c r="F13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3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32" s="19">
        <f>IF(PaymentSchedule34[[#This Row],[PMT NO]]&lt;&gt;"",PaymentSchedule34[[#This Row],[TOTAL PAYMENT]]-PaymentSchedule34[[#This Row],[INTEREST]],"")</f>
        <v>2428.8029571610441</v>
      </c>
      <c r="I132" s="19">
        <f>IF(PaymentSchedule34[[#This Row],[PMT NO]]&lt;&gt;"",PaymentSchedule34[[#This Row],[BEGINNING BALANCE]]*(InterestRate/PaymentsPerYear),"")</f>
        <v>6243.601040724765</v>
      </c>
      <c r="J13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1760470.314423949</v>
      </c>
      <c r="K132" s="19">
        <f>IF(PaymentSchedule34[[#This Row],[PMT NO]]&lt;&gt;"",SUM(INDEX(PaymentSchedule34[INTEREST],1,1):PaymentSchedule34[[#This Row],[INTEREST]]),"")</f>
        <v>809831.19816813187</v>
      </c>
    </row>
    <row r="133" spans="2:11" x14ac:dyDescent="0.3">
      <c r="B133" s="21">
        <f>IF(LoanIsGood,IF(ROW()-ROW(PaymentSchedule34[[#Headers],[PMT NO]])&gt;ScheduledNumberOfPayments,"",ROW()-ROW(PaymentSchedule34[[#Headers],[PMT NO]])),"")</f>
        <v>122</v>
      </c>
      <c r="C133" s="20">
        <f>IF(PaymentSchedule34[[#This Row],[PMT NO]]&lt;&gt;"",EOMONTH(LoanStartDate,ROW(PaymentSchedule34[[#This Row],[PMT NO]])-ROW(PaymentSchedule34[[#Headers],[PMT NO]])-2)+DAY(LoanStartDate),"")</f>
        <v>47331</v>
      </c>
      <c r="D133" s="19">
        <f>IF(PaymentSchedule34[[#This Row],[PMT NO]]&lt;&gt;"",IF(ROW()-ROW(PaymentSchedule34[[#Headers],[BEGINNING BALANCE]])=1,LoanAmount,INDEX(PaymentSchedule34[ENDING BALANCE],ROW()-ROW(PaymentSchedule34[[#Headers],[BEGINNING BALANCE]])-1)),"")</f>
        <v>1760470.314423949</v>
      </c>
      <c r="E133" s="19">
        <f>IF(PaymentSchedule34[[#This Row],[PMT NO]]&lt;&gt;"",ScheduledPayment,"")</f>
        <v>8672.4039978858091</v>
      </c>
      <c r="F13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3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33" s="19">
        <f>IF(PaymentSchedule34[[#This Row],[PMT NO]]&lt;&gt;"",PaymentSchedule34[[#This Row],[TOTAL PAYMENT]]-PaymentSchedule34[[#This Row],[INTEREST]],"")</f>
        <v>2437.4049676343229</v>
      </c>
      <c r="I133" s="19">
        <f>IF(PaymentSchedule34[[#This Row],[PMT NO]]&lt;&gt;"",PaymentSchedule34[[#This Row],[BEGINNING BALANCE]]*(InterestRate/PaymentsPerYear),"")</f>
        <v>6234.9990302514861</v>
      </c>
      <c r="J13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1758032.9094563148</v>
      </c>
      <c r="K133" s="19">
        <f>IF(PaymentSchedule34[[#This Row],[PMT NO]]&lt;&gt;"",SUM(INDEX(PaymentSchedule34[INTEREST],1,1):PaymentSchedule34[[#This Row],[INTEREST]]),"")</f>
        <v>816066.19719838339</v>
      </c>
    </row>
    <row r="134" spans="2:11" x14ac:dyDescent="0.3">
      <c r="B134" s="21">
        <f>IF(LoanIsGood,IF(ROW()-ROW(PaymentSchedule34[[#Headers],[PMT NO]])&gt;ScheduledNumberOfPayments,"",ROW()-ROW(PaymentSchedule34[[#Headers],[PMT NO]])),"")</f>
        <v>123</v>
      </c>
      <c r="C134" s="20">
        <f>IF(PaymentSchedule34[[#This Row],[PMT NO]]&lt;&gt;"",EOMONTH(LoanStartDate,ROW(PaymentSchedule34[[#This Row],[PMT NO]])-ROW(PaymentSchedule34[[#Headers],[PMT NO]])-2)+DAY(LoanStartDate),"")</f>
        <v>47362</v>
      </c>
      <c r="D134" s="19">
        <f>IF(PaymentSchedule34[[#This Row],[PMT NO]]&lt;&gt;"",IF(ROW()-ROW(PaymentSchedule34[[#Headers],[BEGINNING BALANCE]])=1,LoanAmount,INDEX(PaymentSchedule34[ENDING BALANCE],ROW()-ROW(PaymentSchedule34[[#Headers],[BEGINNING BALANCE]])-1)),"")</f>
        <v>1758032.9094563148</v>
      </c>
      <c r="E134" s="19">
        <f>IF(PaymentSchedule34[[#This Row],[PMT NO]]&lt;&gt;"",ScheduledPayment,"")</f>
        <v>8672.4039978858091</v>
      </c>
      <c r="F13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3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34" s="19">
        <f>IF(PaymentSchedule34[[#This Row],[PMT NO]]&lt;&gt;"",PaymentSchedule34[[#This Row],[TOTAL PAYMENT]]-PaymentSchedule34[[#This Row],[INTEREST]],"")</f>
        <v>2446.0374435613603</v>
      </c>
      <c r="I134" s="19">
        <f>IF(PaymentSchedule34[[#This Row],[PMT NO]]&lt;&gt;"",PaymentSchedule34[[#This Row],[BEGINNING BALANCE]]*(InterestRate/PaymentsPerYear),"")</f>
        <v>6226.3665543244488</v>
      </c>
      <c r="J13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1755586.8720127535</v>
      </c>
      <c r="K134" s="19">
        <f>IF(PaymentSchedule34[[#This Row],[PMT NO]]&lt;&gt;"",SUM(INDEX(PaymentSchedule34[INTEREST],1,1):PaymentSchedule34[[#This Row],[INTEREST]]),"")</f>
        <v>822292.56375270779</v>
      </c>
    </row>
    <row r="135" spans="2:11" x14ac:dyDescent="0.3">
      <c r="B135" s="21">
        <f>IF(LoanIsGood,IF(ROW()-ROW(PaymentSchedule34[[#Headers],[PMT NO]])&gt;ScheduledNumberOfPayments,"",ROW()-ROW(PaymentSchedule34[[#Headers],[PMT NO]])),"")</f>
        <v>124</v>
      </c>
      <c r="C135" s="20">
        <f>IF(PaymentSchedule34[[#This Row],[PMT NO]]&lt;&gt;"",EOMONTH(LoanStartDate,ROW(PaymentSchedule34[[#This Row],[PMT NO]])-ROW(PaymentSchedule34[[#Headers],[PMT NO]])-2)+DAY(LoanStartDate),"")</f>
        <v>47392</v>
      </c>
      <c r="D135" s="19">
        <f>IF(PaymentSchedule34[[#This Row],[PMT NO]]&lt;&gt;"",IF(ROW()-ROW(PaymentSchedule34[[#Headers],[BEGINNING BALANCE]])=1,LoanAmount,INDEX(PaymentSchedule34[ENDING BALANCE],ROW()-ROW(PaymentSchedule34[[#Headers],[BEGINNING BALANCE]])-1)),"")</f>
        <v>1755586.8720127535</v>
      </c>
      <c r="E135" s="19">
        <f>IF(PaymentSchedule34[[#This Row],[PMT NO]]&lt;&gt;"",ScheduledPayment,"")</f>
        <v>8672.4039978858091</v>
      </c>
      <c r="F13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3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35" s="19">
        <f>IF(PaymentSchedule34[[#This Row],[PMT NO]]&lt;&gt;"",PaymentSchedule34[[#This Row],[TOTAL PAYMENT]]-PaymentSchedule34[[#This Row],[INTEREST]],"")</f>
        <v>2454.7004928406395</v>
      </c>
      <c r="I135" s="19">
        <f>IF(PaymentSchedule34[[#This Row],[PMT NO]]&lt;&gt;"",PaymentSchedule34[[#This Row],[BEGINNING BALANCE]]*(InterestRate/PaymentsPerYear),"")</f>
        <v>6217.7035050451695</v>
      </c>
      <c r="J13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1753132.1715199128</v>
      </c>
      <c r="K135" s="19">
        <f>IF(PaymentSchedule34[[#This Row],[PMT NO]]&lt;&gt;"",SUM(INDEX(PaymentSchedule34[INTEREST],1,1):PaymentSchedule34[[#This Row],[INTEREST]]),"")</f>
        <v>828510.26725775294</v>
      </c>
    </row>
    <row r="136" spans="2:11" x14ac:dyDescent="0.3">
      <c r="B136" s="21">
        <f>IF(LoanIsGood,IF(ROW()-ROW(PaymentSchedule34[[#Headers],[PMT NO]])&gt;ScheduledNumberOfPayments,"",ROW()-ROW(PaymentSchedule34[[#Headers],[PMT NO]])),"")</f>
        <v>125</v>
      </c>
      <c r="C136" s="20">
        <f>IF(PaymentSchedule34[[#This Row],[PMT NO]]&lt;&gt;"",EOMONTH(LoanStartDate,ROW(PaymentSchedule34[[#This Row],[PMT NO]])-ROW(PaymentSchedule34[[#Headers],[PMT NO]])-2)+DAY(LoanStartDate),"")</f>
        <v>47423</v>
      </c>
      <c r="D136" s="19">
        <f>IF(PaymentSchedule34[[#This Row],[PMT NO]]&lt;&gt;"",IF(ROW()-ROW(PaymentSchedule34[[#Headers],[BEGINNING BALANCE]])=1,LoanAmount,INDEX(PaymentSchedule34[ENDING BALANCE],ROW()-ROW(PaymentSchedule34[[#Headers],[BEGINNING BALANCE]])-1)),"")</f>
        <v>1753132.1715199128</v>
      </c>
      <c r="E136" s="19">
        <f>IF(PaymentSchedule34[[#This Row],[PMT NO]]&lt;&gt;"",ScheduledPayment,"")</f>
        <v>8672.4039978858091</v>
      </c>
      <c r="F13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3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36" s="19">
        <f>IF(PaymentSchedule34[[#This Row],[PMT NO]]&lt;&gt;"",PaymentSchedule34[[#This Row],[TOTAL PAYMENT]]-PaymentSchedule34[[#This Row],[INTEREST]],"")</f>
        <v>2463.3942237527845</v>
      </c>
      <c r="I136" s="19">
        <f>IF(PaymentSchedule34[[#This Row],[PMT NO]]&lt;&gt;"",PaymentSchedule34[[#This Row],[BEGINNING BALANCE]]*(InterestRate/PaymentsPerYear),"")</f>
        <v>6209.0097741330246</v>
      </c>
      <c r="J13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1750668.7772961599</v>
      </c>
      <c r="K136" s="19">
        <f>IF(PaymentSchedule34[[#This Row],[PMT NO]]&lt;&gt;"",SUM(INDEX(PaymentSchedule34[INTEREST],1,1):PaymentSchedule34[[#This Row],[INTEREST]]),"")</f>
        <v>834719.27703188593</v>
      </c>
    </row>
    <row r="137" spans="2:11" x14ac:dyDescent="0.3">
      <c r="B137" s="21">
        <f>IF(LoanIsGood,IF(ROW()-ROW(PaymentSchedule34[[#Headers],[PMT NO]])&gt;ScheduledNumberOfPayments,"",ROW()-ROW(PaymentSchedule34[[#Headers],[PMT NO]])),"")</f>
        <v>126</v>
      </c>
      <c r="C137" s="20">
        <f>IF(PaymentSchedule34[[#This Row],[PMT NO]]&lt;&gt;"",EOMONTH(LoanStartDate,ROW(PaymentSchedule34[[#This Row],[PMT NO]])-ROW(PaymentSchedule34[[#Headers],[PMT NO]])-2)+DAY(LoanStartDate),"")</f>
        <v>47453</v>
      </c>
      <c r="D137" s="19">
        <f>IF(PaymentSchedule34[[#This Row],[PMT NO]]&lt;&gt;"",IF(ROW()-ROW(PaymentSchedule34[[#Headers],[BEGINNING BALANCE]])=1,LoanAmount,INDEX(PaymentSchedule34[ENDING BALANCE],ROW()-ROW(PaymentSchedule34[[#Headers],[BEGINNING BALANCE]])-1)),"")</f>
        <v>1750668.7772961599</v>
      </c>
      <c r="E137" s="19">
        <f>IF(PaymentSchedule34[[#This Row],[PMT NO]]&lt;&gt;"",ScheduledPayment,"")</f>
        <v>8672.4039978858091</v>
      </c>
      <c r="F13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3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37" s="19">
        <f>IF(PaymentSchedule34[[#This Row],[PMT NO]]&lt;&gt;"",PaymentSchedule34[[#This Row],[TOTAL PAYMENT]]-PaymentSchedule34[[#This Row],[INTEREST]],"")</f>
        <v>2472.1187449619092</v>
      </c>
      <c r="I137" s="19">
        <f>IF(PaymentSchedule34[[#This Row],[PMT NO]]&lt;&gt;"",PaymentSchedule34[[#This Row],[BEGINNING BALANCE]]*(InterestRate/PaymentsPerYear),"")</f>
        <v>6200.2852529238999</v>
      </c>
      <c r="J13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1748196.658551198</v>
      </c>
      <c r="K137" s="19">
        <f>IF(PaymentSchedule34[[#This Row],[PMT NO]]&lt;&gt;"",SUM(INDEX(PaymentSchedule34[INTEREST],1,1):PaymentSchedule34[[#This Row],[INTEREST]]),"")</f>
        <v>840919.56228480977</v>
      </c>
    </row>
    <row r="138" spans="2:11" x14ac:dyDescent="0.3">
      <c r="B138" s="21">
        <f>IF(LoanIsGood,IF(ROW()-ROW(PaymentSchedule34[[#Headers],[PMT NO]])&gt;ScheduledNumberOfPayments,"",ROW()-ROW(PaymentSchedule34[[#Headers],[PMT NO]])),"")</f>
        <v>127</v>
      </c>
      <c r="C138" s="20">
        <f>IF(PaymentSchedule34[[#This Row],[PMT NO]]&lt;&gt;"",EOMONTH(LoanStartDate,ROW(PaymentSchedule34[[#This Row],[PMT NO]])-ROW(PaymentSchedule34[[#Headers],[PMT NO]])-2)+DAY(LoanStartDate),"")</f>
        <v>47484</v>
      </c>
      <c r="D138" s="19">
        <f>IF(PaymentSchedule34[[#This Row],[PMT NO]]&lt;&gt;"",IF(ROW()-ROW(PaymentSchedule34[[#Headers],[BEGINNING BALANCE]])=1,LoanAmount,INDEX(PaymentSchedule34[ENDING BALANCE],ROW()-ROW(PaymentSchedule34[[#Headers],[BEGINNING BALANCE]])-1)),"")</f>
        <v>1748196.658551198</v>
      </c>
      <c r="E138" s="19">
        <f>IF(PaymentSchedule34[[#This Row],[PMT NO]]&lt;&gt;"",ScheduledPayment,"")</f>
        <v>8672.4039978858091</v>
      </c>
      <c r="F13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3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38" s="19">
        <f>IF(PaymentSchedule34[[#This Row],[PMT NO]]&lt;&gt;"",PaymentSchedule34[[#This Row],[TOTAL PAYMENT]]-PaymentSchedule34[[#This Row],[INTEREST]],"")</f>
        <v>2480.8741655169824</v>
      </c>
      <c r="I138" s="19">
        <f>IF(PaymentSchedule34[[#This Row],[PMT NO]]&lt;&gt;"",PaymentSchedule34[[#This Row],[BEGINNING BALANCE]]*(InterestRate/PaymentsPerYear),"")</f>
        <v>6191.5298323688266</v>
      </c>
      <c r="J13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1745715.7843856809</v>
      </c>
      <c r="K138" s="19">
        <f>IF(PaymentSchedule34[[#This Row],[PMT NO]]&lt;&gt;"",SUM(INDEX(PaymentSchedule34[INTEREST],1,1):PaymentSchedule34[[#This Row],[INTEREST]]),"")</f>
        <v>847111.0921171786</v>
      </c>
    </row>
    <row r="139" spans="2:11" x14ac:dyDescent="0.3">
      <c r="B139" s="21">
        <f>IF(LoanIsGood,IF(ROW()-ROW(PaymentSchedule34[[#Headers],[PMT NO]])&gt;ScheduledNumberOfPayments,"",ROW()-ROW(PaymentSchedule34[[#Headers],[PMT NO]])),"")</f>
        <v>128</v>
      </c>
      <c r="C139" s="20">
        <f>IF(PaymentSchedule34[[#This Row],[PMT NO]]&lt;&gt;"",EOMONTH(LoanStartDate,ROW(PaymentSchedule34[[#This Row],[PMT NO]])-ROW(PaymentSchedule34[[#Headers],[PMT NO]])-2)+DAY(LoanStartDate),"")</f>
        <v>47515</v>
      </c>
      <c r="D139" s="19">
        <f>IF(PaymentSchedule34[[#This Row],[PMT NO]]&lt;&gt;"",IF(ROW()-ROW(PaymentSchedule34[[#Headers],[BEGINNING BALANCE]])=1,LoanAmount,INDEX(PaymentSchedule34[ENDING BALANCE],ROW()-ROW(PaymentSchedule34[[#Headers],[BEGINNING BALANCE]])-1)),"")</f>
        <v>1745715.7843856809</v>
      </c>
      <c r="E139" s="19">
        <f>IF(PaymentSchedule34[[#This Row],[PMT NO]]&lt;&gt;"",ScheduledPayment,"")</f>
        <v>8672.4039978858091</v>
      </c>
      <c r="F13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3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39" s="19">
        <f>IF(PaymentSchedule34[[#This Row],[PMT NO]]&lt;&gt;"",PaymentSchedule34[[#This Row],[TOTAL PAYMENT]]-PaymentSchedule34[[#This Row],[INTEREST]],"")</f>
        <v>2489.6605948531887</v>
      </c>
      <c r="I139" s="19">
        <f>IF(PaymentSchedule34[[#This Row],[PMT NO]]&lt;&gt;"",PaymentSchedule34[[#This Row],[BEGINNING BALANCE]]*(InterestRate/PaymentsPerYear),"")</f>
        <v>6182.7434030326203</v>
      </c>
      <c r="J13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1743226.1237908278</v>
      </c>
      <c r="K139" s="19">
        <f>IF(PaymentSchedule34[[#This Row],[PMT NO]]&lt;&gt;"",SUM(INDEX(PaymentSchedule34[INTEREST],1,1):PaymentSchedule34[[#This Row],[INTEREST]]),"")</f>
        <v>853293.83552021126</v>
      </c>
    </row>
    <row r="140" spans="2:11" x14ac:dyDescent="0.3">
      <c r="B140" s="21">
        <f>IF(LoanIsGood,IF(ROW()-ROW(PaymentSchedule34[[#Headers],[PMT NO]])&gt;ScheduledNumberOfPayments,"",ROW()-ROW(PaymentSchedule34[[#Headers],[PMT NO]])),"")</f>
        <v>129</v>
      </c>
      <c r="C140" s="20">
        <f>IF(PaymentSchedule34[[#This Row],[PMT NO]]&lt;&gt;"",EOMONTH(LoanStartDate,ROW(PaymentSchedule34[[#This Row],[PMT NO]])-ROW(PaymentSchedule34[[#Headers],[PMT NO]])-2)+DAY(LoanStartDate),"")</f>
        <v>47543</v>
      </c>
      <c r="D140" s="19">
        <f>IF(PaymentSchedule34[[#This Row],[PMT NO]]&lt;&gt;"",IF(ROW()-ROW(PaymentSchedule34[[#Headers],[BEGINNING BALANCE]])=1,LoanAmount,INDEX(PaymentSchedule34[ENDING BALANCE],ROW()-ROW(PaymentSchedule34[[#Headers],[BEGINNING BALANCE]])-1)),"")</f>
        <v>1743226.1237908278</v>
      </c>
      <c r="E140" s="19">
        <f>IF(PaymentSchedule34[[#This Row],[PMT NO]]&lt;&gt;"",ScheduledPayment,"")</f>
        <v>8672.4039978858091</v>
      </c>
      <c r="F14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4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40" s="19">
        <f>IF(PaymentSchedule34[[#This Row],[PMT NO]]&lt;&gt;"",PaymentSchedule34[[#This Row],[TOTAL PAYMENT]]-PaymentSchedule34[[#This Row],[INTEREST]],"")</f>
        <v>2498.478142793293</v>
      </c>
      <c r="I140" s="19">
        <f>IF(PaymentSchedule34[[#This Row],[PMT NO]]&lt;&gt;"",PaymentSchedule34[[#This Row],[BEGINNING BALANCE]]*(InterestRate/PaymentsPerYear),"")</f>
        <v>6173.925855092516</v>
      </c>
      <c r="J14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1740727.6456480345</v>
      </c>
      <c r="K140" s="19">
        <f>IF(PaymentSchedule34[[#This Row],[PMT NO]]&lt;&gt;"",SUM(INDEX(PaymentSchedule34[INTEREST],1,1):PaymentSchedule34[[#This Row],[INTEREST]]),"")</f>
        <v>859467.76137530373</v>
      </c>
    </row>
    <row r="141" spans="2:11" x14ac:dyDescent="0.3">
      <c r="B141" s="21">
        <f>IF(LoanIsGood,IF(ROW()-ROW(PaymentSchedule34[[#Headers],[PMT NO]])&gt;ScheduledNumberOfPayments,"",ROW()-ROW(PaymentSchedule34[[#Headers],[PMT NO]])),"")</f>
        <v>130</v>
      </c>
      <c r="C141" s="20">
        <f>IF(PaymentSchedule34[[#This Row],[PMT NO]]&lt;&gt;"",EOMONTH(LoanStartDate,ROW(PaymentSchedule34[[#This Row],[PMT NO]])-ROW(PaymentSchedule34[[#Headers],[PMT NO]])-2)+DAY(LoanStartDate),"")</f>
        <v>47574</v>
      </c>
      <c r="D141" s="19">
        <f>IF(PaymentSchedule34[[#This Row],[PMT NO]]&lt;&gt;"",IF(ROW()-ROW(PaymentSchedule34[[#Headers],[BEGINNING BALANCE]])=1,LoanAmount,INDEX(PaymentSchedule34[ENDING BALANCE],ROW()-ROW(PaymentSchedule34[[#Headers],[BEGINNING BALANCE]])-1)),"")</f>
        <v>1740727.6456480345</v>
      </c>
      <c r="E141" s="19">
        <f>IF(PaymentSchedule34[[#This Row],[PMT NO]]&lt;&gt;"",ScheduledPayment,"")</f>
        <v>8672.4039978858091</v>
      </c>
      <c r="F14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4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41" s="19">
        <f>IF(PaymentSchedule34[[#This Row],[PMT NO]]&lt;&gt;"",PaymentSchedule34[[#This Row],[TOTAL PAYMENT]]-PaymentSchedule34[[#This Row],[INTEREST]],"")</f>
        <v>2507.3269195490193</v>
      </c>
      <c r="I141" s="19">
        <f>IF(PaymentSchedule34[[#This Row],[PMT NO]]&lt;&gt;"",PaymentSchedule34[[#This Row],[BEGINNING BALANCE]]*(InterestRate/PaymentsPerYear),"")</f>
        <v>6165.0770783367898</v>
      </c>
      <c r="J14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1738220.3187284856</v>
      </c>
      <c r="K141" s="19">
        <f>IF(PaymentSchedule34[[#This Row],[PMT NO]]&lt;&gt;"",SUM(INDEX(PaymentSchedule34[INTEREST],1,1):PaymentSchedule34[[#This Row],[INTEREST]]),"")</f>
        <v>865632.83845364046</v>
      </c>
    </row>
    <row r="142" spans="2:11" x14ac:dyDescent="0.3">
      <c r="B142" s="21">
        <f>IF(LoanIsGood,IF(ROW()-ROW(PaymentSchedule34[[#Headers],[PMT NO]])&gt;ScheduledNumberOfPayments,"",ROW()-ROW(PaymentSchedule34[[#Headers],[PMT NO]])),"")</f>
        <v>131</v>
      </c>
      <c r="C142" s="20">
        <f>IF(PaymentSchedule34[[#This Row],[PMT NO]]&lt;&gt;"",EOMONTH(LoanStartDate,ROW(PaymentSchedule34[[#This Row],[PMT NO]])-ROW(PaymentSchedule34[[#Headers],[PMT NO]])-2)+DAY(LoanStartDate),"")</f>
        <v>47604</v>
      </c>
      <c r="D142" s="19">
        <f>IF(PaymentSchedule34[[#This Row],[PMT NO]]&lt;&gt;"",IF(ROW()-ROW(PaymentSchedule34[[#Headers],[BEGINNING BALANCE]])=1,LoanAmount,INDEX(PaymentSchedule34[ENDING BALANCE],ROW()-ROW(PaymentSchedule34[[#Headers],[BEGINNING BALANCE]])-1)),"")</f>
        <v>1738220.3187284856</v>
      </c>
      <c r="E142" s="19">
        <f>IF(PaymentSchedule34[[#This Row],[PMT NO]]&lt;&gt;"",ScheduledPayment,"")</f>
        <v>8672.4039978858091</v>
      </c>
      <c r="F14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4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42" s="19">
        <f>IF(PaymentSchedule34[[#This Row],[PMT NO]]&lt;&gt;"",PaymentSchedule34[[#This Row],[TOTAL PAYMENT]]-PaymentSchedule34[[#This Row],[INTEREST]],"")</f>
        <v>2516.207035722422</v>
      </c>
      <c r="I142" s="19">
        <f>IF(PaymentSchedule34[[#This Row],[PMT NO]]&lt;&gt;"",PaymentSchedule34[[#This Row],[BEGINNING BALANCE]]*(InterestRate/PaymentsPerYear),"")</f>
        <v>6156.1969621633871</v>
      </c>
      <c r="J14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1735704.1116927632</v>
      </c>
      <c r="K142" s="19">
        <f>IF(PaymentSchedule34[[#This Row],[PMT NO]]&lt;&gt;"",SUM(INDEX(PaymentSchedule34[INTEREST],1,1):PaymentSchedule34[[#This Row],[INTEREST]]),"")</f>
        <v>871789.0354158039</v>
      </c>
    </row>
    <row r="143" spans="2:11" x14ac:dyDescent="0.3">
      <c r="B143" s="21">
        <f>IF(LoanIsGood,IF(ROW()-ROW(PaymentSchedule34[[#Headers],[PMT NO]])&gt;ScheduledNumberOfPayments,"",ROW()-ROW(PaymentSchedule34[[#Headers],[PMT NO]])),"")</f>
        <v>132</v>
      </c>
      <c r="C143" s="20">
        <f>IF(PaymentSchedule34[[#This Row],[PMT NO]]&lt;&gt;"",EOMONTH(LoanStartDate,ROW(PaymentSchedule34[[#This Row],[PMT NO]])-ROW(PaymentSchedule34[[#Headers],[PMT NO]])-2)+DAY(LoanStartDate),"")</f>
        <v>47635</v>
      </c>
      <c r="D143" s="19">
        <f>IF(PaymentSchedule34[[#This Row],[PMT NO]]&lt;&gt;"",IF(ROW()-ROW(PaymentSchedule34[[#Headers],[BEGINNING BALANCE]])=1,LoanAmount,INDEX(PaymentSchedule34[ENDING BALANCE],ROW()-ROW(PaymentSchedule34[[#Headers],[BEGINNING BALANCE]])-1)),"")</f>
        <v>1735704.1116927632</v>
      </c>
      <c r="E143" s="19">
        <f>IF(PaymentSchedule34[[#This Row],[PMT NO]]&lt;&gt;"",ScheduledPayment,"")</f>
        <v>8672.4039978858091</v>
      </c>
      <c r="F14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4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43" s="19">
        <f>IF(PaymentSchedule34[[#This Row],[PMT NO]]&lt;&gt;"",PaymentSchedule34[[#This Row],[TOTAL PAYMENT]]-PaymentSchedule34[[#This Row],[INTEREST]],"")</f>
        <v>2525.1186023072723</v>
      </c>
      <c r="I143" s="19">
        <f>IF(PaymentSchedule34[[#This Row],[PMT NO]]&lt;&gt;"",PaymentSchedule34[[#This Row],[BEGINNING BALANCE]]*(InterestRate/PaymentsPerYear),"")</f>
        <v>6147.2853955785367</v>
      </c>
      <c r="J14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1733178.9930904559</v>
      </c>
      <c r="K143" s="19">
        <f>IF(PaymentSchedule34[[#This Row],[PMT NO]]&lt;&gt;"",SUM(INDEX(PaymentSchedule34[INTEREST],1,1):PaymentSchedule34[[#This Row],[INTEREST]]),"")</f>
        <v>877936.32081138238</v>
      </c>
    </row>
    <row r="144" spans="2:11" x14ac:dyDescent="0.3">
      <c r="B144" s="21">
        <f>IF(LoanIsGood,IF(ROW()-ROW(PaymentSchedule34[[#Headers],[PMT NO]])&gt;ScheduledNumberOfPayments,"",ROW()-ROW(PaymentSchedule34[[#Headers],[PMT NO]])),"")</f>
        <v>133</v>
      </c>
      <c r="C144" s="20">
        <f>IF(PaymentSchedule34[[#This Row],[PMT NO]]&lt;&gt;"",EOMONTH(LoanStartDate,ROW(PaymentSchedule34[[#This Row],[PMT NO]])-ROW(PaymentSchedule34[[#Headers],[PMT NO]])-2)+DAY(LoanStartDate),"")</f>
        <v>47665</v>
      </c>
      <c r="D144" s="19">
        <f>IF(PaymentSchedule34[[#This Row],[PMT NO]]&lt;&gt;"",IF(ROW()-ROW(PaymentSchedule34[[#Headers],[BEGINNING BALANCE]])=1,LoanAmount,INDEX(PaymentSchedule34[ENDING BALANCE],ROW()-ROW(PaymentSchedule34[[#Headers],[BEGINNING BALANCE]])-1)),"")</f>
        <v>1733178.9930904559</v>
      </c>
      <c r="E144" s="19">
        <f>IF(PaymentSchedule34[[#This Row],[PMT NO]]&lt;&gt;"",ScheduledPayment,"")</f>
        <v>8672.4039978858091</v>
      </c>
      <c r="F14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4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44" s="19">
        <f>IF(PaymentSchedule34[[#This Row],[PMT NO]]&lt;&gt;"",PaymentSchedule34[[#This Row],[TOTAL PAYMENT]]-PaymentSchedule34[[#This Row],[INTEREST]],"")</f>
        <v>2534.0617306904442</v>
      </c>
      <c r="I144" s="19">
        <f>IF(PaymentSchedule34[[#This Row],[PMT NO]]&lt;&gt;"",PaymentSchedule34[[#This Row],[BEGINNING BALANCE]]*(InterestRate/PaymentsPerYear),"")</f>
        <v>6138.3422671953649</v>
      </c>
      <c r="J14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1730644.9313597654</v>
      </c>
      <c r="K144" s="19">
        <f>IF(PaymentSchedule34[[#This Row],[PMT NO]]&lt;&gt;"",SUM(INDEX(PaymentSchedule34[INTEREST],1,1):PaymentSchedule34[[#This Row],[INTEREST]]),"")</f>
        <v>884074.66307857772</v>
      </c>
    </row>
    <row r="145" spans="2:11" x14ac:dyDescent="0.3">
      <c r="B145" s="21">
        <f>IF(LoanIsGood,IF(ROW()-ROW(PaymentSchedule34[[#Headers],[PMT NO]])&gt;ScheduledNumberOfPayments,"",ROW()-ROW(PaymentSchedule34[[#Headers],[PMT NO]])),"")</f>
        <v>134</v>
      </c>
      <c r="C145" s="20">
        <f>IF(PaymentSchedule34[[#This Row],[PMT NO]]&lt;&gt;"",EOMONTH(LoanStartDate,ROW(PaymentSchedule34[[#This Row],[PMT NO]])-ROW(PaymentSchedule34[[#Headers],[PMT NO]])-2)+DAY(LoanStartDate),"")</f>
        <v>47696</v>
      </c>
      <c r="D145" s="19">
        <f>IF(PaymentSchedule34[[#This Row],[PMT NO]]&lt;&gt;"",IF(ROW()-ROW(PaymentSchedule34[[#Headers],[BEGINNING BALANCE]])=1,LoanAmount,INDEX(PaymentSchedule34[ENDING BALANCE],ROW()-ROW(PaymentSchedule34[[#Headers],[BEGINNING BALANCE]])-1)),"")</f>
        <v>1730644.9313597654</v>
      </c>
      <c r="E145" s="19">
        <f>IF(PaymentSchedule34[[#This Row],[PMT NO]]&lt;&gt;"",ScheduledPayment,"")</f>
        <v>8672.4039978858091</v>
      </c>
      <c r="F14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4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45" s="19">
        <f>IF(PaymentSchedule34[[#This Row],[PMT NO]]&lt;&gt;"",PaymentSchedule34[[#This Row],[TOTAL PAYMENT]]-PaymentSchedule34[[#This Row],[INTEREST]],"")</f>
        <v>2543.0365326533065</v>
      </c>
      <c r="I145" s="19">
        <f>IF(PaymentSchedule34[[#This Row],[PMT NO]]&lt;&gt;"",PaymentSchedule34[[#This Row],[BEGINNING BALANCE]]*(InterestRate/PaymentsPerYear),"")</f>
        <v>6129.3674652325026</v>
      </c>
      <c r="J14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1728101.8948271121</v>
      </c>
      <c r="K145" s="19">
        <f>IF(PaymentSchedule34[[#This Row],[PMT NO]]&lt;&gt;"",SUM(INDEX(PaymentSchedule34[INTEREST],1,1):PaymentSchedule34[[#This Row],[INTEREST]]),"")</f>
        <v>890204.03054381022</v>
      </c>
    </row>
    <row r="146" spans="2:11" x14ac:dyDescent="0.3">
      <c r="B146" s="21">
        <f>IF(LoanIsGood,IF(ROW()-ROW(PaymentSchedule34[[#Headers],[PMT NO]])&gt;ScheduledNumberOfPayments,"",ROW()-ROW(PaymentSchedule34[[#Headers],[PMT NO]])),"")</f>
        <v>135</v>
      </c>
      <c r="C146" s="20">
        <f>IF(PaymentSchedule34[[#This Row],[PMT NO]]&lt;&gt;"",EOMONTH(LoanStartDate,ROW(PaymentSchedule34[[#This Row],[PMT NO]])-ROW(PaymentSchedule34[[#Headers],[PMT NO]])-2)+DAY(LoanStartDate),"")</f>
        <v>47727</v>
      </c>
      <c r="D146" s="19">
        <f>IF(PaymentSchedule34[[#This Row],[PMT NO]]&lt;&gt;"",IF(ROW()-ROW(PaymentSchedule34[[#Headers],[BEGINNING BALANCE]])=1,LoanAmount,INDEX(PaymentSchedule34[ENDING BALANCE],ROW()-ROW(PaymentSchedule34[[#Headers],[BEGINNING BALANCE]])-1)),"")</f>
        <v>1728101.8948271121</v>
      </c>
      <c r="E146" s="19">
        <f>IF(PaymentSchedule34[[#This Row],[PMT NO]]&lt;&gt;"",ScheduledPayment,"")</f>
        <v>8672.4039978858091</v>
      </c>
      <c r="F14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4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46" s="19">
        <f>IF(PaymentSchedule34[[#This Row],[PMT NO]]&lt;&gt;"",PaymentSchedule34[[#This Row],[TOTAL PAYMENT]]-PaymentSchedule34[[#This Row],[INTEREST]],"")</f>
        <v>2552.0431203731196</v>
      </c>
      <c r="I146" s="19">
        <f>IF(PaymentSchedule34[[#This Row],[PMT NO]]&lt;&gt;"",PaymentSchedule34[[#This Row],[BEGINNING BALANCE]]*(InterestRate/PaymentsPerYear),"")</f>
        <v>6120.3608775126895</v>
      </c>
      <c r="J14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1725549.851706739</v>
      </c>
      <c r="K146" s="19">
        <f>IF(PaymentSchedule34[[#This Row],[PMT NO]]&lt;&gt;"",SUM(INDEX(PaymentSchedule34[INTEREST],1,1):PaymentSchedule34[[#This Row],[INTEREST]]),"")</f>
        <v>896324.39142132294</v>
      </c>
    </row>
    <row r="147" spans="2:11" x14ac:dyDescent="0.3">
      <c r="B147" s="21">
        <f>IF(LoanIsGood,IF(ROW()-ROW(PaymentSchedule34[[#Headers],[PMT NO]])&gt;ScheduledNumberOfPayments,"",ROW()-ROW(PaymentSchedule34[[#Headers],[PMT NO]])),"")</f>
        <v>136</v>
      </c>
      <c r="C147" s="20">
        <f>IF(PaymentSchedule34[[#This Row],[PMT NO]]&lt;&gt;"",EOMONTH(LoanStartDate,ROW(PaymentSchedule34[[#This Row],[PMT NO]])-ROW(PaymentSchedule34[[#Headers],[PMT NO]])-2)+DAY(LoanStartDate),"")</f>
        <v>47757</v>
      </c>
      <c r="D147" s="19">
        <f>IF(PaymentSchedule34[[#This Row],[PMT NO]]&lt;&gt;"",IF(ROW()-ROW(PaymentSchedule34[[#Headers],[BEGINNING BALANCE]])=1,LoanAmount,INDEX(PaymentSchedule34[ENDING BALANCE],ROW()-ROW(PaymentSchedule34[[#Headers],[BEGINNING BALANCE]])-1)),"")</f>
        <v>1725549.851706739</v>
      </c>
      <c r="E147" s="19">
        <f>IF(PaymentSchedule34[[#This Row],[PMT NO]]&lt;&gt;"",ScheduledPayment,"")</f>
        <v>8672.4039978858091</v>
      </c>
      <c r="F14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4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47" s="19">
        <f>IF(PaymentSchedule34[[#This Row],[PMT NO]]&lt;&gt;"",PaymentSchedule34[[#This Row],[TOTAL PAYMENT]]-PaymentSchedule34[[#This Row],[INTEREST]],"")</f>
        <v>2561.0816064244409</v>
      </c>
      <c r="I147" s="19">
        <f>IF(PaymentSchedule34[[#This Row],[PMT NO]]&lt;&gt;"",PaymentSchedule34[[#This Row],[BEGINNING BALANCE]]*(InterestRate/PaymentsPerYear),"")</f>
        <v>6111.3223914613682</v>
      </c>
      <c r="J14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1722988.7701003146</v>
      </c>
      <c r="K147" s="19">
        <f>IF(PaymentSchedule34[[#This Row],[PMT NO]]&lt;&gt;"",SUM(INDEX(PaymentSchedule34[INTEREST],1,1):PaymentSchedule34[[#This Row],[INTEREST]]),"")</f>
        <v>902435.71381278429</v>
      </c>
    </row>
    <row r="148" spans="2:11" x14ac:dyDescent="0.3">
      <c r="B148" s="21">
        <f>IF(LoanIsGood,IF(ROW()-ROW(PaymentSchedule34[[#Headers],[PMT NO]])&gt;ScheduledNumberOfPayments,"",ROW()-ROW(PaymentSchedule34[[#Headers],[PMT NO]])),"")</f>
        <v>137</v>
      </c>
      <c r="C148" s="20">
        <f>IF(PaymentSchedule34[[#This Row],[PMT NO]]&lt;&gt;"",EOMONTH(LoanStartDate,ROW(PaymentSchedule34[[#This Row],[PMT NO]])-ROW(PaymentSchedule34[[#Headers],[PMT NO]])-2)+DAY(LoanStartDate),"")</f>
        <v>47788</v>
      </c>
      <c r="D148" s="19">
        <f>IF(PaymentSchedule34[[#This Row],[PMT NO]]&lt;&gt;"",IF(ROW()-ROW(PaymentSchedule34[[#Headers],[BEGINNING BALANCE]])=1,LoanAmount,INDEX(PaymentSchedule34[ENDING BALANCE],ROW()-ROW(PaymentSchedule34[[#Headers],[BEGINNING BALANCE]])-1)),"")</f>
        <v>1722988.7701003146</v>
      </c>
      <c r="E148" s="19">
        <f>IF(PaymentSchedule34[[#This Row],[PMT NO]]&lt;&gt;"",ScheduledPayment,"")</f>
        <v>8672.4039978858091</v>
      </c>
      <c r="F14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4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48" s="19">
        <f>IF(PaymentSchedule34[[#This Row],[PMT NO]]&lt;&gt;"",PaymentSchedule34[[#This Row],[TOTAL PAYMENT]]-PaymentSchedule34[[#This Row],[INTEREST]],"")</f>
        <v>2570.1521037805278</v>
      </c>
      <c r="I148" s="19">
        <f>IF(PaymentSchedule34[[#This Row],[PMT NO]]&lt;&gt;"",PaymentSchedule34[[#This Row],[BEGINNING BALANCE]]*(InterestRate/PaymentsPerYear),"")</f>
        <v>6102.2518941052813</v>
      </c>
      <c r="J14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1720418.6179965341</v>
      </c>
      <c r="K148" s="19">
        <f>IF(PaymentSchedule34[[#This Row],[PMT NO]]&lt;&gt;"",SUM(INDEX(PaymentSchedule34[INTEREST],1,1):PaymentSchedule34[[#This Row],[INTEREST]]),"")</f>
        <v>908537.96570688952</v>
      </c>
    </row>
    <row r="149" spans="2:11" x14ac:dyDescent="0.3">
      <c r="B149" s="21">
        <f>IF(LoanIsGood,IF(ROW()-ROW(PaymentSchedule34[[#Headers],[PMT NO]])&gt;ScheduledNumberOfPayments,"",ROW()-ROW(PaymentSchedule34[[#Headers],[PMT NO]])),"")</f>
        <v>138</v>
      </c>
      <c r="C149" s="20">
        <f>IF(PaymentSchedule34[[#This Row],[PMT NO]]&lt;&gt;"",EOMONTH(LoanStartDate,ROW(PaymentSchedule34[[#This Row],[PMT NO]])-ROW(PaymentSchedule34[[#Headers],[PMT NO]])-2)+DAY(LoanStartDate),"")</f>
        <v>47818</v>
      </c>
      <c r="D149" s="19">
        <f>IF(PaymentSchedule34[[#This Row],[PMT NO]]&lt;&gt;"",IF(ROW()-ROW(PaymentSchedule34[[#Headers],[BEGINNING BALANCE]])=1,LoanAmount,INDEX(PaymentSchedule34[ENDING BALANCE],ROW()-ROW(PaymentSchedule34[[#Headers],[BEGINNING BALANCE]])-1)),"")</f>
        <v>1720418.6179965341</v>
      </c>
      <c r="E149" s="19">
        <f>IF(PaymentSchedule34[[#This Row],[PMT NO]]&lt;&gt;"",ScheduledPayment,"")</f>
        <v>8672.4039978858091</v>
      </c>
      <c r="F14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4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49" s="19">
        <f>IF(PaymentSchedule34[[#This Row],[PMT NO]]&lt;&gt;"",PaymentSchedule34[[#This Row],[TOTAL PAYMENT]]-PaymentSchedule34[[#This Row],[INTEREST]],"")</f>
        <v>2579.2547258147506</v>
      </c>
      <c r="I149" s="19">
        <f>IF(PaymentSchedule34[[#This Row],[PMT NO]]&lt;&gt;"",PaymentSchedule34[[#This Row],[BEGINNING BALANCE]]*(InterestRate/PaymentsPerYear),"")</f>
        <v>6093.1492720710585</v>
      </c>
      <c r="J14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1717839.3632707193</v>
      </c>
      <c r="K149" s="19">
        <f>IF(PaymentSchedule34[[#This Row],[PMT NO]]&lt;&gt;"",SUM(INDEX(PaymentSchedule34[INTEREST],1,1):PaymentSchedule34[[#This Row],[INTEREST]]),"")</f>
        <v>914631.1149789606</v>
      </c>
    </row>
    <row r="150" spans="2:11" x14ac:dyDescent="0.3">
      <c r="B150" s="21">
        <f>IF(LoanIsGood,IF(ROW()-ROW(PaymentSchedule34[[#Headers],[PMT NO]])&gt;ScheduledNumberOfPayments,"",ROW()-ROW(PaymentSchedule34[[#Headers],[PMT NO]])),"")</f>
        <v>139</v>
      </c>
      <c r="C150" s="20">
        <f>IF(PaymentSchedule34[[#This Row],[PMT NO]]&lt;&gt;"",EOMONTH(LoanStartDate,ROW(PaymentSchedule34[[#This Row],[PMT NO]])-ROW(PaymentSchedule34[[#Headers],[PMT NO]])-2)+DAY(LoanStartDate),"")</f>
        <v>47849</v>
      </c>
      <c r="D150" s="19">
        <f>IF(PaymentSchedule34[[#This Row],[PMT NO]]&lt;&gt;"",IF(ROW()-ROW(PaymentSchedule34[[#Headers],[BEGINNING BALANCE]])=1,LoanAmount,INDEX(PaymentSchedule34[ENDING BALANCE],ROW()-ROW(PaymentSchedule34[[#Headers],[BEGINNING BALANCE]])-1)),"")</f>
        <v>1717839.3632707193</v>
      </c>
      <c r="E150" s="19">
        <f>IF(PaymentSchedule34[[#This Row],[PMT NO]]&lt;&gt;"",ScheduledPayment,"")</f>
        <v>8672.4039978858091</v>
      </c>
      <c r="F15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5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50" s="19">
        <f>IF(PaymentSchedule34[[#This Row],[PMT NO]]&lt;&gt;"",PaymentSchedule34[[#This Row],[TOTAL PAYMENT]]-PaymentSchedule34[[#This Row],[INTEREST]],"")</f>
        <v>2588.3895863020107</v>
      </c>
      <c r="I150" s="19">
        <f>IF(PaymentSchedule34[[#This Row],[PMT NO]]&lt;&gt;"",PaymentSchedule34[[#This Row],[BEGINNING BALANCE]]*(InterestRate/PaymentsPerYear),"")</f>
        <v>6084.0144115837984</v>
      </c>
      <c r="J15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1715250.9736844173</v>
      </c>
      <c r="K150" s="19">
        <f>IF(PaymentSchedule34[[#This Row],[PMT NO]]&lt;&gt;"",SUM(INDEX(PaymentSchedule34[INTEREST],1,1):PaymentSchedule34[[#This Row],[INTEREST]]),"")</f>
        <v>920715.12939054437</v>
      </c>
    </row>
    <row r="151" spans="2:11" x14ac:dyDescent="0.3">
      <c r="B151" s="21">
        <f>IF(LoanIsGood,IF(ROW()-ROW(PaymentSchedule34[[#Headers],[PMT NO]])&gt;ScheduledNumberOfPayments,"",ROW()-ROW(PaymentSchedule34[[#Headers],[PMT NO]])),"")</f>
        <v>140</v>
      </c>
      <c r="C151" s="20">
        <f>IF(PaymentSchedule34[[#This Row],[PMT NO]]&lt;&gt;"",EOMONTH(LoanStartDate,ROW(PaymentSchedule34[[#This Row],[PMT NO]])-ROW(PaymentSchedule34[[#Headers],[PMT NO]])-2)+DAY(LoanStartDate),"")</f>
        <v>47880</v>
      </c>
      <c r="D151" s="19">
        <f>IF(PaymentSchedule34[[#This Row],[PMT NO]]&lt;&gt;"",IF(ROW()-ROW(PaymentSchedule34[[#Headers],[BEGINNING BALANCE]])=1,LoanAmount,INDEX(PaymentSchedule34[ENDING BALANCE],ROW()-ROW(PaymentSchedule34[[#Headers],[BEGINNING BALANCE]])-1)),"")</f>
        <v>1715250.9736844173</v>
      </c>
      <c r="E151" s="19">
        <f>IF(PaymentSchedule34[[#This Row],[PMT NO]]&lt;&gt;"",ScheduledPayment,"")</f>
        <v>8672.4039978858091</v>
      </c>
      <c r="F15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5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51" s="19">
        <f>IF(PaymentSchedule34[[#This Row],[PMT NO]]&lt;&gt;"",PaymentSchedule34[[#This Row],[TOTAL PAYMENT]]-PaymentSchedule34[[#This Row],[INTEREST]],"")</f>
        <v>2597.5567994201638</v>
      </c>
      <c r="I151" s="19">
        <f>IF(PaymentSchedule34[[#This Row],[PMT NO]]&lt;&gt;"",PaymentSchedule34[[#This Row],[BEGINNING BALANCE]]*(InterestRate/PaymentsPerYear),"")</f>
        <v>6074.8471984656453</v>
      </c>
      <c r="J15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1712653.4168849972</v>
      </c>
      <c r="K151" s="19">
        <f>IF(PaymentSchedule34[[#This Row],[PMT NO]]&lt;&gt;"",SUM(INDEX(PaymentSchedule34[INTEREST],1,1):PaymentSchedule34[[#This Row],[INTEREST]]),"")</f>
        <v>926789.97658900998</v>
      </c>
    </row>
    <row r="152" spans="2:11" x14ac:dyDescent="0.3">
      <c r="B152" s="21">
        <f>IF(LoanIsGood,IF(ROW()-ROW(PaymentSchedule34[[#Headers],[PMT NO]])&gt;ScheduledNumberOfPayments,"",ROW()-ROW(PaymentSchedule34[[#Headers],[PMT NO]])),"")</f>
        <v>141</v>
      </c>
      <c r="C152" s="20">
        <f>IF(PaymentSchedule34[[#This Row],[PMT NO]]&lt;&gt;"",EOMONTH(LoanStartDate,ROW(PaymentSchedule34[[#This Row],[PMT NO]])-ROW(PaymentSchedule34[[#Headers],[PMT NO]])-2)+DAY(LoanStartDate),"")</f>
        <v>47908</v>
      </c>
      <c r="D152" s="19">
        <f>IF(PaymentSchedule34[[#This Row],[PMT NO]]&lt;&gt;"",IF(ROW()-ROW(PaymentSchedule34[[#Headers],[BEGINNING BALANCE]])=1,LoanAmount,INDEX(PaymentSchedule34[ENDING BALANCE],ROW()-ROW(PaymentSchedule34[[#Headers],[BEGINNING BALANCE]])-1)),"")</f>
        <v>1712653.4168849972</v>
      </c>
      <c r="E152" s="19">
        <f>IF(PaymentSchedule34[[#This Row],[PMT NO]]&lt;&gt;"",ScheduledPayment,"")</f>
        <v>8672.4039978858091</v>
      </c>
      <c r="F15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5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52" s="19">
        <f>IF(PaymentSchedule34[[#This Row],[PMT NO]]&lt;&gt;"",PaymentSchedule34[[#This Row],[TOTAL PAYMENT]]-PaymentSchedule34[[#This Row],[INTEREST]],"")</f>
        <v>2606.7564797514433</v>
      </c>
      <c r="I152" s="19">
        <f>IF(PaymentSchedule34[[#This Row],[PMT NO]]&lt;&gt;"",PaymentSchedule34[[#This Row],[BEGINNING BALANCE]]*(InterestRate/PaymentsPerYear),"")</f>
        <v>6065.6475181343658</v>
      </c>
      <c r="J15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1710046.6604052456</v>
      </c>
      <c r="K152" s="19">
        <f>IF(PaymentSchedule34[[#This Row],[PMT NO]]&lt;&gt;"",SUM(INDEX(PaymentSchedule34[INTEREST],1,1):PaymentSchedule34[[#This Row],[INTEREST]]),"")</f>
        <v>932855.62410714431</v>
      </c>
    </row>
    <row r="153" spans="2:11" x14ac:dyDescent="0.3">
      <c r="B153" s="21">
        <f>IF(LoanIsGood,IF(ROW()-ROW(PaymentSchedule34[[#Headers],[PMT NO]])&gt;ScheduledNumberOfPayments,"",ROW()-ROW(PaymentSchedule34[[#Headers],[PMT NO]])),"")</f>
        <v>142</v>
      </c>
      <c r="C153" s="20">
        <f>IF(PaymentSchedule34[[#This Row],[PMT NO]]&lt;&gt;"",EOMONTH(LoanStartDate,ROW(PaymentSchedule34[[#This Row],[PMT NO]])-ROW(PaymentSchedule34[[#Headers],[PMT NO]])-2)+DAY(LoanStartDate),"")</f>
        <v>47939</v>
      </c>
      <c r="D153" s="19">
        <f>IF(PaymentSchedule34[[#This Row],[PMT NO]]&lt;&gt;"",IF(ROW()-ROW(PaymentSchedule34[[#Headers],[BEGINNING BALANCE]])=1,LoanAmount,INDEX(PaymentSchedule34[ENDING BALANCE],ROW()-ROW(PaymentSchedule34[[#Headers],[BEGINNING BALANCE]])-1)),"")</f>
        <v>1710046.6604052456</v>
      </c>
      <c r="E153" s="19">
        <f>IF(PaymentSchedule34[[#This Row],[PMT NO]]&lt;&gt;"",ScheduledPayment,"")</f>
        <v>8672.4039978858091</v>
      </c>
      <c r="F15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5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53" s="19">
        <f>IF(PaymentSchedule34[[#This Row],[PMT NO]]&lt;&gt;"",PaymentSchedule34[[#This Row],[TOTAL PAYMENT]]-PaymentSchedule34[[#This Row],[INTEREST]],"")</f>
        <v>2615.9887422838974</v>
      </c>
      <c r="I153" s="19">
        <f>IF(PaymentSchedule34[[#This Row],[PMT NO]]&lt;&gt;"",PaymentSchedule34[[#This Row],[BEGINNING BALANCE]]*(InterestRate/PaymentsPerYear),"")</f>
        <v>6056.4152556019117</v>
      </c>
      <c r="J15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1707430.6716629616</v>
      </c>
      <c r="K153" s="19">
        <f>IF(PaymentSchedule34[[#This Row],[PMT NO]]&lt;&gt;"",SUM(INDEX(PaymentSchedule34[INTEREST],1,1):PaymentSchedule34[[#This Row],[INTEREST]]),"")</f>
        <v>938912.03936274617</v>
      </c>
    </row>
    <row r="154" spans="2:11" x14ac:dyDescent="0.3">
      <c r="B154" s="21">
        <f>IF(LoanIsGood,IF(ROW()-ROW(PaymentSchedule34[[#Headers],[PMT NO]])&gt;ScheduledNumberOfPayments,"",ROW()-ROW(PaymentSchedule34[[#Headers],[PMT NO]])),"")</f>
        <v>143</v>
      </c>
      <c r="C154" s="20">
        <f>IF(PaymentSchedule34[[#This Row],[PMT NO]]&lt;&gt;"",EOMONTH(LoanStartDate,ROW(PaymentSchedule34[[#This Row],[PMT NO]])-ROW(PaymentSchedule34[[#Headers],[PMT NO]])-2)+DAY(LoanStartDate),"")</f>
        <v>47969</v>
      </c>
      <c r="D154" s="19">
        <f>IF(PaymentSchedule34[[#This Row],[PMT NO]]&lt;&gt;"",IF(ROW()-ROW(PaymentSchedule34[[#Headers],[BEGINNING BALANCE]])=1,LoanAmount,INDEX(PaymentSchedule34[ENDING BALANCE],ROW()-ROW(PaymentSchedule34[[#Headers],[BEGINNING BALANCE]])-1)),"")</f>
        <v>1707430.6716629616</v>
      </c>
      <c r="E154" s="19">
        <f>IF(PaymentSchedule34[[#This Row],[PMT NO]]&lt;&gt;"",ScheduledPayment,"")</f>
        <v>8672.4039978858091</v>
      </c>
      <c r="F15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5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54" s="19">
        <f>IF(PaymentSchedule34[[#This Row],[PMT NO]]&lt;&gt;"",PaymentSchedule34[[#This Row],[TOTAL PAYMENT]]-PaymentSchedule34[[#This Row],[INTEREST]],"")</f>
        <v>2625.2537024128196</v>
      </c>
      <c r="I154" s="19">
        <f>IF(PaymentSchedule34[[#This Row],[PMT NO]]&lt;&gt;"",PaymentSchedule34[[#This Row],[BEGINNING BALANCE]]*(InterestRate/PaymentsPerYear),"")</f>
        <v>6047.1502954729895</v>
      </c>
      <c r="J15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1704805.4179605488</v>
      </c>
      <c r="K154" s="19">
        <f>IF(PaymentSchedule34[[#This Row],[PMT NO]]&lt;&gt;"",SUM(INDEX(PaymentSchedule34[INTEREST],1,1):PaymentSchedule34[[#This Row],[INTEREST]]),"")</f>
        <v>944959.18965821911</v>
      </c>
    </row>
    <row r="155" spans="2:11" x14ac:dyDescent="0.3">
      <c r="B155" s="21">
        <f>IF(LoanIsGood,IF(ROW()-ROW(PaymentSchedule34[[#Headers],[PMT NO]])&gt;ScheduledNumberOfPayments,"",ROW()-ROW(PaymentSchedule34[[#Headers],[PMT NO]])),"")</f>
        <v>144</v>
      </c>
      <c r="C155" s="20">
        <f>IF(PaymentSchedule34[[#This Row],[PMT NO]]&lt;&gt;"",EOMONTH(LoanStartDate,ROW(PaymentSchedule34[[#This Row],[PMT NO]])-ROW(PaymentSchedule34[[#Headers],[PMT NO]])-2)+DAY(LoanStartDate),"")</f>
        <v>48000</v>
      </c>
      <c r="D155" s="19">
        <f>IF(PaymentSchedule34[[#This Row],[PMT NO]]&lt;&gt;"",IF(ROW()-ROW(PaymentSchedule34[[#Headers],[BEGINNING BALANCE]])=1,LoanAmount,INDEX(PaymentSchedule34[ENDING BALANCE],ROW()-ROW(PaymentSchedule34[[#Headers],[BEGINNING BALANCE]])-1)),"")</f>
        <v>1704805.4179605488</v>
      </c>
      <c r="E155" s="19">
        <f>IF(PaymentSchedule34[[#This Row],[PMT NO]]&lt;&gt;"",ScheduledPayment,"")</f>
        <v>8672.4039978858091</v>
      </c>
      <c r="F15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5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55" s="19">
        <f>IF(PaymentSchedule34[[#This Row],[PMT NO]]&lt;&gt;"",PaymentSchedule34[[#This Row],[TOTAL PAYMENT]]-PaymentSchedule34[[#This Row],[INTEREST]],"")</f>
        <v>2634.5514759421985</v>
      </c>
      <c r="I155" s="19">
        <f>IF(PaymentSchedule34[[#This Row],[PMT NO]]&lt;&gt;"",PaymentSchedule34[[#This Row],[BEGINNING BALANCE]]*(InterestRate/PaymentsPerYear),"")</f>
        <v>6037.8525219436106</v>
      </c>
      <c r="J15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1702170.8664846066</v>
      </c>
      <c r="K155" s="19">
        <f>IF(PaymentSchedule34[[#This Row],[PMT NO]]&lt;&gt;"",SUM(INDEX(PaymentSchedule34[INTEREST],1,1):PaymentSchedule34[[#This Row],[INTEREST]]),"")</f>
        <v>950997.04218016274</v>
      </c>
    </row>
    <row r="156" spans="2:11" x14ac:dyDescent="0.3">
      <c r="B156" s="21">
        <f>IF(LoanIsGood,IF(ROW()-ROW(PaymentSchedule34[[#Headers],[PMT NO]])&gt;ScheduledNumberOfPayments,"",ROW()-ROW(PaymentSchedule34[[#Headers],[PMT NO]])),"")</f>
        <v>145</v>
      </c>
      <c r="C156" s="20">
        <f>IF(PaymentSchedule34[[#This Row],[PMT NO]]&lt;&gt;"",EOMONTH(LoanStartDate,ROW(PaymentSchedule34[[#This Row],[PMT NO]])-ROW(PaymentSchedule34[[#Headers],[PMT NO]])-2)+DAY(LoanStartDate),"")</f>
        <v>48030</v>
      </c>
      <c r="D156" s="19">
        <f>IF(PaymentSchedule34[[#This Row],[PMT NO]]&lt;&gt;"",IF(ROW()-ROW(PaymentSchedule34[[#Headers],[BEGINNING BALANCE]])=1,LoanAmount,INDEX(PaymentSchedule34[ENDING BALANCE],ROW()-ROW(PaymentSchedule34[[#Headers],[BEGINNING BALANCE]])-1)),"")</f>
        <v>1702170.8664846066</v>
      </c>
      <c r="E156" s="19">
        <f>IF(PaymentSchedule34[[#This Row],[PMT NO]]&lt;&gt;"",ScheduledPayment,"")</f>
        <v>8672.4039978858091</v>
      </c>
      <c r="F15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5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56" s="19">
        <f>IF(PaymentSchedule34[[#This Row],[PMT NO]]&lt;&gt;"",PaymentSchedule34[[#This Row],[TOTAL PAYMENT]]-PaymentSchedule34[[#This Row],[INTEREST]],"")</f>
        <v>2643.8821790861602</v>
      </c>
      <c r="I156" s="19">
        <f>IF(PaymentSchedule34[[#This Row],[PMT NO]]&lt;&gt;"",PaymentSchedule34[[#This Row],[BEGINNING BALANCE]]*(InterestRate/PaymentsPerYear),"")</f>
        <v>6028.5218187996488</v>
      </c>
      <c r="J15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1699526.9843055205</v>
      </c>
      <c r="K156" s="19">
        <f>IF(PaymentSchedule34[[#This Row],[PMT NO]]&lt;&gt;"",SUM(INDEX(PaymentSchedule34[INTEREST],1,1):PaymentSchedule34[[#This Row],[INTEREST]]),"")</f>
        <v>957025.5639989624</v>
      </c>
    </row>
    <row r="157" spans="2:11" x14ac:dyDescent="0.3">
      <c r="B157" s="21">
        <f>IF(LoanIsGood,IF(ROW()-ROW(PaymentSchedule34[[#Headers],[PMT NO]])&gt;ScheduledNumberOfPayments,"",ROW()-ROW(PaymentSchedule34[[#Headers],[PMT NO]])),"")</f>
        <v>146</v>
      </c>
      <c r="C157" s="20">
        <f>IF(PaymentSchedule34[[#This Row],[PMT NO]]&lt;&gt;"",EOMONTH(LoanStartDate,ROW(PaymentSchedule34[[#This Row],[PMT NO]])-ROW(PaymentSchedule34[[#Headers],[PMT NO]])-2)+DAY(LoanStartDate),"")</f>
        <v>48061</v>
      </c>
      <c r="D157" s="19">
        <f>IF(PaymentSchedule34[[#This Row],[PMT NO]]&lt;&gt;"",IF(ROW()-ROW(PaymentSchedule34[[#Headers],[BEGINNING BALANCE]])=1,LoanAmount,INDEX(PaymentSchedule34[ENDING BALANCE],ROW()-ROW(PaymentSchedule34[[#Headers],[BEGINNING BALANCE]])-1)),"")</f>
        <v>1699526.9843055205</v>
      </c>
      <c r="E157" s="19">
        <f>IF(PaymentSchedule34[[#This Row],[PMT NO]]&lt;&gt;"",ScheduledPayment,"")</f>
        <v>8672.4039978858091</v>
      </c>
      <c r="F15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5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57" s="19">
        <f>IF(PaymentSchedule34[[#This Row],[PMT NO]]&lt;&gt;"",PaymentSchedule34[[#This Row],[TOTAL PAYMENT]]-PaymentSchedule34[[#This Row],[INTEREST]],"")</f>
        <v>2653.2459284704237</v>
      </c>
      <c r="I157" s="19">
        <f>IF(PaymentSchedule34[[#This Row],[PMT NO]]&lt;&gt;"",PaymentSchedule34[[#This Row],[BEGINNING BALANCE]]*(InterestRate/PaymentsPerYear),"")</f>
        <v>6019.1580694153854</v>
      </c>
      <c r="J15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1696873.73837705</v>
      </c>
      <c r="K157" s="19">
        <f>IF(PaymentSchedule34[[#This Row],[PMT NO]]&lt;&gt;"",SUM(INDEX(PaymentSchedule34[INTEREST],1,1):PaymentSchedule34[[#This Row],[INTEREST]]),"")</f>
        <v>963044.72206837777</v>
      </c>
    </row>
    <row r="158" spans="2:11" x14ac:dyDescent="0.3">
      <c r="B158" s="21">
        <f>IF(LoanIsGood,IF(ROW()-ROW(PaymentSchedule34[[#Headers],[PMT NO]])&gt;ScheduledNumberOfPayments,"",ROW()-ROW(PaymentSchedule34[[#Headers],[PMT NO]])),"")</f>
        <v>147</v>
      </c>
      <c r="C158" s="20">
        <f>IF(PaymentSchedule34[[#This Row],[PMT NO]]&lt;&gt;"",EOMONTH(LoanStartDate,ROW(PaymentSchedule34[[#This Row],[PMT NO]])-ROW(PaymentSchedule34[[#Headers],[PMT NO]])-2)+DAY(LoanStartDate),"")</f>
        <v>48092</v>
      </c>
      <c r="D158" s="19">
        <f>IF(PaymentSchedule34[[#This Row],[PMT NO]]&lt;&gt;"",IF(ROW()-ROW(PaymentSchedule34[[#Headers],[BEGINNING BALANCE]])=1,LoanAmount,INDEX(PaymentSchedule34[ENDING BALANCE],ROW()-ROW(PaymentSchedule34[[#Headers],[BEGINNING BALANCE]])-1)),"")</f>
        <v>1696873.73837705</v>
      </c>
      <c r="E158" s="19">
        <f>IF(PaymentSchedule34[[#This Row],[PMT NO]]&lt;&gt;"",ScheduledPayment,"")</f>
        <v>8672.4039978858091</v>
      </c>
      <c r="F15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5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58" s="19">
        <f>IF(PaymentSchedule34[[#This Row],[PMT NO]]&lt;&gt;"",PaymentSchedule34[[#This Row],[TOTAL PAYMENT]]-PaymentSchedule34[[#This Row],[INTEREST]],"")</f>
        <v>2662.6428411337565</v>
      </c>
      <c r="I158" s="19">
        <f>IF(PaymentSchedule34[[#This Row],[PMT NO]]&lt;&gt;"",PaymentSchedule34[[#This Row],[BEGINNING BALANCE]]*(InterestRate/PaymentsPerYear),"")</f>
        <v>6009.7611567520526</v>
      </c>
      <c r="J15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1694211.0955359163</v>
      </c>
      <c r="K158" s="19">
        <f>IF(PaymentSchedule34[[#This Row],[PMT NO]]&lt;&gt;"",SUM(INDEX(PaymentSchedule34[INTEREST],1,1):PaymentSchedule34[[#This Row],[INTEREST]]),"")</f>
        <v>969054.48322512978</v>
      </c>
    </row>
    <row r="159" spans="2:11" x14ac:dyDescent="0.3">
      <c r="B159" s="21">
        <f>IF(LoanIsGood,IF(ROW()-ROW(PaymentSchedule34[[#Headers],[PMT NO]])&gt;ScheduledNumberOfPayments,"",ROW()-ROW(PaymentSchedule34[[#Headers],[PMT NO]])),"")</f>
        <v>148</v>
      </c>
      <c r="C159" s="20">
        <f>IF(PaymentSchedule34[[#This Row],[PMT NO]]&lt;&gt;"",EOMONTH(LoanStartDate,ROW(PaymentSchedule34[[#This Row],[PMT NO]])-ROW(PaymentSchedule34[[#Headers],[PMT NO]])-2)+DAY(LoanStartDate),"")</f>
        <v>48122</v>
      </c>
      <c r="D159" s="19">
        <f>IF(PaymentSchedule34[[#This Row],[PMT NO]]&lt;&gt;"",IF(ROW()-ROW(PaymentSchedule34[[#Headers],[BEGINNING BALANCE]])=1,LoanAmount,INDEX(PaymentSchedule34[ENDING BALANCE],ROW()-ROW(PaymentSchedule34[[#Headers],[BEGINNING BALANCE]])-1)),"")</f>
        <v>1694211.0955359163</v>
      </c>
      <c r="E159" s="19">
        <f>IF(PaymentSchedule34[[#This Row],[PMT NO]]&lt;&gt;"",ScheduledPayment,"")</f>
        <v>8672.4039978858091</v>
      </c>
      <c r="F15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5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59" s="19">
        <f>IF(PaymentSchedule34[[#This Row],[PMT NO]]&lt;&gt;"",PaymentSchedule34[[#This Row],[TOTAL PAYMENT]]-PaymentSchedule34[[#This Row],[INTEREST]],"")</f>
        <v>2672.0730345294387</v>
      </c>
      <c r="I159" s="19">
        <f>IF(PaymentSchedule34[[#This Row],[PMT NO]]&lt;&gt;"",PaymentSchedule34[[#This Row],[BEGINNING BALANCE]]*(InterestRate/PaymentsPerYear),"")</f>
        <v>6000.3309633563704</v>
      </c>
      <c r="J15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1691539.0225013869</v>
      </c>
      <c r="K159" s="19">
        <f>IF(PaymentSchedule34[[#This Row],[PMT NO]]&lt;&gt;"",SUM(INDEX(PaymentSchedule34[INTEREST],1,1):PaymentSchedule34[[#This Row],[INTEREST]]),"")</f>
        <v>975054.8141884862</v>
      </c>
    </row>
    <row r="160" spans="2:11" x14ac:dyDescent="0.3">
      <c r="B160" s="21">
        <f>IF(LoanIsGood,IF(ROW()-ROW(PaymentSchedule34[[#Headers],[PMT NO]])&gt;ScheduledNumberOfPayments,"",ROW()-ROW(PaymentSchedule34[[#Headers],[PMT NO]])),"")</f>
        <v>149</v>
      </c>
      <c r="C160" s="20">
        <f>IF(PaymentSchedule34[[#This Row],[PMT NO]]&lt;&gt;"",EOMONTH(LoanStartDate,ROW(PaymentSchedule34[[#This Row],[PMT NO]])-ROW(PaymentSchedule34[[#Headers],[PMT NO]])-2)+DAY(LoanStartDate),"")</f>
        <v>48153</v>
      </c>
      <c r="D160" s="19">
        <f>IF(PaymentSchedule34[[#This Row],[PMT NO]]&lt;&gt;"",IF(ROW()-ROW(PaymentSchedule34[[#Headers],[BEGINNING BALANCE]])=1,LoanAmount,INDEX(PaymentSchedule34[ENDING BALANCE],ROW()-ROW(PaymentSchedule34[[#Headers],[BEGINNING BALANCE]])-1)),"")</f>
        <v>1691539.0225013869</v>
      </c>
      <c r="E160" s="19">
        <f>IF(PaymentSchedule34[[#This Row],[PMT NO]]&lt;&gt;"",ScheduledPayment,"")</f>
        <v>8672.4039978858091</v>
      </c>
      <c r="F16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6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60" s="19">
        <f>IF(PaymentSchedule34[[#This Row],[PMT NO]]&lt;&gt;"",PaymentSchedule34[[#This Row],[TOTAL PAYMENT]]-PaymentSchedule34[[#This Row],[INTEREST]],"")</f>
        <v>2681.5366265267303</v>
      </c>
      <c r="I160" s="19">
        <f>IF(PaymentSchedule34[[#This Row],[PMT NO]]&lt;&gt;"",PaymentSchedule34[[#This Row],[BEGINNING BALANCE]]*(InterestRate/PaymentsPerYear),"")</f>
        <v>5990.8673713590788</v>
      </c>
      <c r="J16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1688857.4858748603</v>
      </c>
      <c r="K160" s="19">
        <f>IF(PaymentSchedule34[[#This Row],[PMT NO]]&lt;&gt;"",SUM(INDEX(PaymentSchedule34[INTEREST],1,1):PaymentSchedule34[[#This Row],[INTEREST]]),"")</f>
        <v>981045.68155984522</v>
      </c>
    </row>
    <row r="161" spans="2:11" x14ac:dyDescent="0.3">
      <c r="B161" s="21">
        <f>IF(LoanIsGood,IF(ROW()-ROW(PaymentSchedule34[[#Headers],[PMT NO]])&gt;ScheduledNumberOfPayments,"",ROW()-ROW(PaymentSchedule34[[#Headers],[PMT NO]])),"")</f>
        <v>150</v>
      </c>
      <c r="C161" s="20">
        <f>IF(PaymentSchedule34[[#This Row],[PMT NO]]&lt;&gt;"",EOMONTH(LoanStartDate,ROW(PaymentSchedule34[[#This Row],[PMT NO]])-ROW(PaymentSchedule34[[#Headers],[PMT NO]])-2)+DAY(LoanStartDate),"")</f>
        <v>48183</v>
      </c>
      <c r="D161" s="19">
        <f>IF(PaymentSchedule34[[#This Row],[PMT NO]]&lt;&gt;"",IF(ROW()-ROW(PaymentSchedule34[[#Headers],[BEGINNING BALANCE]])=1,LoanAmount,INDEX(PaymentSchedule34[ENDING BALANCE],ROW()-ROW(PaymentSchedule34[[#Headers],[BEGINNING BALANCE]])-1)),"")</f>
        <v>1688857.4858748603</v>
      </c>
      <c r="E161" s="19">
        <f>IF(PaymentSchedule34[[#This Row],[PMT NO]]&lt;&gt;"",ScheduledPayment,"")</f>
        <v>8672.4039978858091</v>
      </c>
      <c r="F16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6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61" s="19">
        <f>IF(PaymentSchedule34[[#This Row],[PMT NO]]&lt;&gt;"",PaymentSchedule34[[#This Row],[TOTAL PAYMENT]]-PaymentSchedule34[[#This Row],[INTEREST]],"")</f>
        <v>2691.0337354123449</v>
      </c>
      <c r="I161" s="19">
        <f>IF(PaymentSchedule34[[#This Row],[PMT NO]]&lt;&gt;"",PaymentSchedule34[[#This Row],[BEGINNING BALANCE]]*(InterestRate/PaymentsPerYear),"")</f>
        <v>5981.3702624734642</v>
      </c>
      <c r="J16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1686166.4521394479</v>
      </c>
      <c r="K161" s="19">
        <f>IF(PaymentSchedule34[[#This Row],[PMT NO]]&lt;&gt;"",SUM(INDEX(PaymentSchedule34[INTEREST],1,1):PaymentSchedule34[[#This Row],[INTEREST]]),"")</f>
        <v>987027.0518223187</v>
      </c>
    </row>
    <row r="162" spans="2:11" x14ac:dyDescent="0.3">
      <c r="B162" s="21">
        <f>IF(LoanIsGood,IF(ROW()-ROW(PaymentSchedule34[[#Headers],[PMT NO]])&gt;ScheduledNumberOfPayments,"",ROW()-ROW(PaymentSchedule34[[#Headers],[PMT NO]])),"")</f>
        <v>151</v>
      </c>
      <c r="C162" s="20">
        <f>IF(PaymentSchedule34[[#This Row],[PMT NO]]&lt;&gt;"",EOMONTH(LoanStartDate,ROW(PaymentSchedule34[[#This Row],[PMT NO]])-ROW(PaymentSchedule34[[#Headers],[PMT NO]])-2)+DAY(LoanStartDate),"")</f>
        <v>48214</v>
      </c>
      <c r="D162" s="19">
        <f>IF(PaymentSchedule34[[#This Row],[PMT NO]]&lt;&gt;"",IF(ROW()-ROW(PaymentSchedule34[[#Headers],[BEGINNING BALANCE]])=1,LoanAmount,INDEX(PaymentSchedule34[ENDING BALANCE],ROW()-ROW(PaymentSchedule34[[#Headers],[BEGINNING BALANCE]])-1)),"")</f>
        <v>1686166.4521394479</v>
      </c>
      <c r="E162" s="19">
        <f>IF(PaymentSchedule34[[#This Row],[PMT NO]]&lt;&gt;"",ScheduledPayment,"")</f>
        <v>8672.4039978858091</v>
      </c>
      <c r="F16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6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62" s="19">
        <f>IF(PaymentSchedule34[[#This Row],[PMT NO]]&lt;&gt;"",PaymentSchedule34[[#This Row],[TOTAL PAYMENT]]-PaymentSchedule34[[#This Row],[INTEREST]],"")</f>
        <v>2700.5644798919302</v>
      </c>
      <c r="I162" s="19">
        <f>IF(PaymentSchedule34[[#This Row],[PMT NO]]&lt;&gt;"",PaymentSchedule34[[#This Row],[BEGINNING BALANCE]]*(InterestRate/PaymentsPerYear),"")</f>
        <v>5971.8395179938789</v>
      </c>
      <c r="J16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1683465.887659556</v>
      </c>
      <c r="K162" s="19">
        <f>IF(PaymentSchedule34[[#This Row],[PMT NO]]&lt;&gt;"",SUM(INDEX(PaymentSchedule34[INTEREST],1,1):PaymentSchedule34[[#This Row],[INTEREST]]),"")</f>
        <v>992998.89134031255</v>
      </c>
    </row>
    <row r="163" spans="2:11" x14ac:dyDescent="0.3">
      <c r="B163" s="21">
        <f>IF(LoanIsGood,IF(ROW()-ROW(PaymentSchedule34[[#Headers],[PMT NO]])&gt;ScheduledNumberOfPayments,"",ROW()-ROW(PaymentSchedule34[[#Headers],[PMT NO]])),"")</f>
        <v>152</v>
      </c>
      <c r="C163" s="20">
        <f>IF(PaymentSchedule34[[#This Row],[PMT NO]]&lt;&gt;"",EOMONTH(LoanStartDate,ROW(PaymentSchedule34[[#This Row],[PMT NO]])-ROW(PaymentSchedule34[[#Headers],[PMT NO]])-2)+DAY(LoanStartDate),"")</f>
        <v>48245</v>
      </c>
      <c r="D163" s="19">
        <f>IF(PaymentSchedule34[[#This Row],[PMT NO]]&lt;&gt;"",IF(ROW()-ROW(PaymentSchedule34[[#Headers],[BEGINNING BALANCE]])=1,LoanAmount,INDEX(PaymentSchedule34[ENDING BALANCE],ROW()-ROW(PaymentSchedule34[[#Headers],[BEGINNING BALANCE]])-1)),"")</f>
        <v>1683465.887659556</v>
      </c>
      <c r="E163" s="19">
        <f>IF(PaymentSchedule34[[#This Row],[PMT NO]]&lt;&gt;"",ScheduledPayment,"")</f>
        <v>8672.4039978858091</v>
      </c>
      <c r="F16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6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63" s="19">
        <f>IF(PaymentSchedule34[[#This Row],[PMT NO]]&lt;&gt;"",PaymentSchedule34[[#This Row],[TOTAL PAYMENT]]-PaymentSchedule34[[#This Row],[INTEREST]],"")</f>
        <v>2710.128979091548</v>
      </c>
      <c r="I163" s="19">
        <f>IF(PaymentSchedule34[[#This Row],[PMT NO]]&lt;&gt;"",PaymentSchedule34[[#This Row],[BEGINNING BALANCE]]*(InterestRate/PaymentsPerYear),"")</f>
        <v>5962.2750187942611</v>
      </c>
      <c r="J16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1680755.7586804645</v>
      </c>
      <c r="K163" s="19">
        <f>IF(PaymentSchedule34[[#This Row],[PMT NO]]&lt;&gt;"",SUM(INDEX(PaymentSchedule34[INTEREST],1,1):PaymentSchedule34[[#This Row],[INTEREST]]),"")</f>
        <v>998961.16635910678</v>
      </c>
    </row>
    <row r="164" spans="2:11" x14ac:dyDescent="0.3">
      <c r="B164" s="21">
        <f>IF(LoanIsGood,IF(ROW()-ROW(PaymentSchedule34[[#Headers],[PMT NO]])&gt;ScheduledNumberOfPayments,"",ROW()-ROW(PaymentSchedule34[[#Headers],[PMT NO]])),"")</f>
        <v>153</v>
      </c>
      <c r="C164" s="20">
        <f>IF(PaymentSchedule34[[#This Row],[PMT NO]]&lt;&gt;"",EOMONTH(LoanStartDate,ROW(PaymentSchedule34[[#This Row],[PMT NO]])-ROW(PaymentSchedule34[[#Headers],[PMT NO]])-2)+DAY(LoanStartDate),"")</f>
        <v>48274</v>
      </c>
      <c r="D164" s="19">
        <f>IF(PaymentSchedule34[[#This Row],[PMT NO]]&lt;&gt;"",IF(ROW()-ROW(PaymentSchedule34[[#Headers],[BEGINNING BALANCE]])=1,LoanAmount,INDEX(PaymentSchedule34[ENDING BALANCE],ROW()-ROW(PaymentSchedule34[[#Headers],[BEGINNING BALANCE]])-1)),"")</f>
        <v>1680755.7586804645</v>
      </c>
      <c r="E164" s="19">
        <f>IF(PaymentSchedule34[[#This Row],[PMT NO]]&lt;&gt;"",ScheduledPayment,"")</f>
        <v>8672.4039978858091</v>
      </c>
      <c r="F16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6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64" s="19">
        <f>IF(PaymentSchedule34[[#This Row],[PMT NO]]&lt;&gt;"",PaymentSchedule34[[#This Row],[TOTAL PAYMENT]]-PaymentSchedule34[[#This Row],[INTEREST]],"")</f>
        <v>2719.7273525591636</v>
      </c>
      <c r="I164" s="19">
        <f>IF(PaymentSchedule34[[#This Row],[PMT NO]]&lt;&gt;"",PaymentSchedule34[[#This Row],[BEGINNING BALANCE]]*(InterestRate/PaymentsPerYear),"")</f>
        <v>5952.6766453266455</v>
      </c>
      <c r="J16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1678036.0313279054</v>
      </c>
      <c r="K164" s="19">
        <f>IF(PaymentSchedule34[[#This Row],[PMT NO]]&lt;&gt;"",SUM(INDEX(PaymentSchedule34[INTEREST],1,1):PaymentSchedule34[[#This Row],[INTEREST]]),"")</f>
        <v>1004913.8430044334</v>
      </c>
    </row>
    <row r="165" spans="2:11" x14ac:dyDescent="0.3">
      <c r="B165" s="21">
        <f>IF(LoanIsGood,IF(ROW()-ROW(PaymentSchedule34[[#Headers],[PMT NO]])&gt;ScheduledNumberOfPayments,"",ROW()-ROW(PaymentSchedule34[[#Headers],[PMT NO]])),"")</f>
        <v>154</v>
      </c>
      <c r="C165" s="20">
        <f>IF(PaymentSchedule34[[#This Row],[PMT NO]]&lt;&gt;"",EOMONTH(LoanStartDate,ROW(PaymentSchedule34[[#This Row],[PMT NO]])-ROW(PaymentSchedule34[[#Headers],[PMT NO]])-2)+DAY(LoanStartDate),"")</f>
        <v>48305</v>
      </c>
      <c r="D165" s="19">
        <f>IF(PaymentSchedule34[[#This Row],[PMT NO]]&lt;&gt;"",IF(ROW()-ROW(PaymentSchedule34[[#Headers],[BEGINNING BALANCE]])=1,LoanAmount,INDEX(PaymentSchedule34[ENDING BALANCE],ROW()-ROW(PaymentSchedule34[[#Headers],[BEGINNING BALANCE]])-1)),"")</f>
        <v>1678036.0313279054</v>
      </c>
      <c r="E165" s="19">
        <f>IF(PaymentSchedule34[[#This Row],[PMT NO]]&lt;&gt;"",ScheduledPayment,"")</f>
        <v>8672.4039978858091</v>
      </c>
      <c r="F16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6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65" s="19">
        <f>IF(PaymentSchedule34[[#This Row],[PMT NO]]&lt;&gt;"",PaymentSchedule34[[#This Row],[TOTAL PAYMENT]]-PaymentSchedule34[[#This Row],[INTEREST]],"")</f>
        <v>2729.359720266144</v>
      </c>
      <c r="I165" s="19">
        <f>IF(PaymentSchedule34[[#This Row],[PMT NO]]&lt;&gt;"",PaymentSchedule34[[#This Row],[BEGINNING BALANCE]]*(InterestRate/PaymentsPerYear),"")</f>
        <v>5943.0442776196651</v>
      </c>
      <c r="J16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1675306.6716076392</v>
      </c>
      <c r="K165" s="19">
        <f>IF(PaymentSchedule34[[#This Row],[PMT NO]]&lt;&gt;"",SUM(INDEX(PaymentSchedule34[INTEREST],1,1):PaymentSchedule34[[#This Row],[INTEREST]]),"")</f>
        <v>1010856.8872820531</v>
      </c>
    </row>
    <row r="166" spans="2:11" x14ac:dyDescent="0.3">
      <c r="B166" s="21">
        <f>IF(LoanIsGood,IF(ROW()-ROW(PaymentSchedule34[[#Headers],[PMT NO]])&gt;ScheduledNumberOfPayments,"",ROW()-ROW(PaymentSchedule34[[#Headers],[PMT NO]])),"")</f>
        <v>155</v>
      </c>
      <c r="C166" s="20">
        <f>IF(PaymentSchedule34[[#This Row],[PMT NO]]&lt;&gt;"",EOMONTH(LoanStartDate,ROW(PaymentSchedule34[[#This Row],[PMT NO]])-ROW(PaymentSchedule34[[#Headers],[PMT NO]])-2)+DAY(LoanStartDate),"")</f>
        <v>48335</v>
      </c>
      <c r="D166" s="19">
        <f>IF(PaymentSchedule34[[#This Row],[PMT NO]]&lt;&gt;"",IF(ROW()-ROW(PaymentSchedule34[[#Headers],[BEGINNING BALANCE]])=1,LoanAmount,INDEX(PaymentSchedule34[ENDING BALANCE],ROW()-ROW(PaymentSchedule34[[#Headers],[BEGINNING BALANCE]])-1)),"")</f>
        <v>1675306.6716076392</v>
      </c>
      <c r="E166" s="19">
        <f>IF(PaymentSchedule34[[#This Row],[PMT NO]]&lt;&gt;"",ScheduledPayment,"")</f>
        <v>8672.4039978858091</v>
      </c>
      <c r="F16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6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66" s="19">
        <f>IF(PaymentSchedule34[[#This Row],[PMT NO]]&lt;&gt;"",PaymentSchedule34[[#This Row],[TOTAL PAYMENT]]-PaymentSchedule34[[#This Row],[INTEREST]],"")</f>
        <v>2739.026202608753</v>
      </c>
      <c r="I166" s="19">
        <f>IF(PaymentSchedule34[[#This Row],[PMT NO]]&lt;&gt;"",PaymentSchedule34[[#This Row],[BEGINNING BALANCE]]*(InterestRate/PaymentsPerYear),"")</f>
        <v>5933.3777952770561</v>
      </c>
      <c r="J16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1672567.6454050303</v>
      </c>
      <c r="K166" s="19">
        <f>IF(PaymentSchedule34[[#This Row],[PMT NO]]&lt;&gt;"",SUM(INDEX(PaymentSchedule34[INTEREST],1,1):PaymentSchedule34[[#This Row],[INTEREST]]),"")</f>
        <v>1016790.2650773302</v>
      </c>
    </row>
    <row r="167" spans="2:11" x14ac:dyDescent="0.3">
      <c r="B167" s="21">
        <f>IF(LoanIsGood,IF(ROW()-ROW(PaymentSchedule34[[#Headers],[PMT NO]])&gt;ScheduledNumberOfPayments,"",ROW()-ROW(PaymentSchedule34[[#Headers],[PMT NO]])),"")</f>
        <v>156</v>
      </c>
      <c r="C167" s="20">
        <f>IF(PaymentSchedule34[[#This Row],[PMT NO]]&lt;&gt;"",EOMONTH(LoanStartDate,ROW(PaymentSchedule34[[#This Row],[PMT NO]])-ROW(PaymentSchedule34[[#Headers],[PMT NO]])-2)+DAY(LoanStartDate),"")</f>
        <v>48366</v>
      </c>
      <c r="D167" s="19">
        <f>IF(PaymentSchedule34[[#This Row],[PMT NO]]&lt;&gt;"",IF(ROW()-ROW(PaymentSchedule34[[#Headers],[BEGINNING BALANCE]])=1,LoanAmount,INDEX(PaymentSchedule34[ENDING BALANCE],ROW()-ROW(PaymentSchedule34[[#Headers],[BEGINNING BALANCE]])-1)),"")</f>
        <v>1672567.6454050303</v>
      </c>
      <c r="E167" s="19">
        <f>IF(PaymentSchedule34[[#This Row],[PMT NO]]&lt;&gt;"",ScheduledPayment,"")</f>
        <v>8672.4039978858091</v>
      </c>
      <c r="F16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6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67" s="19">
        <f>IF(PaymentSchedule34[[#This Row],[PMT NO]]&lt;&gt;"",PaymentSchedule34[[#This Row],[TOTAL PAYMENT]]-PaymentSchedule34[[#This Row],[INTEREST]],"")</f>
        <v>2748.7269204096592</v>
      </c>
      <c r="I167" s="19">
        <f>IF(PaymentSchedule34[[#This Row],[PMT NO]]&lt;&gt;"",PaymentSchedule34[[#This Row],[BEGINNING BALANCE]]*(InterestRate/PaymentsPerYear),"")</f>
        <v>5923.6770774761499</v>
      </c>
      <c r="J16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1669818.9184846207</v>
      </c>
      <c r="K167" s="19">
        <f>IF(PaymentSchedule34[[#This Row],[PMT NO]]&lt;&gt;"",SUM(INDEX(PaymentSchedule34[INTEREST],1,1):PaymentSchedule34[[#This Row],[INTEREST]]),"")</f>
        <v>1022713.9421548063</v>
      </c>
    </row>
    <row r="168" spans="2:11" x14ac:dyDescent="0.3">
      <c r="B168" s="21">
        <f>IF(LoanIsGood,IF(ROW()-ROW(PaymentSchedule34[[#Headers],[PMT NO]])&gt;ScheduledNumberOfPayments,"",ROW()-ROW(PaymentSchedule34[[#Headers],[PMT NO]])),"")</f>
        <v>157</v>
      </c>
      <c r="C168" s="20">
        <f>IF(PaymentSchedule34[[#This Row],[PMT NO]]&lt;&gt;"",EOMONTH(LoanStartDate,ROW(PaymentSchedule34[[#This Row],[PMT NO]])-ROW(PaymentSchedule34[[#Headers],[PMT NO]])-2)+DAY(LoanStartDate),"")</f>
        <v>48396</v>
      </c>
      <c r="D168" s="19">
        <f>IF(PaymentSchedule34[[#This Row],[PMT NO]]&lt;&gt;"",IF(ROW()-ROW(PaymentSchedule34[[#Headers],[BEGINNING BALANCE]])=1,LoanAmount,INDEX(PaymentSchedule34[ENDING BALANCE],ROW()-ROW(PaymentSchedule34[[#Headers],[BEGINNING BALANCE]])-1)),"")</f>
        <v>1669818.9184846207</v>
      </c>
      <c r="E168" s="19">
        <f>IF(PaymentSchedule34[[#This Row],[PMT NO]]&lt;&gt;"",ScheduledPayment,"")</f>
        <v>8672.4039978858091</v>
      </c>
      <c r="F16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6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68" s="19">
        <f>IF(PaymentSchedule34[[#This Row],[PMT NO]]&lt;&gt;"",PaymentSchedule34[[#This Row],[TOTAL PAYMENT]]-PaymentSchedule34[[#This Row],[INTEREST]],"")</f>
        <v>2758.4619949194439</v>
      </c>
      <c r="I168" s="19">
        <f>IF(PaymentSchedule34[[#This Row],[PMT NO]]&lt;&gt;"",PaymentSchedule34[[#This Row],[BEGINNING BALANCE]]*(InterestRate/PaymentsPerYear),"")</f>
        <v>5913.9420029663652</v>
      </c>
      <c r="J16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1667060.4564897013</v>
      </c>
      <c r="K168" s="19">
        <f>IF(PaymentSchedule34[[#This Row],[PMT NO]]&lt;&gt;"",SUM(INDEX(PaymentSchedule34[INTEREST],1,1):PaymentSchedule34[[#This Row],[INTEREST]]),"")</f>
        <v>1028627.8841577728</v>
      </c>
    </row>
    <row r="169" spans="2:11" x14ac:dyDescent="0.3">
      <c r="B169" s="21">
        <f>IF(LoanIsGood,IF(ROW()-ROW(PaymentSchedule34[[#Headers],[PMT NO]])&gt;ScheduledNumberOfPayments,"",ROW()-ROW(PaymentSchedule34[[#Headers],[PMT NO]])),"")</f>
        <v>158</v>
      </c>
      <c r="C169" s="20">
        <f>IF(PaymentSchedule34[[#This Row],[PMT NO]]&lt;&gt;"",EOMONTH(LoanStartDate,ROW(PaymentSchedule34[[#This Row],[PMT NO]])-ROW(PaymentSchedule34[[#Headers],[PMT NO]])-2)+DAY(LoanStartDate),"")</f>
        <v>48427</v>
      </c>
      <c r="D169" s="19">
        <f>IF(PaymentSchedule34[[#This Row],[PMT NO]]&lt;&gt;"",IF(ROW()-ROW(PaymentSchedule34[[#Headers],[BEGINNING BALANCE]])=1,LoanAmount,INDEX(PaymentSchedule34[ENDING BALANCE],ROW()-ROW(PaymentSchedule34[[#Headers],[BEGINNING BALANCE]])-1)),"")</f>
        <v>1667060.4564897013</v>
      </c>
      <c r="E169" s="19">
        <f>IF(PaymentSchedule34[[#This Row],[PMT NO]]&lt;&gt;"",ScheduledPayment,"")</f>
        <v>8672.4039978858091</v>
      </c>
      <c r="F16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6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69" s="19">
        <f>IF(PaymentSchedule34[[#This Row],[PMT NO]]&lt;&gt;"",PaymentSchedule34[[#This Row],[TOTAL PAYMENT]]-PaymentSchedule34[[#This Row],[INTEREST]],"")</f>
        <v>2768.2315478181163</v>
      </c>
      <c r="I169" s="19">
        <f>IF(PaymentSchedule34[[#This Row],[PMT NO]]&lt;&gt;"",PaymentSchedule34[[#This Row],[BEGINNING BALANCE]]*(InterestRate/PaymentsPerYear),"")</f>
        <v>5904.1724500676928</v>
      </c>
      <c r="J16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1664292.2249418832</v>
      </c>
      <c r="K169" s="19">
        <f>IF(PaymentSchedule34[[#This Row],[PMT NO]]&lt;&gt;"",SUM(INDEX(PaymentSchedule34[INTEREST],1,1):PaymentSchedule34[[#This Row],[INTEREST]]),"")</f>
        <v>1034532.0566078405</v>
      </c>
    </row>
    <row r="170" spans="2:11" x14ac:dyDescent="0.3">
      <c r="B170" s="21">
        <f>IF(LoanIsGood,IF(ROW()-ROW(PaymentSchedule34[[#Headers],[PMT NO]])&gt;ScheduledNumberOfPayments,"",ROW()-ROW(PaymentSchedule34[[#Headers],[PMT NO]])),"")</f>
        <v>159</v>
      </c>
      <c r="C170" s="20">
        <f>IF(PaymentSchedule34[[#This Row],[PMT NO]]&lt;&gt;"",EOMONTH(LoanStartDate,ROW(PaymentSchedule34[[#This Row],[PMT NO]])-ROW(PaymentSchedule34[[#Headers],[PMT NO]])-2)+DAY(LoanStartDate),"")</f>
        <v>48458</v>
      </c>
      <c r="D170" s="19">
        <f>IF(PaymentSchedule34[[#This Row],[PMT NO]]&lt;&gt;"",IF(ROW()-ROW(PaymentSchedule34[[#Headers],[BEGINNING BALANCE]])=1,LoanAmount,INDEX(PaymentSchedule34[ENDING BALANCE],ROW()-ROW(PaymentSchedule34[[#Headers],[BEGINNING BALANCE]])-1)),"")</f>
        <v>1664292.2249418832</v>
      </c>
      <c r="E170" s="19">
        <f>IF(PaymentSchedule34[[#This Row],[PMT NO]]&lt;&gt;"",ScheduledPayment,"")</f>
        <v>8672.4039978858091</v>
      </c>
      <c r="F17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7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70" s="19">
        <f>IF(PaymentSchedule34[[#This Row],[PMT NO]]&lt;&gt;"",PaymentSchedule34[[#This Row],[TOTAL PAYMENT]]-PaymentSchedule34[[#This Row],[INTEREST]],"")</f>
        <v>2778.0357012166387</v>
      </c>
      <c r="I170" s="19">
        <f>IF(PaymentSchedule34[[#This Row],[PMT NO]]&lt;&gt;"",PaymentSchedule34[[#This Row],[BEGINNING BALANCE]]*(InterestRate/PaymentsPerYear),"")</f>
        <v>5894.3682966691704</v>
      </c>
      <c r="J17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1661514.1892406666</v>
      </c>
      <c r="K170" s="19">
        <f>IF(PaymentSchedule34[[#This Row],[PMT NO]]&lt;&gt;"",SUM(INDEX(PaymentSchedule34[INTEREST],1,1):PaymentSchedule34[[#This Row],[INTEREST]]),"")</f>
        <v>1040426.4249045097</v>
      </c>
    </row>
    <row r="171" spans="2:11" x14ac:dyDescent="0.3">
      <c r="B171" s="21">
        <f>IF(LoanIsGood,IF(ROW()-ROW(PaymentSchedule34[[#Headers],[PMT NO]])&gt;ScheduledNumberOfPayments,"",ROW()-ROW(PaymentSchedule34[[#Headers],[PMT NO]])),"")</f>
        <v>160</v>
      </c>
      <c r="C171" s="20">
        <f>IF(PaymentSchedule34[[#This Row],[PMT NO]]&lt;&gt;"",EOMONTH(LoanStartDate,ROW(PaymentSchedule34[[#This Row],[PMT NO]])-ROW(PaymentSchedule34[[#Headers],[PMT NO]])-2)+DAY(LoanStartDate),"")</f>
        <v>48488</v>
      </c>
      <c r="D171" s="19">
        <f>IF(PaymentSchedule34[[#This Row],[PMT NO]]&lt;&gt;"",IF(ROW()-ROW(PaymentSchedule34[[#Headers],[BEGINNING BALANCE]])=1,LoanAmount,INDEX(PaymentSchedule34[ENDING BALANCE],ROW()-ROW(PaymentSchedule34[[#Headers],[BEGINNING BALANCE]])-1)),"")</f>
        <v>1661514.1892406666</v>
      </c>
      <c r="E171" s="19">
        <f>IF(PaymentSchedule34[[#This Row],[PMT NO]]&lt;&gt;"",ScheduledPayment,"")</f>
        <v>8672.4039978858091</v>
      </c>
      <c r="F17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7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71" s="19">
        <f>IF(PaymentSchedule34[[#This Row],[PMT NO]]&lt;&gt;"",PaymentSchedule34[[#This Row],[TOTAL PAYMENT]]-PaymentSchedule34[[#This Row],[INTEREST]],"")</f>
        <v>2787.8745776584483</v>
      </c>
      <c r="I171" s="19">
        <f>IF(PaymentSchedule34[[#This Row],[PMT NO]]&lt;&gt;"",PaymentSchedule34[[#This Row],[BEGINNING BALANCE]]*(InterestRate/PaymentsPerYear),"")</f>
        <v>5884.5294202273608</v>
      </c>
      <c r="J17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1658726.3146630081</v>
      </c>
      <c r="K171" s="19">
        <f>IF(PaymentSchedule34[[#This Row],[PMT NO]]&lt;&gt;"",SUM(INDEX(PaymentSchedule34[INTEREST],1,1):PaymentSchedule34[[#This Row],[INTEREST]]),"")</f>
        <v>1046310.9543247371</v>
      </c>
    </row>
    <row r="172" spans="2:11" x14ac:dyDescent="0.3">
      <c r="B172" s="21">
        <f>IF(LoanIsGood,IF(ROW()-ROW(PaymentSchedule34[[#Headers],[PMT NO]])&gt;ScheduledNumberOfPayments,"",ROW()-ROW(PaymentSchedule34[[#Headers],[PMT NO]])),"")</f>
        <v>161</v>
      </c>
      <c r="C172" s="20">
        <f>IF(PaymentSchedule34[[#This Row],[PMT NO]]&lt;&gt;"",EOMONTH(LoanStartDate,ROW(PaymentSchedule34[[#This Row],[PMT NO]])-ROW(PaymentSchedule34[[#Headers],[PMT NO]])-2)+DAY(LoanStartDate),"")</f>
        <v>48519</v>
      </c>
      <c r="D172" s="19">
        <f>IF(PaymentSchedule34[[#This Row],[PMT NO]]&lt;&gt;"",IF(ROW()-ROW(PaymentSchedule34[[#Headers],[BEGINNING BALANCE]])=1,LoanAmount,INDEX(PaymentSchedule34[ENDING BALANCE],ROW()-ROW(PaymentSchedule34[[#Headers],[BEGINNING BALANCE]])-1)),"")</f>
        <v>1658726.3146630081</v>
      </c>
      <c r="E172" s="19">
        <f>IF(PaymentSchedule34[[#This Row],[PMT NO]]&lt;&gt;"",ScheduledPayment,"")</f>
        <v>8672.4039978858091</v>
      </c>
      <c r="F17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7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72" s="19">
        <f>IF(PaymentSchedule34[[#This Row],[PMT NO]]&lt;&gt;"",PaymentSchedule34[[#This Row],[TOTAL PAYMENT]]-PaymentSchedule34[[#This Row],[INTEREST]],"")</f>
        <v>2797.7483001209885</v>
      </c>
      <c r="I172" s="19">
        <f>IF(PaymentSchedule34[[#This Row],[PMT NO]]&lt;&gt;"",PaymentSchedule34[[#This Row],[BEGINNING BALANCE]]*(InterestRate/PaymentsPerYear),"")</f>
        <v>5874.6556977648206</v>
      </c>
      <c r="J17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1655928.5663628872</v>
      </c>
      <c r="K172" s="19">
        <f>IF(PaymentSchedule34[[#This Row],[PMT NO]]&lt;&gt;"",SUM(INDEX(PaymentSchedule34[INTEREST],1,1):PaymentSchedule34[[#This Row],[INTEREST]]),"")</f>
        <v>1052185.6100225018</v>
      </c>
    </row>
    <row r="173" spans="2:11" x14ac:dyDescent="0.3">
      <c r="B173" s="21">
        <f>IF(LoanIsGood,IF(ROW()-ROW(PaymentSchedule34[[#Headers],[PMT NO]])&gt;ScheduledNumberOfPayments,"",ROW()-ROW(PaymentSchedule34[[#Headers],[PMT NO]])),"")</f>
        <v>162</v>
      </c>
      <c r="C173" s="20">
        <f>IF(PaymentSchedule34[[#This Row],[PMT NO]]&lt;&gt;"",EOMONTH(LoanStartDate,ROW(PaymentSchedule34[[#This Row],[PMT NO]])-ROW(PaymentSchedule34[[#Headers],[PMT NO]])-2)+DAY(LoanStartDate),"")</f>
        <v>48549</v>
      </c>
      <c r="D173" s="19">
        <f>IF(PaymentSchedule34[[#This Row],[PMT NO]]&lt;&gt;"",IF(ROW()-ROW(PaymentSchedule34[[#Headers],[BEGINNING BALANCE]])=1,LoanAmount,INDEX(PaymentSchedule34[ENDING BALANCE],ROW()-ROW(PaymentSchedule34[[#Headers],[BEGINNING BALANCE]])-1)),"")</f>
        <v>1655928.5663628872</v>
      </c>
      <c r="E173" s="19">
        <f>IF(PaymentSchedule34[[#This Row],[PMT NO]]&lt;&gt;"",ScheduledPayment,"")</f>
        <v>8672.4039978858091</v>
      </c>
      <c r="F17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7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73" s="19">
        <f>IF(PaymentSchedule34[[#This Row],[PMT NO]]&lt;&gt;"",PaymentSchedule34[[#This Row],[TOTAL PAYMENT]]-PaymentSchedule34[[#This Row],[INTEREST]],"")</f>
        <v>2807.6569920172496</v>
      </c>
      <c r="I173" s="19">
        <f>IF(PaymentSchedule34[[#This Row],[PMT NO]]&lt;&gt;"",PaymentSchedule34[[#This Row],[BEGINNING BALANCE]]*(InterestRate/PaymentsPerYear),"")</f>
        <v>5864.7470058685594</v>
      </c>
      <c r="J17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1653120.9093708699</v>
      </c>
      <c r="K173" s="19">
        <f>IF(PaymentSchedule34[[#This Row],[PMT NO]]&lt;&gt;"",SUM(INDEX(PaymentSchedule34[INTEREST],1,1):PaymentSchedule34[[#This Row],[INTEREST]]),"")</f>
        <v>1058050.3570283703</v>
      </c>
    </row>
    <row r="174" spans="2:11" x14ac:dyDescent="0.3">
      <c r="B174" s="21">
        <f>IF(LoanIsGood,IF(ROW()-ROW(PaymentSchedule34[[#Headers],[PMT NO]])&gt;ScheduledNumberOfPayments,"",ROW()-ROW(PaymentSchedule34[[#Headers],[PMT NO]])),"")</f>
        <v>163</v>
      </c>
      <c r="C174" s="20">
        <f>IF(PaymentSchedule34[[#This Row],[PMT NO]]&lt;&gt;"",EOMONTH(LoanStartDate,ROW(PaymentSchedule34[[#This Row],[PMT NO]])-ROW(PaymentSchedule34[[#Headers],[PMT NO]])-2)+DAY(LoanStartDate),"")</f>
        <v>48580</v>
      </c>
      <c r="D174" s="19">
        <f>IF(PaymentSchedule34[[#This Row],[PMT NO]]&lt;&gt;"",IF(ROW()-ROW(PaymentSchedule34[[#Headers],[BEGINNING BALANCE]])=1,LoanAmount,INDEX(PaymentSchedule34[ENDING BALANCE],ROW()-ROW(PaymentSchedule34[[#Headers],[BEGINNING BALANCE]])-1)),"")</f>
        <v>1653120.9093708699</v>
      </c>
      <c r="E174" s="19">
        <f>IF(PaymentSchedule34[[#This Row],[PMT NO]]&lt;&gt;"",ScheduledPayment,"")</f>
        <v>8672.4039978858091</v>
      </c>
      <c r="F17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7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74" s="19">
        <f>IF(PaymentSchedule34[[#This Row],[PMT NO]]&lt;&gt;"",PaymentSchedule34[[#This Row],[TOTAL PAYMENT]]-PaymentSchedule34[[#This Row],[INTEREST]],"")</f>
        <v>2817.6007771973109</v>
      </c>
      <c r="I174" s="19">
        <f>IF(PaymentSchedule34[[#This Row],[PMT NO]]&lt;&gt;"",PaymentSchedule34[[#This Row],[BEGINNING BALANCE]]*(InterestRate/PaymentsPerYear),"")</f>
        <v>5854.8032206884982</v>
      </c>
      <c r="J17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1650303.3085936725</v>
      </c>
      <c r="K174" s="19">
        <f>IF(PaymentSchedule34[[#This Row],[PMT NO]]&lt;&gt;"",SUM(INDEX(PaymentSchedule34[INTEREST],1,1):PaymentSchedule34[[#This Row],[INTEREST]]),"")</f>
        <v>1063905.1602490589</v>
      </c>
    </row>
    <row r="175" spans="2:11" x14ac:dyDescent="0.3">
      <c r="B175" s="21">
        <f>IF(LoanIsGood,IF(ROW()-ROW(PaymentSchedule34[[#Headers],[PMT NO]])&gt;ScheduledNumberOfPayments,"",ROW()-ROW(PaymentSchedule34[[#Headers],[PMT NO]])),"")</f>
        <v>164</v>
      </c>
      <c r="C175" s="20">
        <f>IF(PaymentSchedule34[[#This Row],[PMT NO]]&lt;&gt;"",EOMONTH(LoanStartDate,ROW(PaymentSchedule34[[#This Row],[PMT NO]])-ROW(PaymentSchedule34[[#Headers],[PMT NO]])-2)+DAY(LoanStartDate),"")</f>
        <v>48611</v>
      </c>
      <c r="D175" s="19">
        <f>IF(PaymentSchedule34[[#This Row],[PMT NO]]&lt;&gt;"",IF(ROW()-ROW(PaymentSchedule34[[#Headers],[BEGINNING BALANCE]])=1,LoanAmount,INDEX(PaymentSchedule34[ENDING BALANCE],ROW()-ROW(PaymentSchedule34[[#Headers],[BEGINNING BALANCE]])-1)),"")</f>
        <v>1650303.3085936725</v>
      </c>
      <c r="E175" s="19">
        <f>IF(PaymentSchedule34[[#This Row],[PMT NO]]&lt;&gt;"",ScheduledPayment,"")</f>
        <v>8672.4039978858091</v>
      </c>
      <c r="F17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7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75" s="19">
        <f>IF(PaymentSchedule34[[#This Row],[PMT NO]]&lt;&gt;"",PaymentSchedule34[[#This Row],[TOTAL PAYMENT]]-PaymentSchedule34[[#This Row],[INTEREST]],"")</f>
        <v>2827.5797799498851</v>
      </c>
      <c r="I175" s="19">
        <f>IF(PaymentSchedule34[[#This Row],[PMT NO]]&lt;&gt;"",PaymentSchedule34[[#This Row],[BEGINNING BALANCE]]*(InterestRate/PaymentsPerYear),"")</f>
        <v>5844.824217935924</v>
      </c>
      <c r="J17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1647475.7288137225</v>
      </c>
      <c r="K175" s="19">
        <f>IF(PaymentSchedule34[[#This Row],[PMT NO]]&lt;&gt;"",SUM(INDEX(PaymentSchedule34[INTEREST],1,1):PaymentSchedule34[[#This Row],[INTEREST]]),"")</f>
        <v>1069749.9844669949</v>
      </c>
    </row>
    <row r="176" spans="2:11" x14ac:dyDescent="0.3">
      <c r="B176" s="21">
        <f>IF(LoanIsGood,IF(ROW()-ROW(PaymentSchedule34[[#Headers],[PMT NO]])&gt;ScheduledNumberOfPayments,"",ROW()-ROW(PaymentSchedule34[[#Headers],[PMT NO]])),"")</f>
        <v>165</v>
      </c>
      <c r="C176" s="20">
        <f>IF(PaymentSchedule34[[#This Row],[PMT NO]]&lt;&gt;"",EOMONTH(LoanStartDate,ROW(PaymentSchedule34[[#This Row],[PMT NO]])-ROW(PaymentSchedule34[[#Headers],[PMT NO]])-2)+DAY(LoanStartDate),"")</f>
        <v>48639</v>
      </c>
      <c r="D176" s="19">
        <f>IF(PaymentSchedule34[[#This Row],[PMT NO]]&lt;&gt;"",IF(ROW()-ROW(PaymentSchedule34[[#Headers],[BEGINNING BALANCE]])=1,LoanAmount,INDEX(PaymentSchedule34[ENDING BALANCE],ROW()-ROW(PaymentSchedule34[[#Headers],[BEGINNING BALANCE]])-1)),"")</f>
        <v>1647475.7288137225</v>
      </c>
      <c r="E176" s="19">
        <f>IF(PaymentSchedule34[[#This Row],[PMT NO]]&lt;&gt;"",ScheduledPayment,"")</f>
        <v>8672.4039978858091</v>
      </c>
      <c r="F17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7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76" s="19">
        <f>IF(PaymentSchedule34[[#This Row],[PMT NO]]&lt;&gt;"",PaymentSchedule34[[#This Row],[TOTAL PAYMENT]]-PaymentSchedule34[[#This Row],[INTEREST]],"")</f>
        <v>2837.594125003875</v>
      </c>
      <c r="I176" s="19">
        <f>IF(PaymentSchedule34[[#This Row],[PMT NO]]&lt;&gt;"",PaymentSchedule34[[#This Row],[BEGINNING BALANCE]]*(InterestRate/PaymentsPerYear),"")</f>
        <v>5834.8098728819341</v>
      </c>
      <c r="J17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1644638.1346887187</v>
      </c>
      <c r="K176" s="19">
        <f>IF(PaymentSchedule34[[#This Row],[PMT NO]]&lt;&gt;"",SUM(INDEX(PaymentSchedule34[INTEREST],1,1):PaymentSchedule34[[#This Row],[INTEREST]]),"")</f>
        <v>1075584.7943398769</v>
      </c>
    </row>
    <row r="177" spans="2:11" x14ac:dyDescent="0.3">
      <c r="B177" s="21">
        <f>IF(LoanIsGood,IF(ROW()-ROW(PaymentSchedule34[[#Headers],[PMT NO]])&gt;ScheduledNumberOfPayments,"",ROW()-ROW(PaymentSchedule34[[#Headers],[PMT NO]])),"")</f>
        <v>166</v>
      </c>
      <c r="C177" s="20">
        <f>IF(PaymentSchedule34[[#This Row],[PMT NO]]&lt;&gt;"",EOMONTH(LoanStartDate,ROW(PaymentSchedule34[[#This Row],[PMT NO]])-ROW(PaymentSchedule34[[#Headers],[PMT NO]])-2)+DAY(LoanStartDate),"")</f>
        <v>48670</v>
      </c>
      <c r="D177" s="19">
        <f>IF(PaymentSchedule34[[#This Row],[PMT NO]]&lt;&gt;"",IF(ROW()-ROW(PaymentSchedule34[[#Headers],[BEGINNING BALANCE]])=1,LoanAmount,INDEX(PaymentSchedule34[ENDING BALANCE],ROW()-ROW(PaymentSchedule34[[#Headers],[BEGINNING BALANCE]])-1)),"")</f>
        <v>1644638.1346887187</v>
      </c>
      <c r="E177" s="19">
        <f>IF(PaymentSchedule34[[#This Row],[PMT NO]]&lt;&gt;"",ScheduledPayment,"")</f>
        <v>8672.4039978858091</v>
      </c>
      <c r="F17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7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77" s="19">
        <f>IF(PaymentSchedule34[[#This Row],[PMT NO]]&lt;&gt;"",PaymentSchedule34[[#This Row],[TOTAL PAYMENT]]-PaymentSchedule34[[#This Row],[INTEREST]],"")</f>
        <v>2847.6439375299296</v>
      </c>
      <c r="I177" s="19">
        <f>IF(PaymentSchedule34[[#This Row],[PMT NO]]&lt;&gt;"",PaymentSchedule34[[#This Row],[BEGINNING BALANCE]]*(InterestRate/PaymentsPerYear),"")</f>
        <v>5824.7600603558794</v>
      </c>
      <c r="J17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1641790.4907511887</v>
      </c>
      <c r="K177" s="19">
        <f>IF(PaymentSchedule34[[#This Row],[PMT NO]]&lt;&gt;"",SUM(INDEX(PaymentSchedule34[INTEREST],1,1):PaymentSchedule34[[#This Row],[INTEREST]]),"")</f>
        <v>1081409.5544002326</v>
      </c>
    </row>
    <row r="178" spans="2:11" x14ac:dyDescent="0.3">
      <c r="B178" s="21">
        <f>IF(LoanIsGood,IF(ROW()-ROW(PaymentSchedule34[[#Headers],[PMT NO]])&gt;ScheduledNumberOfPayments,"",ROW()-ROW(PaymentSchedule34[[#Headers],[PMT NO]])),"")</f>
        <v>167</v>
      </c>
      <c r="C178" s="20">
        <f>IF(PaymentSchedule34[[#This Row],[PMT NO]]&lt;&gt;"",EOMONTH(LoanStartDate,ROW(PaymentSchedule34[[#This Row],[PMT NO]])-ROW(PaymentSchedule34[[#Headers],[PMT NO]])-2)+DAY(LoanStartDate),"")</f>
        <v>48700</v>
      </c>
      <c r="D178" s="19">
        <f>IF(PaymentSchedule34[[#This Row],[PMT NO]]&lt;&gt;"",IF(ROW()-ROW(PaymentSchedule34[[#Headers],[BEGINNING BALANCE]])=1,LoanAmount,INDEX(PaymentSchedule34[ENDING BALANCE],ROW()-ROW(PaymentSchedule34[[#Headers],[BEGINNING BALANCE]])-1)),"")</f>
        <v>1641790.4907511887</v>
      </c>
      <c r="E178" s="19">
        <f>IF(PaymentSchedule34[[#This Row],[PMT NO]]&lt;&gt;"",ScheduledPayment,"")</f>
        <v>8672.4039978858091</v>
      </c>
      <c r="F17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7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78" s="19">
        <f>IF(PaymentSchedule34[[#This Row],[PMT NO]]&lt;&gt;"",PaymentSchedule34[[#This Row],[TOTAL PAYMENT]]-PaymentSchedule34[[#This Row],[INTEREST]],"")</f>
        <v>2857.7293431420158</v>
      </c>
      <c r="I178" s="19">
        <f>IF(PaymentSchedule34[[#This Row],[PMT NO]]&lt;&gt;"",PaymentSchedule34[[#This Row],[BEGINNING BALANCE]]*(InterestRate/PaymentsPerYear),"")</f>
        <v>5814.6746547437933</v>
      </c>
      <c r="J17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1638932.7614080466</v>
      </c>
      <c r="K178" s="19">
        <f>IF(PaymentSchedule34[[#This Row],[PMT NO]]&lt;&gt;"",SUM(INDEX(PaymentSchedule34[INTEREST],1,1):PaymentSchedule34[[#This Row],[INTEREST]]),"")</f>
        <v>1087224.2290549765</v>
      </c>
    </row>
    <row r="179" spans="2:11" x14ac:dyDescent="0.3">
      <c r="B179" s="21">
        <f>IF(LoanIsGood,IF(ROW()-ROW(PaymentSchedule34[[#Headers],[PMT NO]])&gt;ScheduledNumberOfPayments,"",ROW()-ROW(PaymentSchedule34[[#Headers],[PMT NO]])),"")</f>
        <v>168</v>
      </c>
      <c r="C179" s="20">
        <f>IF(PaymentSchedule34[[#This Row],[PMT NO]]&lt;&gt;"",EOMONTH(LoanStartDate,ROW(PaymentSchedule34[[#This Row],[PMT NO]])-ROW(PaymentSchedule34[[#Headers],[PMT NO]])-2)+DAY(LoanStartDate),"")</f>
        <v>48731</v>
      </c>
      <c r="D179" s="19">
        <f>IF(PaymentSchedule34[[#This Row],[PMT NO]]&lt;&gt;"",IF(ROW()-ROW(PaymentSchedule34[[#Headers],[BEGINNING BALANCE]])=1,LoanAmount,INDEX(PaymentSchedule34[ENDING BALANCE],ROW()-ROW(PaymentSchedule34[[#Headers],[BEGINNING BALANCE]])-1)),"")</f>
        <v>1638932.7614080466</v>
      </c>
      <c r="E179" s="19">
        <f>IF(PaymentSchedule34[[#This Row],[PMT NO]]&lt;&gt;"",ScheduledPayment,"")</f>
        <v>8672.4039978858091</v>
      </c>
      <c r="F17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7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79" s="19">
        <f>IF(PaymentSchedule34[[#This Row],[PMT NO]]&lt;&gt;"",PaymentSchedule34[[#This Row],[TOTAL PAYMENT]]-PaymentSchedule34[[#This Row],[INTEREST]],"")</f>
        <v>2867.8504678989766</v>
      </c>
      <c r="I179" s="19">
        <f>IF(PaymentSchedule34[[#This Row],[PMT NO]]&lt;&gt;"",PaymentSchedule34[[#This Row],[BEGINNING BALANCE]]*(InterestRate/PaymentsPerYear),"")</f>
        <v>5804.5535299868325</v>
      </c>
      <c r="J17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1636064.9109401477</v>
      </c>
      <c r="K179" s="19">
        <f>IF(PaymentSchedule34[[#This Row],[PMT NO]]&lt;&gt;"",SUM(INDEX(PaymentSchedule34[INTEREST],1,1):PaymentSchedule34[[#This Row],[INTEREST]]),"")</f>
        <v>1093028.7825849634</v>
      </c>
    </row>
    <row r="180" spans="2:11" x14ac:dyDescent="0.3">
      <c r="B180" s="21">
        <f>IF(LoanIsGood,IF(ROW()-ROW(PaymentSchedule34[[#Headers],[PMT NO]])&gt;ScheduledNumberOfPayments,"",ROW()-ROW(PaymentSchedule34[[#Headers],[PMT NO]])),"")</f>
        <v>169</v>
      </c>
      <c r="C180" s="20">
        <f>IF(PaymentSchedule34[[#This Row],[PMT NO]]&lt;&gt;"",EOMONTH(LoanStartDate,ROW(PaymentSchedule34[[#This Row],[PMT NO]])-ROW(PaymentSchedule34[[#Headers],[PMT NO]])-2)+DAY(LoanStartDate),"")</f>
        <v>48761</v>
      </c>
      <c r="D180" s="19">
        <f>IF(PaymentSchedule34[[#This Row],[PMT NO]]&lt;&gt;"",IF(ROW()-ROW(PaymentSchedule34[[#Headers],[BEGINNING BALANCE]])=1,LoanAmount,INDEX(PaymentSchedule34[ENDING BALANCE],ROW()-ROW(PaymentSchedule34[[#Headers],[BEGINNING BALANCE]])-1)),"")</f>
        <v>1636064.9109401477</v>
      </c>
      <c r="E180" s="19">
        <f>IF(PaymentSchedule34[[#This Row],[PMT NO]]&lt;&gt;"",ScheduledPayment,"")</f>
        <v>8672.4039978858091</v>
      </c>
      <c r="F18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8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80" s="19">
        <f>IF(PaymentSchedule34[[#This Row],[PMT NO]]&lt;&gt;"",PaymentSchedule34[[#This Row],[TOTAL PAYMENT]]-PaymentSchedule34[[#This Row],[INTEREST]],"")</f>
        <v>2878.0074383061192</v>
      </c>
      <c r="I180" s="19">
        <f>IF(PaymentSchedule34[[#This Row],[PMT NO]]&lt;&gt;"",PaymentSchedule34[[#This Row],[BEGINNING BALANCE]]*(InterestRate/PaymentsPerYear),"")</f>
        <v>5794.3965595796899</v>
      </c>
      <c r="J18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1633186.9035018415</v>
      </c>
      <c r="K180" s="19">
        <f>IF(PaymentSchedule34[[#This Row],[PMT NO]]&lt;&gt;"",SUM(INDEX(PaymentSchedule34[INTEREST],1,1):PaymentSchedule34[[#This Row],[INTEREST]]),"")</f>
        <v>1098823.1791445431</v>
      </c>
    </row>
    <row r="181" spans="2:11" x14ac:dyDescent="0.3">
      <c r="B181" s="21">
        <f>IF(LoanIsGood,IF(ROW()-ROW(PaymentSchedule34[[#Headers],[PMT NO]])&gt;ScheduledNumberOfPayments,"",ROW()-ROW(PaymentSchedule34[[#Headers],[PMT NO]])),"")</f>
        <v>170</v>
      </c>
      <c r="C181" s="20">
        <f>IF(PaymentSchedule34[[#This Row],[PMT NO]]&lt;&gt;"",EOMONTH(LoanStartDate,ROW(PaymentSchedule34[[#This Row],[PMT NO]])-ROW(PaymentSchedule34[[#Headers],[PMT NO]])-2)+DAY(LoanStartDate),"")</f>
        <v>48792</v>
      </c>
      <c r="D181" s="19">
        <f>IF(PaymentSchedule34[[#This Row],[PMT NO]]&lt;&gt;"",IF(ROW()-ROW(PaymentSchedule34[[#Headers],[BEGINNING BALANCE]])=1,LoanAmount,INDEX(PaymentSchedule34[ENDING BALANCE],ROW()-ROW(PaymentSchedule34[[#Headers],[BEGINNING BALANCE]])-1)),"")</f>
        <v>1633186.9035018415</v>
      </c>
      <c r="E181" s="19">
        <f>IF(PaymentSchedule34[[#This Row],[PMT NO]]&lt;&gt;"",ScheduledPayment,"")</f>
        <v>8672.4039978858091</v>
      </c>
      <c r="F18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8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81" s="19">
        <f>IF(PaymentSchedule34[[#This Row],[PMT NO]]&lt;&gt;"",PaymentSchedule34[[#This Row],[TOTAL PAYMENT]]-PaymentSchedule34[[#This Row],[INTEREST]],"")</f>
        <v>2888.2003813167867</v>
      </c>
      <c r="I181" s="19">
        <f>IF(PaymentSchedule34[[#This Row],[PMT NO]]&lt;&gt;"",PaymentSchedule34[[#This Row],[BEGINNING BALANCE]]*(InterestRate/PaymentsPerYear),"")</f>
        <v>5784.2036165690224</v>
      </c>
      <c r="J18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1630298.7031205248</v>
      </c>
      <c r="K181" s="19">
        <f>IF(PaymentSchedule34[[#This Row],[PMT NO]]&lt;&gt;"",SUM(INDEX(PaymentSchedule34[INTEREST],1,1):PaymentSchedule34[[#This Row],[INTEREST]]),"")</f>
        <v>1104607.3827611122</v>
      </c>
    </row>
    <row r="182" spans="2:11" x14ac:dyDescent="0.3">
      <c r="B182" s="21">
        <f>IF(LoanIsGood,IF(ROW()-ROW(PaymentSchedule34[[#Headers],[PMT NO]])&gt;ScheduledNumberOfPayments,"",ROW()-ROW(PaymentSchedule34[[#Headers],[PMT NO]])),"")</f>
        <v>171</v>
      </c>
      <c r="C182" s="20">
        <f>IF(PaymentSchedule34[[#This Row],[PMT NO]]&lt;&gt;"",EOMONTH(LoanStartDate,ROW(PaymentSchedule34[[#This Row],[PMT NO]])-ROW(PaymentSchedule34[[#Headers],[PMT NO]])-2)+DAY(LoanStartDate),"")</f>
        <v>48823</v>
      </c>
      <c r="D182" s="19">
        <f>IF(PaymentSchedule34[[#This Row],[PMT NO]]&lt;&gt;"",IF(ROW()-ROW(PaymentSchedule34[[#Headers],[BEGINNING BALANCE]])=1,LoanAmount,INDEX(PaymentSchedule34[ENDING BALANCE],ROW()-ROW(PaymentSchedule34[[#Headers],[BEGINNING BALANCE]])-1)),"")</f>
        <v>1630298.7031205248</v>
      </c>
      <c r="E182" s="19">
        <f>IF(PaymentSchedule34[[#This Row],[PMT NO]]&lt;&gt;"",ScheduledPayment,"")</f>
        <v>8672.4039978858091</v>
      </c>
      <c r="F18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8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82" s="19">
        <f>IF(PaymentSchedule34[[#This Row],[PMT NO]]&lt;&gt;"",PaymentSchedule34[[#This Row],[TOTAL PAYMENT]]-PaymentSchedule34[[#This Row],[INTEREST]],"")</f>
        <v>2898.42942433395</v>
      </c>
      <c r="I182" s="19">
        <f>IF(PaymentSchedule34[[#This Row],[PMT NO]]&lt;&gt;"",PaymentSchedule34[[#This Row],[BEGINNING BALANCE]]*(InterestRate/PaymentsPerYear),"")</f>
        <v>5773.9745735518591</v>
      </c>
      <c r="J18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1627400.2736961909</v>
      </c>
      <c r="K182" s="19">
        <f>IF(PaymentSchedule34[[#This Row],[PMT NO]]&lt;&gt;"",SUM(INDEX(PaymentSchedule34[INTEREST],1,1):PaymentSchedule34[[#This Row],[INTEREST]]),"")</f>
        <v>1110381.3573346641</v>
      </c>
    </row>
    <row r="183" spans="2:11" x14ac:dyDescent="0.3">
      <c r="B183" s="21">
        <f>IF(LoanIsGood,IF(ROW()-ROW(PaymentSchedule34[[#Headers],[PMT NO]])&gt;ScheduledNumberOfPayments,"",ROW()-ROW(PaymentSchedule34[[#Headers],[PMT NO]])),"")</f>
        <v>172</v>
      </c>
      <c r="C183" s="20">
        <f>IF(PaymentSchedule34[[#This Row],[PMT NO]]&lt;&gt;"",EOMONTH(LoanStartDate,ROW(PaymentSchedule34[[#This Row],[PMT NO]])-ROW(PaymentSchedule34[[#Headers],[PMT NO]])-2)+DAY(LoanStartDate),"")</f>
        <v>48853</v>
      </c>
      <c r="D183" s="19">
        <f>IF(PaymentSchedule34[[#This Row],[PMT NO]]&lt;&gt;"",IF(ROW()-ROW(PaymentSchedule34[[#Headers],[BEGINNING BALANCE]])=1,LoanAmount,INDEX(PaymentSchedule34[ENDING BALANCE],ROW()-ROW(PaymentSchedule34[[#Headers],[BEGINNING BALANCE]])-1)),"")</f>
        <v>1627400.2736961909</v>
      </c>
      <c r="E183" s="19">
        <f>IF(PaymentSchedule34[[#This Row],[PMT NO]]&lt;&gt;"",ScheduledPayment,"")</f>
        <v>8672.4039978858091</v>
      </c>
      <c r="F18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8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83" s="19">
        <f>IF(PaymentSchedule34[[#This Row],[PMT NO]]&lt;&gt;"",PaymentSchedule34[[#This Row],[TOTAL PAYMENT]]-PaymentSchedule34[[#This Row],[INTEREST]],"")</f>
        <v>2908.6946952117996</v>
      </c>
      <c r="I183" s="19">
        <f>IF(PaymentSchedule34[[#This Row],[PMT NO]]&lt;&gt;"",PaymentSchedule34[[#This Row],[BEGINNING BALANCE]]*(InterestRate/PaymentsPerYear),"")</f>
        <v>5763.7093026740095</v>
      </c>
      <c r="J18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1624491.5790009792</v>
      </c>
      <c r="K183" s="19">
        <f>IF(PaymentSchedule34[[#This Row],[PMT NO]]&lt;&gt;"",SUM(INDEX(PaymentSchedule34[INTEREST],1,1):PaymentSchedule34[[#This Row],[INTEREST]]),"")</f>
        <v>1116145.0666373381</v>
      </c>
    </row>
    <row r="184" spans="2:11" x14ac:dyDescent="0.3">
      <c r="B184" s="21">
        <f>IF(LoanIsGood,IF(ROW()-ROW(PaymentSchedule34[[#Headers],[PMT NO]])&gt;ScheduledNumberOfPayments,"",ROW()-ROW(PaymentSchedule34[[#Headers],[PMT NO]])),"")</f>
        <v>173</v>
      </c>
      <c r="C184" s="20">
        <f>IF(PaymentSchedule34[[#This Row],[PMT NO]]&lt;&gt;"",EOMONTH(LoanStartDate,ROW(PaymentSchedule34[[#This Row],[PMT NO]])-ROW(PaymentSchedule34[[#Headers],[PMT NO]])-2)+DAY(LoanStartDate),"")</f>
        <v>48884</v>
      </c>
      <c r="D184" s="19">
        <f>IF(PaymentSchedule34[[#This Row],[PMT NO]]&lt;&gt;"",IF(ROW()-ROW(PaymentSchedule34[[#Headers],[BEGINNING BALANCE]])=1,LoanAmount,INDEX(PaymentSchedule34[ENDING BALANCE],ROW()-ROW(PaymentSchedule34[[#Headers],[BEGINNING BALANCE]])-1)),"")</f>
        <v>1624491.5790009792</v>
      </c>
      <c r="E184" s="19">
        <f>IF(PaymentSchedule34[[#This Row],[PMT NO]]&lt;&gt;"",ScheduledPayment,"")</f>
        <v>8672.4039978858091</v>
      </c>
      <c r="F18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8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84" s="19">
        <f>IF(PaymentSchedule34[[#This Row],[PMT NO]]&lt;&gt;"",PaymentSchedule34[[#This Row],[TOTAL PAYMENT]]-PaymentSchedule34[[#This Row],[INTEREST]],"")</f>
        <v>2918.9963222573406</v>
      </c>
      <c r="I184" s="19">
        <f>IF(PaymentSchedule34[[#This Row],[PMT NO]]&lt;&gt;"",PaymentSchedule34[[#This Row],[BEGINNING BALANCE]]*(InterestRate/PaymentsPerYear),"")</f>
        <v>5753.4076756284685</v>
      </c>
      <c r="J18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1621572.5826787218</v>
      </c>
      <c r="K184" s="19">
        <f>IF(PaymentSchedule34[[#This Row],[PMT NO]]&lt;&gt;"",SUM(INDEX(PaymentSchedule34[INTEREST],1,1):PaymentSchedule34[[#This Row],[INTEREST]]),"")</f>
        <v>1121898.4743129667</v>
      </c>
    </row>
    <row r="185" spans="2:11" x14ac:dyDescent="0.3">
      <c r="B185" s="21">
        <f>IF(LoanIsGood,IF(ROW()-ROW(PaymentSchedule34[[#Headers],[PMT NO]])&gt;ScheduledNumberOfPayments,"",ROW()-ROW(PaymentSchedule34[[#Headers],[PMT NO]])),"")</f>
        <v>174</v>
      </c>
      <c r="C185" s="20">
        <f>IF(PaymentSchedule34[[#This Row],[PMT NO]]&lt;&gt;"",EOMONTH(LoanStartDate,ROW(PaymentSchedule34[[#This Row],[PMT NO]])-ROW(PaymentSchedule34[[#Headers],[PMT NO]])-2)+DAY(LoanStartDate),"")</f>
        <v>48914</v>
      </c>
      <c r="D185" s="19">
        <f>IF(PaymentSchedule34[[#This Row],[PMT NO]]&lt;&gt;"",IF(ROW()-ROW(PaymentSchedule34[[#Headers],[BEGINNING BALANCE]])=1,LoanAmount,INDEX(PaymentSchedule34[ENDING BALANCE],ROW()-ROW(PaymentSchedule34[[#Headers],[BEGINNING BALANCE]])-1)),"")</f>
        <v>1621572.5826787218</v>
      </c>
      <c r="E185" s="19">
        <f>IF(PaymentSchedule34[[#This Row],[PMT NO]]&lt;&gt;"",ScheduledPayment,"")</f>
        <v>8672.4039978858091</v>
      </c>
      <c r="F18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8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85" s="19">
        <f>IF(PaymentSchedule34[[#This Row],[PMT NO]]&lt;&gt;"",PaymentSchedule34[[#This Row],[TOTAL PAYMENT]]-PaymentSchedule34[[#This Row],[INTEREST]],"")</f>
        <v>2929.3344342320024</v>
      </c>
      <c r="I185" s="19">
        <f>IF(PaymentSchedule34[[#This Row],[PMT NO]]&lt;&gt;"",PaymentSchedule34[[#This Row],[BEGINNING BALANCE]]*(InterestRate/PaymentsPerYear),"")</f>
        <v>5743.0695636538067</v>
      </c>
      <c r="J18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1618643.2482444898</v>
      </c>
      <c r="K185" s="19">
        <f>IF(PaymentSchedule34[[#This Row],[PMT NO]]&lt;&gt;"",SUM(INDEX(PaymentSchedule34[INTEREST],1,1):PaymentSchedule34[[#This Row],[INTEREST]]),"")</f>
        <v>1127641.5438766205</v>
      </c>
    </row>
    <row r="186" spans="2:11" x14ac:dyDescent="0.3">
      <c r="B186" s="21">
        <f>IF(LoanIsGood,IF(ROW()-ROW(PaymentSchedule34[[#Headers],[PMT NO]])&gt;ScheduledNumberOfPayments,"",ROW()-ROW(PaymentSchedule34[[#Headers],[PMT NO]])),"")</f>
        <v>175</v>
      </c>
      <c r="C186" s="20">
        <f>IF(PaymentSchedule34[[#This Row],[PMT NO]]&lt;&gt;"",EOMONTH(LoanStartDate,ROW(PaymentSchedule34[[#This Row],[PMT NO]])-ROW(PaymentSchedule34[[#Headers],[PMT NO]])-2)+DAY(LoanStartDate),"")</f>
        <v>48945</v>
      </c>
      <c r="D186" s="19">
        <f>IF(PaymentSchedule34[[#This Row],[PMT NO]]&lt;&gt;"",IF(ROW()-ROW(PaymentSchedule34[[#Headers],[BEGINNING BALANCE]])=1,LoanAmount,INDEX(PaymentSchedule34[ENDING BALANCE],ROW()-ROW(PaymentSchedule34[[#Headers],[BEGINNING BALANCE]])-1)),"")</f>
        <v>1618643.2482444898</v>
      </c>
      <c r="E186" s="19">
        <f>IF(PaymentSchedule34[[#This Row],[PMT NO]]&lt;&gt;"",ScheduledPayment,"")</f>
        <v>8672.4039978858091</v>
      </c>
      <c r="F18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8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86" s="19">
        <f>IF(PaymentSchedule34[[#This Row],[PMT NO]]&lt;&gt;"",PaymentSchedule34[[#This Row],[TOTAL PAYMENT]]-PaymentSchedule34[[#This Row],[INTEREST]],"")</f>
        <v>2939.7091603532408</v>
      </c>
      <c r="I186" s="19">
        <f>IF(PaymentSchedule34[[#This Row],[PMT NO]]&lt;&gt;"",PaymentSchedule34[[#This Row],[BEGINNING BALANCE]]*(InterestRate/PaymentsPerYear),"")</f>
        <v>5732.6948375325683</v>
      </c>
      <c r="J18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1615703.5390841365</v>
      </c>
      <c r="K186" s="19">
        <f>IF(PaymentSchedule34[[#This Row],[PMT NO]]&lt;&gt;"",SUM(INDEX(PaymentSchedule34[INTEREST],1,1):PaymentSchedule34[[#This Row],[INTEREST]]),"")</f>
        <v>1133374.2387141529</v>
      </c>
    </row>
    <row r="187" spans="2:11" x14ac:dyDescent="0.3">
      <c r="B187" s="21">
        <f>IF(LoanIsGood,IF(ROW()-ROW(PaymentSchedule34[[#Headers],[PMT NO]])&gt;ScheduledNumberOfPayments,"",ROW()-ROW(PaymentSchedule34[[#Headers],[PMT NO]])),"")</f>
        <v>176</v>
      </c>
      <c r="C187" s="20">
        <f>IF(PaymentSchedule34[[#This Row],[PMT NO]]&lt;&gt;"",EOMONTH(LoanStartDate,ROW(PaymentSchedule34[[#This Row],[PMT NO]])-ROW(PaymentSchedule34[[#Headers],[PMT NO]])-2)+DAY(LoanStartDate),"")</f>
        <v>48976</v>
      </c>
      <c r="D187" s="19">
        <f>IF(PaymentSchedule34[[#This Row],[PMT NO]]&lt;&gt;"",IF(ROW()-ROW(PaymentSchedule34[[#Headers],[BEGINNING BALANCE]])=1,LoanAmount,INDEX(PaymentSchedule34[ENDING BALANCE],ROW()-ROW(PaymentSchedule34[[#Headers],[BEGINNING BALANCE]])-1)),"")</f>
        <v>1615703.5390841365</v>
      </c>
      <c r="E187" s="19">
        <f>IF(PaymentSchedule34[[#This Row],[PMT NO]]&lt;&gt;"",ScheduledPayment,"")</f>
        <v>8672.4039978858091</v>
      </c>
      <c r="F18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8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87" s="19">
        <f>IF(PaymentSchedule34[[#This Row],[PMT NO]]&lt;&gt;"",PaymentSchedule34[[#This Row],[TOTAL PAYMENT]]-PaymentSchedule34[[#This Row],[INTEREST]],"")</f>
        <v>2950.1206302961582</v>
      </c>
      <c r="I187" s="19">
        <f>IF(PaymentSchedule34[[#This Row],[PMT NO]]&lt;&gt;"",PaymentSchedule34[[#This Row],[BEGINNING BALANCE]]*(InterestRate/PaymentsPerYear),"")</f>
        <v>5722.2833675896509</v>
      </c>
      <c r="J18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1612753.4184538403</v>
      </c>
      <c r="K187" s="19">
        <f>IF(PaymentSchedule34[[#This Row],[PMT NO]]&lt;&gt;"",SUM(INDEX(PaymentSchedule34[INTEREST],1,1):PaymentSchedule34[[#This Row],[INTEREST]]),"")</f>
        <v>1139096.5220817425</v>
      </c>
    </row>
    <row r="188" spans="2:11" x14ac:dyDescent="0.3">
      <c r="B188" s="21">
        <f>IF(LoanIsGood,IF(ROW()-ROW(PaymentSchedule34[[#Headers],[PMT NO]])&gt;ScheduledNumberOfPayments,"",ROW()-ROW(PaymentSchedule34[[#Headers],[PMT NO]])),"")</f>
        <v>177</v>
      </c>
      <c r="C188" s="20">
        <f>IF(PaymentSchedule34[[#This Row],[PMT NO]]&lt;&gt;"",EOMONTH(LoanStartDate,ROW(PaymentSchedule34[[#This Row],[PMT NO]])-ROW(PaymentSchedule34[[#Headers],[PMT NO]])-2)+DAY(LoanStartDate),"")</f>
        <v>49004</v>
      </c>
      <c r="D188" s="19">
        <f>IF(PaymentSchedule34[[#This Row],[PMT NO]]&lt;&gt;"",IF(ROW()-ROW(PaymentSchedule34[[#Headers],[BEGINNING BALANCE]])=1,LoanAmount,INDEX(PaymentSchedule34[ENDING BALANCE],ROW()-ROW(PaymentSchedule34[[#Headers],[BEGINNING BALANCE]])-1)),"")</f>
        <v>1612753.4184538403</v>
      </c>
      <c r="E188" s="19">
        <f>IF(PaymentSchedule34[[#This Row],[PMT NO]]&lt;&gt;"",ScheduledPayment,"")</f>
        <v>8672.4039978858091</v>
      </c>
      <c r="F18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8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88" s="19">
        <f>IF(PaymentSchedule34[[#This Row],[PMT NO]]&lt;&gt;"",PaymentSchedule34[[#This Row],[TOTAL PAYMENT]]-PaymentSchedule34[[#This Row],[INTEREST]],"")</f>
        <v>2960.5689741951246</v>
      </c>
      <c r="I188" s="19">
        <f>IF(PaymentSchedule34[[#This Row],[PMT NO]]&lt;&gt;"",PaymentSchedule34[[#This Row],[BEGINNING BALANCE]]*(InterestRate/PaymentsPerYear),"")</f>
        <v>5711.8350236906845</v>
      </c>
      <c r="J18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1609792.8494796453</v>
      </c>
      <c r="K188" s="19">
        <f>IF(PaymentSchedule34[[#This Row],[PMT NO]]&lt;&gt;"",SUM(INDEX(PaymentSchedule34[INTEREST],1,1):PaymentSchedule34[[#This Row],[INTEREST]]),"")</f>
        <v>1144808.3571054332</v>
      </c>
    </row>
    <row r="189" spans="2:11" x14ac:dyDescent="0.3">
      <c r="B189" s="21">
        <f>IF(LoanIsGood,IF(ROW()-ROW(PaymentSchedule34[[#Headers],[PMT NO]])&gt;ScheduledNumberOfPayments,"",ROW()-ROW(PaymentSchedule34[[#Headers],[PMT NO]])),"")</f>
        <v>178</v>
      </c>
      <c r="C189" s="20">
        <f>IF(PaymentSchedule34[[#This Row],[PMT NO]]&lt;&gt;"",EOMONTH(LoanStartDate,ROW(PaymentSchedule34[[#This Row],[PMT NO]])-ROW(PaymentSchedule34[[#Headers],[PMT NO]])-2)+DAY(LoanStartDate),"")</f>
        <v>49035</v>
      </c>
      <c r="D189" s="19">
        <f>IF(PaymentSchedule34[[#This Row],[PMT NO]]&lt;&gt;"",IF(ROW()-ROW(PaymentSchedule34[[#Headers],[BEGINNING BALANCE]])=1,LoanAmount,INDEX(PaymentSchedule34[ENDING BALANCE],ROW()-ROW(PaymentSchedule34[[#Headers],[BEGINNING BALANCE]])-1)),"")</f>
        <v>1609792.8494796453</v>
      </c>
      <c r="E189" s="19">
        <f>IF(PaymentSchedule34[[#This Row],[PMT NO]]&lt;&gt;"",ScheduledPayment,"")</f>
        <v>8672.4039978858091</v>
      </c>
      <c r="F18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8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89" s="19">
        <f>IF(PaymentSchedule34[[#This Row],[PMT NO]]&lt;&gt;"",PaymentSchedule34[[#This Row],[TOTAL PAYMENT]]-PaymentSchedule34[[#This Row],[INTEREST]],"")</f>
        <v>2971.0543226453983</v>
      </c>
      <c r="I189" s="19">
        <f>IF(PaymentSchedule34[[#This Row],[PMT NO]]&lt;&gt;"",PaymentSchedule34[[#This Row],[BEGINNING BALANCE]]*(InterestRate/PaymentsPerYear),"")</f>
        <v>5701.3496752404108</v>
      </c>
      <c r="J18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1606821.795157</v>
      </c>
      <c r="K189" s="19">
        <f>IF(PaymentSchedule34[[#This Row],[PMT NO]]&lt;&gt;"",SUM(INDEX(PaymentSchedule34[INTEREST],1,1):PaymentSchedule34[[#This Row],[INTEREST]]),"")</f>
        <v>1150509.7067806737</v>
      </c>
    </row>
    <row r="190" spans="2:11" x14ac:dyDescent="0.3">
      <c r="B190" s="21">
        <f>IF(LoanIsGood,IF(ROW()-ROW(PaymentSchedule34[[#Headers],[PMT NO]])&gt;ScheduledNumberOfPayments,"",ROW()-ROW(PaymentSchedule34[[#Headers],[PMT NO]])),"")</f>
        <v>179</v>
      </c>
      <c r="C190" s="20">
        <f>IF(PaymentSchedule34[[#This Row],[PMT NO]]&lt;&gt;"",EOMONTH(LoanStartDate,ROW(PaymentSchedule34[[#This Row],[PMT NO]])-ROW(PaymentSchedule34[[#Headers],[PMT NO]])-2)+DAY(LoanStartDate),"")</f>
        <v>49065</v>
      </c>
      <c r="D190" s="19">
        <f>IF(PaymentSchedule34[[#This Row],[PMT NO]]&lt;&gt;"",IF(ROW()-ROW(PaymentSchedule34[[#Headers],[BEGINNING BALANCE]])=1,LoanAmount,INDEX(PaymentSchedule34[ENDING BALANCE],ROW()-ROW(PaymentSchedule34[[#Headers],[BEGINNING BALANCE]])-1)),"")</f>
        <v>1606821.795157</v>
      </c>
      <c r="E190" s="19">
        <f>IF(PaymentSchedule34[[#This Row],[PMT NO]]&lt;&gt;"",ScheduledPayment,"")</f>
        <v>8672.4039978858091</v>
      </c>
      <c r="F19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9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90" s="19">
        <f>IF(PaymentSchedule34[[#This Row],[PMT NO]]&lt;&gt;"",PaymentSchedule34[[#This Row],[TOTAL PAYMENT]]-PaymentSchedule34[[#This Row],[INTEREST]],"")</f>
        <v>2981.5768067047675</v>
      </c>
      <c r="I190" s="19">
        <f>IF(PaymentSchedule34[[#This Row],[PMT NO]]&lt;&gt;"",PaymentSchedule34[[#This Row],[BEGINNING BALANCE]]*(InterestRate/PaymentsPerYear),"")</f>
        <v>5690.8271911810416</v>
      </c>
      <c r="J19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1603840.2183502952</v>
      </c>
      <c r="K190" s="19">
        <f>IF(PaymentSchedule34[[#This Row],[PMT NO]]&lt;&gt;"",SUM(INDEX(PaymentSchedule34[INTEREST],1,1):PaymentSchedule34[[#This Row],[INTEREST]]),"")</f>
        <v>1156200.5339718547</v>
      </c>
    </row>
    <row r="191" spans="2:11" x14ac:dyDescent="0.3">
      <c r="B191" s="21">
        <f>IF(LoanIsGood,IF(ROW()-ROW(PaymentSchedule34[[#Headers],[PMT NO]])&gt;ScheduledNumberOfPayments,"",ROW()-ROW(PaymentSchedule34[[#Headers],[PMT NO]])),"")</f>
        <v>180</v>
      </c>
      <c r="C191" s="20">
        <f>IF(PaymentSchedule34[[#This Row],[PMT NO]]&lt;&gt;"",EOMONTH(LoanStartDate,ROW(PaymentSchedule34[[#This Row],[PMT NO]])-ROW(PaymentSchedule34[[#Headers],[PMT NO]])-2)+DAY(LoanStartDate),"")</f>
        <v>49096</v>
      </c>
      <c r="D191" s="19">
        <f>IF(PaymentSchedule34[[#This Row],[PMT NO]]&lt;&gt;"",IF(ROW()-ROW(PaymentSchedule34[[#Headers],[BEGINNING BALANCE]])=1,LoanAmount,INDEX(PaymentSchedule34[ENDING BALANCE],ROW()-ROW(PaymentSchedule34[[#Headers],[BEGINNING BALANCE]])-1)),"")</f>
        <v>1603840.2183502952</v>
      </c>
      <c r="E191" s="19">
        <f>IF(PaymentSchedule34[[#This Row],[PMT NO]]&lt;&gt;"",ScheduledPayment,"")</f>
        <v>8672.4039978858091</v>
      </c>
      <c r="F19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9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91" s="19">
        <f>IF(PaymentSchedule34[[#This Row],[PMT NO]]&lt;&gt;"",PaymentSchedule34[[#This Row],[TOTAL PAYMENT]]-PaymentSchedule34[[#This Row],[INTEREST]],"")</f>
        <v>2992.13655789518</v>
      </c>
      <c r="I191" s="19">
        <f>IF(PaymentSchedule34[[#This Row],[PMT NO]]&lt;&gt;"",PaymentSchedule34[[#This Row],[BEGINNING BALANCE]]*(InterestRate/PaymentsPerYear),"")</f>
        <v>5680.2674399906291</v>
      </c>
      <c r="J19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1600848.0817924</v>
      </c>
      <c r="K191" s="19">
        <f>IF(PaymentSchedule34[[#This Row],[PMT NO]]&lt;&gt;"",SUM(INDEX(PaymentSchedule34[INTEREST],1,1):PaymentSchedule34[[#This Row],[INTEREST]]),"")</f>
        <v>1161880.8014118453</v>
      </c>
    </row>
    <row r="192" spans="2:11" x14ac:dyDescent="0.3">
      <c r="B192" s="21">
        <f>IF(LoanIsGood,IF(ROW()-ROW(PaymentSchedule34[[#Headers],[PMT NO]])&gt;ScheduledNumberOfPayments,"",ROW()-ROW(PaymentSchedule34[[#Headers],[PMT NO]])),"")</f>
        <v>181</v>
      </c>
      <c r="C192" s="20">
        <f>IF(PaymentSchedule34[[#This Row],[PMT NO]]&lt;&gt;"",EOMONTH(LoanStartDate,ROW(PaymentSchedule34[[#This Row],[PMT NO]])-ROW(PaymentSchedule34[[#Headers],[PMT NO]])-2)+DAY(LoanStartDate),"")</f>
        <v>49126</v>
      </c>
      <c r="D192" s="19">
        <f>IF(PaymentSchedule34[[#This Row],[PMT NO]]&lt;&gt;"",IF(ROW()-ROW(PaymentSchedule34[[#Headers],[BEGINNING BALANCE]])=1,LoanAmount,INDEX(PaymentSchedule34[ENDING BALANCE],ROW()-ROW(PaymentSchedule34[[#Headers],[BEGINNING BALANCE]])-1)),"")</f>
        <v>1600848.0817924</v>
      </c>
      <c r="E192" s="19">
        <f>IF(PaymentSchedule34[[#This Row],[PMT NO]]&lt;&gt;"",ScheduledPayment,"")</f>
        <v>8672.4039978858091</v>
      </c>
      <c r="F19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9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92" s="19">
        <f>IF(PaymentSchedule34[[#This Row],[PMT NO]]&lt;&gt;"",PaymentSchedule34[[#This Row],[TOTAL PAYMENT]]-PaymentSchedule34[[#This Row],[INTEREST]],"")</f>
        <v>3002.7337082043923</v>
      </c>
      <c r="I192" s="19">
        <f>IF(PaymentSchedule34[[#This Row],[PMT NO]]&lt;&gt;"",PaymentSchedule34[[#This Row],[BEGINNING BALANCE]]*(InterestRate/PaymentsPerYear),"")</f>
        <v>5669.6702896814168</v>
      </c>
      <c r="J19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1597845.3480841955</v>
      </c>
      <c r="K192" s="19">
        <f>IF(PaymentSchedule34[[#This Row],[PMT NO]]&lt;&gt;"",SUM(INDEX(PaymentSchedule34[INTEREST],1,1):PaymentSchedule34[[#This Row],[INTEREST]]),"")</f>
        <v>1167550.4717015268</v>
      </c>
    </row>
    <row r="193" spans="2:11" x14ac:dyDescent="0.3">
      <c r="B193" s="21">
        <f>IF(LoanIsGood,IF(ROW()-ROW(PaymentSchedule34[[#Headers],[PMT NO]])&gt;ScheduledNumberOfPayments,"",ROW()-ROW(PaymentSchedule34[[#Headers],[PMT NO]])),"")</f>
        <v>182</v>
      </c>
      <c r="C193" s="20">
        <f>IF(PaymentSchedule34[[#This Row],[PMT NO]]&lt;&gt;"",EOMONTH(LoanStartDate,ROW(PaymentSchedule34[[#This Row],[PMT NO]])-ROW(PaymentSchedule34[[#Headers],[PMT NO]])-2)+DAY(LoanStartDate),"")</f>
        <v>49157</v>
      </c>
      <c r="D193" s="19">
        <f>IF(PaymentSchedule34[[#This Row],[PMT NO]]&lt;&gt;"",IF(ROW()-ROW(PaymentSchedule34[[#Headers],[BEGINNING BALANCE]])=1,LoanAmount,INDEX(PaymentSchedule34[ENDING BALANCE],ROW()-ROW(PaymentSchedule34[[#Headers],[BEGINNING BALANCE]])-1)),"")</f>
        <v>1597845.3480841955</v>
      </c>
      <c r="E193" s="19">
        <f>IF(PaymentSchedule34[[#This Row],[PMT NO]]&lt;&gt;"",ScheduledPayment,"")</f>
        <v>8672.4039978858091</v>
      </c>
      <c r="F19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9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93" s="19">
        <f>IF(PaymentSchedule34[[#This Row],[PMT NO]]&lt;&gt;"",PaymentSchedule34[[#This Row],[TOTAL PAYMENT]]-PaymentSchedule34[[#This Row],[INTEREST]],"")</f>
        <v>3013.3683900876158</v>
      </c>
      <c r="I193" s="19">
        <f>IF(PaymentSchedule34[[#This Row],[PMT NO]]&lt;&gt;"",PaymentSchedule34[[#This Row],[BEGINNING BALANCE]]*(InterestRate/PaymentsPerYear),"")</f>
        <v>5659.0356077981933</v>
      </c>
      <c r="J19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1594831.979694108</v>
      </c>
      <c r="K193" s="19">
        <f>IF(PaymentSchedule34[[#This Row],[PMT NO]]&lt;&gt;"",SUM(INDEX(PaymentSchedule34[INTEREST],1,1):PaymentSchedule34[[#This Row],[INTEREST]]),"")</f>
        <v>1173209.507309325</v>
      </c>
    </row>
    <row r="194" spans="2:11" x14ac:dyDescent="0.3">
      <c r="B194" s="21">
        <f>IF(LoanIsGood,IF(ROW()-ROW(PaymentSchedule34[[#Headers],[PMT NO]])&gt;ScheduledNumberOfPayments,"",ROW()-ROW(PaymentSchedule34[[#Headers],[PMT NO]])),"")</f>
        <v>183</v>
      </c>
      <c r="C194" s="20">
        <f>IF(PaymentSchedule34[[#This Row],[PMT NO]]&lt;&gt;"",EOMONTH(LoanStartDate,ROW(PaymentSchedule34[[#This Row],[PMT NO]])-ROW(PaymentSchedule34[[#Headers],[PMT NO]])-2)+DAY(LoanStartDate),"")</f>
        <v>49188</v>
      </c>
      <c r="D194" s="19">
        <f>IF(PaymentSchedule34[[#This Row],[PMT NO]]&lt;&gt;"",IF(ROW()-ROW(PaymentSchedule34[[#Headers],[BEGINNING BALANCE]])=1,LoanAmount,INDEX(PaymentSchedule34[ENDING BALANCE],ROW()-ROW(PaymentSchedule34[[#Headers],[BEGINNING BALANCE]])-1)),"")</f>
        <v>1594831.979694108</v>
      </c>
      <c r="E194" s="19">
        <f>IF(PaymentSchedule34[[#This Row],[PMT NO]]&lt;&gt;"",ScheduledPayment,"")</f>
        <v>8672.4039978858091</v>
      </c>
      <c r="F19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9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94" s="19">
        <f>IF(PaymentSchedule34[[#This Row],[PMT NO]]&lt;&gt;"",PaymentSchedule34[[#This Row],[TOTAL PAYMENT]]-PaymentSchedule34[[#This Row],[INTEREST]],"")</f>
        <v>3024.0407364691764</v>
      </c>
      <c r="I194" s="19">
        <f>IF(PaymentSchedule34[[#This Row],[PMT NO]]&lt;&gt;"",PaymentSchedule34[[#This Row],[BEGINNING BALANCE]]*(InterestRate/PaymentsPerYear),"")</f>
        <v>5648.3632614166327</v>
      </c>
      <c r="J19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1591807.9389576388</v>
      </c>
      <c r="K194" s="19">
        <f>IF(PaymentSchedule34[[#This Row],[PMT NO]]&lt;&gt;"",SUM(INDEX(PaymentSchedule34[INTEREST],1,1):PaymentSchedule34[[#This Row],[INTEREST]]),"")</f>
        <v>1178857.8705707416</v>
      </c>
    </row>
    <row r="195" spans="2:11" x14ac:dyDescent="0.3">
      <c r="B195" s="21">
        <f>IF(LoanIsGood,IF(ROW()-ROW(PaymentSchedule34[[#Headers],[PMT NO]])&gt;ScheduledNumberOfPayments,"",ROW()-ROW(PaymentSchedule34[[#Headers],[PMT NO]])),"")</f>
        <v>184</v>
      </c>
      <c r="C195" s="20">
        <f>IF(PaymentSchedule34[[#This Row],[PMT NO]]&lt;&gt;"",EOMONTH(LoanStartDate,ROW(PaymentSchedule34[[#This Row],[PMT NO]])-ROW(PaymentSchedule34[[#Headers],[PMT NO]])-2)+DAY(LoanStartDate),"")</f>
        <v>49218</v>
      </c>
      <c r="D195" s="19">
        <f>IF(PaymentSchedule34[[#This Row],[PMT NO]]&lt;&gt;"",IF(ROW()-ROW(PaymentSchedule34[[#Headers],[BEGINNING BALANCE]])=1,LoanAmount,INDEX(PaymentSchedule34[ENDING BALANCE],ROW()-ROW(PaymentSchedule34[[#Headers],[BEGINNING BALANCE]])-1)),"")</f>
        <v>1591807.9389576388</v>
      </c>
      <c r="E195" s="19">
        <f>IF(PaymentSchedule34[[#This Row],[PMT NO]]&lt;&gt;"",ScheduledPayment,"")</f>
        <v>8672.4039978858091</v>
      </c>
      <c r="F19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9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95" s="19">
        <f>IF(PaymentSchedule34[[#This Row],[PMT NO]]&lt;&gt;"",PaymentSchedule34[[#This Row],[TOTAL PAYMENT]]-PaymentSchedule34[[#This Row],[INTEREST]],"")</f>
        <v>3034.7508807441709</v>
      </c>
      <c r="I195" s="19">
        <f>IF(PaymentSchedule34[[#This Row],[PMT NO]]&lt;&gt;"",PaymentSchedule34[[#This Row],[BEGINNING BALANCE]]*(InterestRate/PaymentsPerYear),"")</f>
        <v>5637.6531171416382</v>
      </c>
      <c r="J19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1588773.1880768947</v>
      </c>
      <c r="K195" s="19">
        <f>IF(PaymentSchedule34[[#This Row],[PMT NO]]&lt;&gt;"",SUM(INDEX(PaymentSchedule34[INTEREST],1,1):PaymentSchedule34[[#This Row],[INTEREST]]),"")</f>
        <v>1184495.5236878833</v>
      </c>
    </row>
    <row r="196" spans="2:11" x14ac:dyDescent="0.3">
      <c r="B196" s="21">
        <f>IF(LoanIsGood,IF(ROW()-ROW(PaymentSchedule34[[#Headers],[PMT NO]])&gt;ScheduledNumberOfPayments,"",ROW()-ROW(PaymentSchedule34[[#Headers],[PMT NO]])),"")</f>
        <v>185</v>
      </c>
      <c r="C196" s="20">
        <f>IF(PaymentSchedule34[[#This Row],[PMT NO]]&lt;&gt;"",EOMONTH(LoanStartDate,ROW(PaymentSchedule34[[#This Row],[PMT NO]])-ROW(PaymentSchedule34[[#Headers],[PMT NO]])-2)+DAY(LoanStartDate),"")</f>
        <v>49249</v>
      </c>
      <c r="D196" s="19">
        <f>IF(PaymentSchedule34[[#This Row],[PMT NO]]&lt;&gt;"",IF(ROW()-ROW(PaymentSchedule34[[#Headers],[BEGINNING BALANCE]])=1,LoanAmount,INDEX(PaymentSchedule34[ENDING BALANCE],ROW()-ROW(PaymentSchedule34[[#Headers],[BEGINNING BALANCE]])-1)),"")</f>
        <v>1588773.1880768947</v>
      </c>
      <c r="E196" s="19">
        <f>IF(PaymentSchedule34[[#This Row],[PMT NO]]&lt;&gt;"",ScheduledPayment,"")</f>
        <v>8672.4039978858091</v>
      </c>
      <c r="F19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9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96" s="19">
        <f>IF(PaymentSchedule34[[#This Row],[PMT NO]]&lt;&gt;"",PaymentSchedule34[[#This Row],[TOTAL PAYMENT]]-PaymentSchedule34[[#This Row],[INTEREST]],"")</f>
        <v>3045.4989567801395</v>
      </c>
      <c r="I196" s="19">
        <f>IF(PaymentSchedule34[[#This Row],[PMT NO]]&lt;&gt;"",PaymentSchedule34[[#This Row],[BEGINNING BALANCE]]*(InterestRate/PaymentsPerYear),"")</f>
        <v>5626.9050411056696</v>
      </c>
      <c r="J19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1585727.6891201145</v>
      </c>
      <c r="K196" s="19">
        <f>IF(PaymentSchedule34[[#This Row],[PMT NO]]&lt;&gt;"",SUM(INDEX(PaymentSchedule34[INTEREST],1,1):PaymentSchedule34[[#This Row],[INTEREST]]),"")</f>
        <v>1190122.4287289889</v>
      </c>
    </row>
    <row r="197" spans="2:11" x14ac:dyDescent="0.3">
      <c r="B197" s="21">
        <f>IF(LoanIsGood,IF(ROW()-ROW(PaymentSchedule34[[#Headers],[PMT NO]])&gt;ScheduledNumberOfPayments,"",ROW()-ROW(PaymentSchedule34[[#Headers],[PMT NO]])),"")</f>
        <v>186</v>
      </c>
      <c r="C197" s="20">
        <f>IF(PaymentSchedule34[[#This Row],[PMT NO]]&lt;&gt;"",EOMONTH(LoanStartDate,ROW(PaymentSchedule34[[#This Row],[PMT NO]])-ROW(PaymentSchedule34[[#Headers],[PMT NO]])-2)+DAY(LoanStartDate),"")</f>
        <v>49279</v>
      </c>
      <c r="D197" s="19">
        <f>IF(PaymentSchedule34[[#This Row],[PMT NO]]&lt;&gt;"",IF(ROW()-ROW(PaymentSchedule34[[#Headers],[BEGINNING BALANCE]])=1,LoanAmount,INDEX(PaymentSchedule34[ENDING BALANCE],ROW()-ROW(PaymentSchedule34[[#Headers],[BEGINNING BALANCE]])-1)),"")</f>
        <v>1585727.6891201145</v>
      </c>
      <c r="E197" s="19">
        <f>IF(PaymentSchedule34[[#This Row],[PMT NO]]&lt;&gt;"",ScheduledPayment,"")</f>
        <v>8672.4039978858091</v>
      </c>
      <c r="F19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9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97" s="19">
        <f>IF(PaymentSchedule34[[#This Row],[PMT NO]]&lt;&gt;"",PaymentSchedule34[[#This Row],[TOTAL PAYMENT]]-PaymentSchedule34[[#This Row],[INTEREST]],"")</f>
        <v>3056.2850989187364</v>
      </c>
      <c r="I197" s="19">
        <f>IF(PaymentSchedule34[[#This Row],[PMT NO]]&lt;&gt;"",PaymentSchedule34[[#This Row],[BEGINNING BALANCE]]*(InterestRate/PaymentsPerYear),"")</f>
        <v>5616.1188989670727</v>
      </c>
      <c r="J19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1582671.4040211958</v>
      </c>
      <c r="K197" s="19">
        <f>IF(PaymentSchedule34[[#This Row],[PMT NO]]&lt;&gt;"",SUM(INDEX(PaymentSchedule34[INTEREST],1,1):PaymentSchedule34[[#This Row],[INTEREST]]),"")</f>
        <v>1195738.5476279559</v>
      </c>
    </row>
    <row r="198" spans="2:11" x14ac:dyDescent="0.3">
      <c r="B198" s="21">
        <f>IF(LoanIsGood,IF(ROW()-ROW(PaymentSchedule34[[#Headers],[PMT NO]])&gt;ScheduledNumberOfPayments,"",ROW()-ROW(PaymentSchedule34[[#Headers],[PMT NO]])),"")</f>
        <v>187</v>
      </c>
      <c r="C198" s="20">
        <f>IF(PaymentSchedule34[[#This Row],[PMT NO]]&lt;&gt;"",EOMONTH(LoanStartDate,ROW(PaymentSchedule34[[#This Row],[PMT NO]])-ROW(PaymentSchedule34[[#Headers],[PMT NO]])-2)+DAY(LoanStartDate),"")</f>
        <v>49310</v>
      </c>
      <c r="D198" s="19">
        <f>IF(PaymentSchedule34[[#This Row],[PMT NO]]&lt;&gt;"",IF(ROW()-ROW(PaymentSchedule34[[#Headers],[BEGINNING BALANCE]])=1,LoanAmount,INDEX(PaymentSchedule34[ENDING BALANCE],ROW()-ROW(PaymentSchedule34[[#Headers],[BEGINNING BALANCE]])-1)),"")</f>
        <v>1582671.4040211958</v>
      </c>
      <c r="E198" s="19">
        <f>IF(PaymentSchedule34[[#This Row],[PMT NO]]&lt;&gt;"",ScheduledPayment,"")</f>
        <v>8672.4039978858091</v>
      </c>
      <c r="F19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9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98" s="19">
        <f>IF(PaymentSchedule34[[#This Row],[PMT NO]]&lt;&gt;"",PaymentSchedule34[[#This Row],[TOTAL PAYMENT]]-PaymentSchedule34[[#This Row],[INTEREST]],"")</f>
        <v>3067.1094419774072</v>
      </c>
      <c r="I198" s="19">
        <f>IF(PaymentSchedule34[[#This Row],[PMT NO]]&lt;&gt;"",PaymentSchedule34[[#This Row],[BEGINNING BALANCE]]*(InterestRate/PaymentsPerYear),"")</f>
        <v>5605.2945559084019</v>
      </c>
      <c r="J19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1579604.2945792184</v>
      </c>
      <c r="K198" s="19">
        <f>IF(PaymentSchedule34[[#This Row],[PMT NO]]&lt;&gt;"",SUM(INDEX(PaymentSchedule34[INTEREST],1,1):PaymentSchedule34[[#This Row],[INTEREST]]),"")</f>
        <v>1201343.8421838642</v>
      </c>
    </row>
    <row r="199" spans="2:11" x14ac:dyDescent="0.3">
      <c r="B199" s="21">
        <f>IF(LoanIsGood,IF(ROW()-ROW(PaymentSchedule34[[#Headers],[PMT NO]])&gt;ScheduledNumberOfPayments,"",ROW()-ROW(PaymentSchedule34[[#Headers],[PMT NO]])),"")</f>
        <v>188</v>
      </c>
      <c r="C199" s="20">
        <f>IF(PaymentSchedule34[[#This Row],[PMT NO]]&lt;&gt;"",EOMONTH(LoanStartDate,ROW(PaymentSchedule34[[#This Row],[PMT NO]])-ROW(PaymentSchedule34[[#Headers],[PMT NO]])-2)+DAY(LoanStartDate),"")</f>
        <v>49341</v>
      </c>
      <c r="D199" s="19">
        <f>IF(PaymentSchedule34[[#This Row],[PMT NO]]&lt;&gt;"",IF(ROW()-ROW(PaymentSchedule34[[#Headers],[BEGINNING BALANCE]])=1,LoanAmount,INDEX(PaymentSchedule34[ENDING BALANCE],ROW()-ROW(PaymentSchedule34[[#Headers],[BEGINNING BALANCE]])-1)),"")</f>
        <v>1579604.2945792184</v>
      </c>
      <c r="E199" s="19">
        <f>IF(PaymentSchedule34[[#This Row],[PMT NO]]&lt;&gt;"",ScheduledPayment,"")</f>
        <v>8672.4039978858091</v>
      </c>
      <c r="F19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19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199" s="19">
        <f>IF(PaymentSchedule34[[#This Row],[PMT NO]]&lt;&gt;"",PaymentSchedule34[[#This Row],[TOTAL PAYMENT]]-PaymentSchedule34[[#This Row],[INTEREST]],"")</f>
        <v>3077.9721212510767</v>
      </c>
      <c r="I199" s="19">
        <f>IF(PaymentSchedule34[[#This Row],[PMT NO]]&lt;&gt;"",PaymentSchedule34[[#This Row],[BEGINNING BALANCE]]*(InterestRate/PaymentsPerYear),"")</f>
        <v>5594.4318766347324</v>
      </c>
      <c r="J19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1576526.3224579673</v>
      </c>
      <c r="K199" s="19">
        <f>IF(PaymentSchedule34[[#This Row],[PMT NO]]&lt;&gt;"",SUM(INDEX(PaymentSchedule34[INTEREST],1,1):PaymentSchedule34[[#This Row],[INTEREST]]),"")</f>
        <v>1206938.2740604989</v>
      </c>
    </row>
    <row r="200" spans="2:11" x14ac:dyDescent="0.3">
      <c r="B200" s="21">
        <f>IF(LoanIsGood,IF(ROW()-ROW(PaymentSchedule34[[#Headers],[PMT NO]])&gt;ScheduledNumberOfPayments,"",ROW()-ROW(PaymentSchedule34[[#Headers],[PMT NO]])),"")</f>
        <v>189</v>
      </c>
      <c r="C200" s="20">
        <f>IF(PaymentSchedule34[[#This Row],[PMT NO]]&lt;&gt;"",EOMONTH(LoanStartDate,ROW(PaymentSchedule34[[#This Row],[PMT NO]])-ROW(PaymentSchedule34[[#Headers],[PMT NO]])-2)+DAY(LoanStartDate),"")</f>
        <v>49369</v>
      </c>
      <c r="D200" s="19">
        <f>IF(PaymentSchedule34[[#This Row],[PMT NO]]&lt;&gt;"",IF(ROW()-ROW(PaymentSchedule34[[#Headers],[BEGINNING BALANCE]])=1,LoanAmount,INDEX(PaymentSchedule34[ENDING BALANCE],ROW()-ROW(PaymentSchedule34[[#Headers],[BEGINNING BALANCE]])-1)),"")</f>
        <v>1576526.3224579673</v>
      </c>
      <c r="E200" s="19">
        <f>IF(PaymentSchedule34[[#This Row],[PMT NO]]&lt;&gt;"",ScheduledPayment,"")</f>
        <v>8672.4039978858091</v>
      </c>
      <c r="F20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0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00" s="19">
        <f>IF(PaymentSchedule34[[#This Row],[PMT NO]]&lt;&gt;"",PaymentSchedule34[[#This Row],[TOTAL PAYMENT]]-PaymentSchedule34[[#This Row],[INTEREST]],"")</f>
        <v>3088.8732725138407</v>
      </c>
      <c r="I200" s="19">
        <f>IF(PaymentSchedule34[[#This Row],[PMT NO]]&lt;&gt;"",PaymentSchedule34[[#This Row],[BEGINNING BALANCE]]*(InterestRate/PaymentsPerYear),"")</f>
        <v>5583.5307253719684</v>
      </c>
      <c r="J20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1573437.4491854536</v>
      </c>
      <c r="K200" s="19">
        <f>IF(PaymentSchedule34[[#This Row],[PMT NO]]&lt;&gt;"",SUM(INDEX(PaymentSchedule34[INTEREST],1,1):PaymentSchedule34[[#This Row],[INTEREST]]),"")</f>
        <v>1212521.8047858709</v>
      </c>
    </row>
    <row r="201" spans="2:11" x14ac:dyDescent="0.3">
      <c r="B201" s="21">
        <f>IF(LoanIsGood,IF(ROW()-ROW(PaymentSchedule34[[#Headers],[PMT NO]])&gt;ScheduledNumberOfPayments,"",ROW()-ROW(PaymentSchedule34[[#Headers],[PMT NO]])),"")</f>
        <v>190</v>
      </c>
      <c r="C201" s="20">
        <f>IF(PaymentSchedule34[[#This Row],[PMT NO]]&lt;&gt;"",EOMONTH(LoanStartDate,ROW(PaymentSchedule34[[#This Row],[PMT NO]])-ROW(PaymentSchedule34[[#Headers],[PMT NO]])-2)+DAY(LoanStartDate),"")</f>
        <v>49400</v>
      </c>
      <c r="D201" s="19">
        <f>IF(PaymentSchedule34[[#This Row],[PMT NO]]&lt;&gt;"",IF(ROW()-ROW(PaymentSchedule34[[#Headers],[BEGINNING BALANCE]])=1,LoanAmount,INDEX(PaymentSchedule34[ENDING BALANCE],ROW()-ROW(PaymentSchedule34[[#Headers],[BEGINNING BALANCE]])-1)),"")</f>
        <v>1573437.4491854536</v>
      </c>
      <c r="E201" s="19">
        <f>IF(PaymentSchedule34[[#This Row],[PMT NO]]&lt;&gt;"",ScheduledPayment,"")</f>
        <v>8672.4039978858091</v>
      </c>
      <c r="F20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0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01" s="19">
        <f>IF(PaymentSchedule34[[#This Row],[PMT NO]]&lt;&gt;"",PaymentSchedule34[[#This Row],[TOTAL PAYMENT]]-PaymentSchedule34[[#This Row],[INTEREST]],"")</f>
        <v>3099.8130320206601</v>
      </c>
      <c r="I201" s="19">
        <f>IF(PaymentSchedule34[[#This Row],[PMT NO]]&lt;&gt;"",PaymentSchedule34[[#This Row],[BEGINNING BALANCE]]*(InterestRate/PaymentsPerYear),"")</f>
        <v>5572.590965865149</v>
      </c>
      <c r="J20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1570337.636153433</v>
      </c>
      <c r="K201" s="19">
        <f>IF(PaymentSchedule34[[#This Row],[PMT NO]]&lt;&gt;"",SUM(INDEX(PaymentSchedule34[INTEREST],1,1):PaymentSchedule34[[#This Row],[INTEREST]]),"")</f>
        <v>1218094.3957517361</v>
      </c>
    </row>
    <row r="202" spans="2:11" x14ac:dyDescent="0.3">
      <c r="B202" s="21">
        <f>IF(LoanIsGood,IF(ROW()-ROW(PaymentSchedule34[[#Headers],[PMT NO]])&gt;ScheduledNumberOfPayments,"",ROW()-ROW(PaymentSchedule34[[#Headers],[PMT NO]])),"")</f>
        <v>191</v>
      </c>
      <c r="C202" s="20">
        <f>IF(PaymentSchedule34[[#This Row],[PMT NO]]&lt;&gt;"",EOMONTH(LoanStartDate,ROW(PaymentSchedule34[[#This Row],[PMT NO]])-ROW(PaymentSchedule34[[#Headers],[PMT NO]])-2)+DAY(LoanStartDate),"")</f>
        <v>49430</v>
      </c>
      <c r="D202" s="19">
        <f>IF(PaymentSchedule34[[#This Row],[PMT NO]]&lt;&gt;"",IF(ROW()-ROW(PaymentSchedule34[[#Headers],[BEGINNING BALANCE]])=1,LoanAmount,INDEX(PaymentSchedule34[ENDING BALANCE],ROW()-ROW(PaymentSchedule34[[#Headers],[BEGINNING BALANCE]])-1)),"")</f>
        <v>1570337.636153433</v>
      </c>
      <c r="E202" s="19">
        <f>IF(PaymentSchedule34[[#This Row],[PMT NO]]&lt;&gt;"",ScheduledPayment,"")</f>
        <v>8672.4039978858091</v>
      </c>
      <c r="F20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0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02" s="19">
        <f>IF(PaymentSchedule34[[#This Row],[PMT NO]]&lt;&gt;"",PaymentSchedule34[[#This Row],[TOTAL PAYMENT]]-PaymentSchedule34[[#This Row],[INTEREST]],"")</f>
        <v>3110.7915365090666</v>
      </c>
      <c r="I202" s="19">
        <f>IF(PaymentSchedule34[[#This Row],[PMT NO]]&lt;&gt;"",PaymentSchedule34[[#This Row],[BEGINNING BALANCE]]*(InterestRate/PaymentsPerYear),"")</f>
        <v>5561.6124613767424</v>
      </c>
      <c r="J20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1567226.8446169239</v>
      </c>
      <c r="K202" s="19">
        <f>IF(PaymentSchedule34[[#This Row],[PMT NO]]&lt;&gt;"",SUM(INDEX(PaymentSchedule34[INTEREST],1,1):PaymentSchedule34[[#This Row],[INTEREST]]),"")</f>
        <v>1223656.0082131128</v>
      </c>
    </row>
    <row r="203" spans="2:11" x14ac:dyDescent="0.3">
      <c r="B203" s="21">
        <f>IF(LoanIsGood,IF(ROW()-ROW(PaymentSchedule34[[#Headers],[PMT NO]])&gt;ScheduledNumberOfPayments,"",ROW()-ROW(PaymentSchedule34[[#Headers],[PMT NO]])),"")</f>
        <v>192</v>
      </c>
      <c r="C203" s="20">
        <f>IF(PaymentSchedule34[[#This Row],[PMT NO]]&lt;&gt;"",EOMONTH(LoanStartDate,ROW(PaymentSchedule34[[#This Row],[PMT NO]])-ROW(PaymentSchedule34[[#Headers],[PMT NO]])-2)+DAY(LoanStartDate),"")</f>
        <v>49461</v>
      </c>
      <c r="D203" s="19">
        <f>IF(PaymentSchedule34[[#This Row],[PMT NO]]&lt;&gt;"",IF(ROW()-ROW(PaymentSchedule34[[#Headers],[BEGINNING BALANCE]])=1,LoanAmount,INDEX(PaymentSchedule34[ENDING BALANCE],ROW()-ROW(PaymentSchedule34[[#Headers],[BEGINNING BALANCE]])-1)),"")</f>
        <v>1567226.8446169239</v>
      </c>
      <c r="E203" s="19">
        <f>IF(PaymentSchedule34[[#This Row],[PMT NO]]&lt;&gt;"",ScheduledPayment,"")</f>
        <v>8672.4039978858091</v>
      </c>
      <c r="F20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0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03" s="19">
        <f>IF(PaymentSchedule34[[#This Row],[PMT NO]]&lt;&gt;"",PaymentSchedule34[[#This Row],[TOTAL PAYMENT]]-PaymentSchedule34[[#This Row],[INTEREST]],"")</f>
        <v>3121.8089232008697</v>
      </c>
      <c r="I203" s="19">
        <f>IF(PaymentSchedule34[[#This Row],[PMT NO]]&lt;&gt;"",PaymentSchedule34[[#This Row],[BEGINNING BALANCE]]*(InterestRate/PaymentsPerYear),"")</f>
        <v>5550.5950746849394</v>
      </c>
      <c r="J20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1564105.035693723</v>
      </c>
      <c r="K203" s="19">
        <f>IF(PaymentSchedule34[[#This Row],[PMT NO]]&lt;&gt;"",SUM(INDEX(PaymentSchedule34[INTEREST],1,1):PaymentSchedule34[[#This Row],[INTEREST]]),"")</f>
        <v>1229206.6032877977</v>
      </c>
    </row>
    <row r="204" spans="2:11" x14ac:dyDescent="0.3">
      <c r="B204" s="21">
        <f>IF(LoanIsGood,IF(ROW()-ROW(PaymentSchedule34[[#Headers],[PMT NO]])&gt;ScheduledNumberOfPayments,"",ROW()-ROW(PaymentSchedule34[[#Headers],[PMT NO]])),"")</f>
        <v>193</v>
      </c>
      <c r="C204" s="20">
        <f>IF(PaymentSchedule34[[#This Row],[PMT NO]]&lt;&gt;"",EOMONTH(LoanStartDate,ROW(PaymentSchedule34[[#This Row],[PMT NO]])-ROW(PaymentSchedule34[[#Headers],[PMT NO]])-2)+DAY(LoanStartDate),"")</f>
        <v>49491</v>
      </c>
      <c r="D204" s="19">
        <f>IF(PaymentSchedule34[[#This Row],[PMT NO]]&lt;&gt;"",IF(ROW()-ROW(PaymentSchedule34[[#Headers],[BEGINNING BALANCE]])=1,LoanAmount,INDEX(PaymentSchedule34[ENDING BALANCE],ROW()-ROW(PaymentSchedule34[[#Headers],[BEGINNING BALANCE]])-1)),"")</f>
        <v>1564105.035693723</v>
      </c>
      <c r="E204" s="19">
        <f>IF(PaymentSchedule34[[#This Row],[PMT NO]]&lt;&gt;"",ScheduledPayment,"")</f>
        <v>8672.4039978858091</v>
      </c>
      <c r="F20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0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04" s="19">
        <f>IF(PaymentSchedule34[[#This Row],[PMT NO]]&lt;&gt;"",PaymentSchedule34[[#This Row],[TOTAL PAYMENT]]-PaymentSchedule34[[#This Row],[INTEREST]],"")</f>
        <v>3132.8653298038735</v>
      </c>
      <c r="I204" s="19">
        <f>IF(PaymentSchedule34[[#This Row],[PMT NO]]&lt;&gt;"",PaymentSchedule34[[#This Row],[BEGINNING BALANCE]]*(InterestRate/PaymentsPerYear),"")</f>
        <v>5539.5386680819356</v>
      </c>
      <c r="J20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1560972.1703639191</v>
      </c>
      <c r="K204" s="19">
        <f>IF(PaymentSchedule34[[#This Row],[PMT NO]]&lt;&gt;"",SUM(INDEX(PaymentSchedule34[INTEREST],1,1):PaymentSchedule34[[#This Row],[INTEREST]]),"")</f>
        <v>1234746.1419558795</v>
      </c>
    </row>
    <row r="205" spans="2:11" x14ac:dyDescent="0.3">
      <c r="B205" s="21">
        <f>IF(LoanIsGood,IF(ROW()-ROW(PaymentSchedule34[[#Headers],[PMT NO]])&gt;ScheduledNumberOfPayments,"",ROW()-ROW(PaymentSchedule34[[#Headers],[PMT NO]])),"")</f>
        <v>194</v>
      </c>
      <c r="C205" s="20">
        <f>IF(PaymentSchedule34[[#This Row],[PMT NO]]&lt;&gt;"",EOMONTH(LoanStartDate,ROW(PaymentSchedule34[[#This Row],[PMT NO]])-ROW(PaymentSchedule34[[#Headers],[PMT NO]])-2)+DAY(LoanStartDate),"")</f>
        <v>49522</v>
      </c>
      <c r="D205" s="19">
        <f>IF(PaymentSchedule34[[#This Row],[PMT NO]]&lt;&gt;"",IF(ROW()-ROW(PaymentSchedule34[[#Headers],[BEGINNING BALANCE]])=1,LoanAmount,INDEX(PaymentSchedule34[ENDING BALANCE],ROW()-ROW(PaymentSchedule34[[#Headers],[BEGINNING BALANCE]])-1)),"")</f>
        <v>1560972.1703639191</v>
      </c>
      <c r="E205" s="19">
        <f>IF(PaymentSchedule34[[#This Row],[PMT NO]]&lt;&gt;"",ScheduledPayment,"")</f>
        <v>8672.4039978858091</v>
      </c>
      <c r="F20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0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05" s="19">
        <f>IF(PaymentSchedule34[[#This Row],[PMT NO]]&lt;&gt;"",PaymentSchedule34[[#This Row],[TOTAL PAYMENT]]-PaymentSchedule34[[#This Row],[INTEREST]],"")</f>
        <v>3143.9608945135951</v>
      </c>
      <c r="I205" s="19">
        <f>IF(PaymentSchedule34[[#This Row],[PMT NO]]&lt;&gt;"",PaymentSchedule34[[#This Row],[BEGINNING BALANCE]]*(InterestRate/PaymentsPerYear),"")</f>
        <v>5528.443103372214</v>
      </c>
      <c r="J20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1557828.2094694055</v>
      </c>
      <c r="K205" s="19">
        <f>IF(PaymentSchedule34[[#This Row],[PMT NO]]&lt;&gt;"",SUM(INDEX(PaymentSchedule34[INTEREST],1,1):PaymentSchedule34[[#This Row],[INTEREST]]),"")</f>
        <v>1240274.5850592516</v>
      </c>
    </row>
    <row r="206" spans="2:11" x14ac:dyDescent="0.3">
      <c r="B206" s="21">
        <f>IF(LoanIsGood,IF(ROW()-ROW(PaymentSchedule34[[#Headers],[PMT NO]])&gt;ScheduledNumberOfPayments,"",ROW()-ROW(PaymentSchedule34[[#Headers],[PMT NO]])),"")</f>
        <v>195</v>
      </c>
      <c r="C206" s="20">
        <f>IF(PaymentSchedule34[[#This Row],[PMT NO]]&lt;&gt;"",EOMONTH(LoanStartDate,ROW(PaymentSchedule34[[#This Row],[PMT NO]])-ROW(PaymentSchedule34[[#Headers],[PMT NO]])-2)+DAY(LoanStartDate),"")</f>
        <v>49553</v>
      </c>
      <c r="D206" s="19">
        <f>IF(PaymentSchedule34[[#This Row],[PMT NO]]&lt;&gt;"",IF(ROW()-ROW(PaymentSchedule34[[#Headers],[BEGINNING BALANCE]])=1,LoanAmount,INDEX(PaymentSchedule34[ENDING BALANCE],ROW()-ROW(PaymentSchedule34[[#Headers],[BEGINNING BALANCE]])-1)),"")</f>
        <v>1557828.2094694055</v>
      </c>
      <c r="E206" s="19">
        <f>IF(PaymentSchedule34[[#This Row],[PMT NO]]&lt;&gt;"",ScheduledPayment,"")</f>
        <v>8672.4039978858091</v>
      </c>
      <c r="F20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0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06" s="19">
        <f>IF(PaymentSchedule34[[#This Row],[PMT NO]]&lt;&gt;"",PaymentSchedule34[[#This Row],[TOTAL PAYMENT]]-PaymentSchedule34[[#This Row],[INTEREST]],"")</f>
        <v>3155.0957560149973</v>
      </c>
      <c r="I206" s="19">
        <f>IF(PaymentSchedule34[[#This Row],[PMT NO]]&lt;&gt;"",PaymentSchedule34[[#This Row],[BEGINNING BALANCE]]*(InterestRate/PaymentsPerYear),"")</f>
        <v>5517.3082418708118</v>
      </c>
      <c r="J20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1554673.1137133904</v>
      </c>
      <c r="K206" s="19">
        <f>IF(PaymentSchedule34[[#This Row],[PMT NO]]&lt;&gt;"",SUM(INDEX(PaymentSchedule34[INTEREST],1,1):PaymentSchedule34[[#This Row],[INTEREST]]),"")</f>
        <v>1245791.8933011224</v>
      </c>
    </row>
    <row r="207" spans="2:11" x14ac:dyDescent="0.3">
      <c r="B207" s="21">
        <f>IF(LoanIsGood,IF(ROW()-ROW(PaymentSchedule34[[#Headers],[PMT NO]])&gt;ScheduledNumberOfPayments,"",ROW()-ROW(PaymentSchedule34[[#Headers],[PMT NO]])),"")</f>
        <v>196</v>
      </c>
      <c r="C207" s="20">
        <f>IF(PaymentSchedule34[[#This Row],[PMT NO]]&lt;&gt;"",EOMONTH(LoanStartDate,ROW(PaymentSchedule34[[#This Row],[PMT NO]])-ROW(PaymentSchedule34[[#Headers],[PMT NO]])-2)+DAY(LoanStartDate),"")</f>
        <v>49583</v>
      </c>
      <c r="D207" s="19">
        <f>IF(PaymentSchedule34[[#This Row],[PMT NO]]&lt;&gt;"",IF(ROW()-ROW(PaymentSchedule34[[#Headers],[BEGINNING BALANCE]])=1,LoanAmount,INDEX(PaymentSchedule34[ENDING BALANCE],ROW()-ROW(PaymentSchedule34[[#Headers],[BEGINNING BALANCE]])-1)),"")</f>
        <v>1554673.1137133904</v>
      </c>
      <c r="E207" s="19">
        <f>IF(PaymentSchedule34[[#This Row],[PMT NO]]&lt;&gt;"",ScheduledPayment,"")</f>
        <v>8672.4039978858091</v>
      </c>
      <c r="F20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0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07" s="19">
        <f>IF(PaymentSchedule34[[#This Row],[PMT NO]]&lt;&gt;"",PaymentSchedule34[[#This Row],[TOTAL PAYMENT]]-PaymentSchedule34[[#This Row],[INTEREST]],"")</f>
        <v>3166.2700534842179</v>
      </c>
      <c r="I207" s="19">
        <f>IF(PaymentSchedule34[[#This Row],[PMT NO]]&lt;&gt;"",PaymentSchedule34[[#This Row],[BEGINNING BALANCE]]*(InterestRate/PaymentsPerYear),"")</f>
        <v>5506.1339444015912</v>
      </c>
      <c r="J20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1551506.8436599062</v>
      </c>
      <c r="K207" s="19">
        <f>IF(PaymentSchedule34[[#This Row],[PMT NO]]&lt;&gt;"",SUM(INDEX(PaymentSchedule34[INTEREST],1,1):PaymentSchedule34[[#This Row],[INTEREST]]),"")</f>
        <v>1251298.0272455239</v>
      </c>
    </row>
    <row r="208" spans="2:11" x14ac:dyDescent="0.3">
      <c r="B208" s="21">
        <f>IF(LoanIsGood,IF(ROW()-ROW(PaymentSchedule34[[#Headers],[PMT NO]])&gt;ScheduledNumberOfPayments,"",ROW()-ROW(PaymentSchedule34[[#Headers],[PMT NO]])),"")</f>
        <v>197</v>
      </c>
      <c r="C208" s="20">
        <f>IF(PaymentSchedule34[[#This Row],[PMT NO]]&lt;&gt;"",EOMONTH(LoanStartDate,ROW(PaymentSchedule34[[#This Row],[PMT NO]])-ROW(PaymentSchedule34[[#Headers],[PMT NO]])-2)+DAY(LoanStartDate),"")</f>
        <v>49614</v>
      </c>
      <c r="D208" s="19">
        <f>IF(PaymentSchedule34[[#This Row],[PMT NO]]&lt;&gt;"",IF(ROW()-ROW(PaymentSchedule34[[#Headers],[BEGINNING BALANCE]])=1,LoanAmount,INDEX(PaymentSchedule34[ENDING BALANCE],ROW()-ROW(PaymentSchedule34[[#Headers],[BEGINNING BALANCE]])-1)),"")</f>
        <v>1551506.8436599062</v>
      </c>
      <c r="E208" s="19">
        <f>IF(PaymentSchedule34[[#This Row],[PMT NO]]&lt;&gt;"",ScheduledPayment,"")</f>
        <v>8672.4039978858091</v>
      </c>
      <c r="F20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0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08" s="19">
        <f>IF(PaymentSchedule34[[#This Row],[PMT NO]]&lt;&gt;"",PaymentSchedule34[[#This Row],[TOTAL PAYMENT]]-PaymentSchedule34[[#This Row],[INTEREST]],"")</f>
        <v>3177.4839265903074</v>
      </c>
      <c r="I208" s="19">
        <f>IF(PaymentSchedule34[[#This Row],[PMT NO]]&lt;&gt;"",PaymentSchedule34[[#This Row],[BEGINNING BALANCE]]*(InterestRate/PaymentsPerYear),"")</f>
        <v>5494.9200712955017</v>
      </c>
      <c r="J20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1548329.3597333159</v>
      </c>
      <c r="K208" s="19">
        <f>IF(PaymentSchedule34[[#This Row],[PMT NO]]&lt;&gt;"",SUM(INDEX(PaymentSchedule34[INTEREST],1,1):PaymentSchedule34[[#This Row],[INTEREST]]),"")</f>
        <v>1256792.9473168193</v>
      </c>
    </row>
    <row r="209" spans="2:11" x14ac:dyDescent="0.3">
      <c r="B209" s="21">
        <f>IF(LoanIsGood,IF(ROW()-ROW(PaymentSchedule34[[#Headers],[PMT NO]])&gt;ScheduledNumberOfPayments,"",ROW()-ROW(PaymentSchedule34[[#Headers],[PMT NO]])),"")</f>
        <v>198</v>
      </c>
      <c r="C209" s="20">
        <f>IF(PaymentSchedule34[[#This Row],[PMT NO]]&lt;&gt;"",EOMONTH(LoanStartDate,ROW(PaymentSchedule34[[#This Row],[PMT NO]])-ROW(PaymentSchedule34[[#Headers],[PMT NO]])-2)+DAY(LoanStartDate),"")</f>
        <v>49644</v>
      </c>
      <c r="D209" s="19">
        <f>IF(PaymentSchedule34[[#This Row],[PMT NO]]&lt;&gt;"",IF(ROW()-ROW(PaymentSchedule34[[#Headers],[BEGINNING BALANCE]])=1,LoanAmount,INDEX(PaymentSchedule34[ENDING BALANCE],ROW()-ROW(PaymentSchedule34[[#Headers],[BEGINNING BALANCE]])-1)),"")</f>
        <v>1548329.3597333159</v>
      </c>
      <c r="E209" s="19">
        <f>IF(PaymentSchedule34[[#This Row],[PMT NO]]&lt;&gt;"",ScheduledPayment,"")</f>
        <v>8672.4039978858091</v>
      </c>
      <c r="F20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0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09" s="19">
        <f>IF(PaymentSchedule34[[#This Row],[PMT NO]]&lt;&gt;"",PaymentSchedule34[[#This Row],[TOTAL PAYMENT]]-PaymentSchedule34[[#This Row],[INTEREST]],"")</f>
        <v>3188.7375154969814</v>
      </c>
      <c r="I209" s="19">
        <f>IF(PaymentSchedule34[[#This Row],[PMT NO]]&lt;&gt;"",PaymentSchedule34[[#This Row],[BEGINNING BALANCE]]*(InterestRate/PaymentsPerYear),"")</f>
        <v>5483.6664823888277</v>
      </c>
      <c r="J20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1545140.6222178189</v>
      </c>
      <c r="K209" s="19">
        <f>IF(PaymentSchedule34[[#This Row],[PMT NO]]&lt;&gt;"",SUM(INDEX(PaymentSchedule34[INTEREST],1,1):PaymentSchedule34[[#This Row],[INTEREST]]),"")</f>
        <v>1262276.6137992081</v>
      </c>
    </row>
    <row r="210" spans="2:11" x14ac:dyDescent="0.3">
      <c r="B210" s="21">
        <f>IF(LoanIsGood,IF(ROW()-ROW(PaymentSchedule34[[#Headers],[PMT NO]])&gt;ScheduledNumberOfPayments,"",ROW()-ROW(PaymentSchedule34[[#Headers],[PMT NO]])),"")</f>
        <v>199</v>
      </c>
      <c r="C210" s="20">
        <f>IF(PaymentSchedule34[[#This Row],[PMT NO]]&lt;&gt;"",EOMONTH(LoanStartDate,ROW(PaymentSchedule34[[#This Row],[PMT NO]])-ROW(PaymentSchedule34[[#Headers],[PMT NO]])-2)+DAY(LoanStartDate),"")</f>
        <v>49675</v>
      </c>
      <c r="D210" s="19">
        <f>IF(PaymentSchedule34[[#This Row],[PMT NO]]&lt;&gt;"",IF(ROW()-ROW(PaymentSchedule34[[#Headers],[BEGINNING BALANCE]])=1,LoanAmount,INDEX(PaymentSchedule34[ENDING BALANCE],ROW()-ROW(PaymentSchedule34[[#Headers],[BEGINNING BALANCE]])-1)),"")</f>
        <v>1545140.6222178189</v>
      </c>
      <c r="E210" s="19">
        <f>IF(PaymentSchedule34[[#This Row],[PMT NO]]&lt;&gt;"",ScheduledPayment,"")</f>
        <v>8672.4039978858091</v>
      </c>
      <c r="F21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1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10" s="19">
        <f>IF(PaymentSchedule34[[#This Row],[PMT NO]]&lt;&gt;"",PaymentSchedule34[[#This Row],[TOTAL PAYMENT]]-PaymentSchedule34[[#This Row],[INTEREST]],"")</f>
        <v>3200.0309608643665</v>
      </c>
      <c r="I210" s="19">
        <f>IF(PaymentSchedule34[[#This Row],[PMT NO]]&lt;&gt;"",PaymentSchedule34[[#This Row],[BEGINNING BALANCE]]*(InterestRate/PaymentsPerYear),"")</f>
        <v>5472.3730370214425</v>
      </c>
      <c r="J21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1541940.5912569545</v>
      </c>
      <c r="K210" s="19">
        <f>IF(PaymentSchedule34[[#This Row],[PMT NO]]&lt;&gt;"",SUM(INDEX(PaymentSchedule34[INTEREST],1,1):PaymentSchedule34[[#This Row],[INTEREST]]),"")</f>
        <v>1267748.9868362295</v>
      </c>
    </row>
    <row r="211" spans="2:11" x14ac:dyDescent="0.3">
      <c r="B211" s="21">
        <f>IF(LoanIsGood,IF(ROW()-ROW(PaymentSchedule34[[#Headers],[PMT NO]])&gt;ScheduledNumberOfPayments,"",ROW()-ROW(PaymentSchedule34[[#Headers],[PMT NO]])),"")</f>
        <v>200</v>
      </c>
      <c r="C211" s="20">
        <f>IF(PaymentSchedule34[[#This Row],[PMT NO]]&lt;&gt;"",EOMONTH(LoanStartDate,ROW(PaymentSchedule34[[#This Row],[PMT NO]])-ROW(PaymentSchedule34[[#Headers],[PMT NO]])-2)+DAY(LoanStartDate),"")</f>
        <v>49706</v>
      </c>
      <c r="D211" s="19">
        <f>IF(PaymentSchedule34[[#This Row],[PMT NO]]&lt;&gt;"",IF(ROW()-ROW(PaymentSchedule34[[#Headers],[BEGINNING BALANCE]])=1,LoanAmount,INDEX(PaymentSchedule34[ENDING BALANCE],ROW()-ROW(PaymentSchedule34[[#Headers],[BEGINNING BALANCE]])-1)),"")</f>
        <v>1541940.5912569545</v>
      </c>
      <c r="E211" s="19">
        <f>IF(PaymentSchedule34[[#This Row],[PMT NO]]&lt;&gt;"",ScheduledPayment,"")</f>
        <v>8672.4039978858091</v>
      </c>
      <c r="F21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1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11" s="19">
        <f>IF(PaymentSchedule34[[#This Row],[PMT NO]]&lt;&gt;"",PaymentSchedule34[[#This Row],[TOTAL PAYMENT]]-PaymentSchedule34[[#This Row],[INTEREST]],"")</f>
        <v>3211.3644038507618</v>
      </c>
      <c r="I211" s="19">
        <f>IF(PaymentSchedule34[[#This Row],[PMT NO]]&lt;&gt;"",PaymentSchedule34[[#This Row],[BEGINNING BALANCE]]*(InterestRate/PaymentsPerYear),"")</f>
        <v>5461.0395940350472</v>
      </c>
      <c r="J21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1538729.2268531036</v>
      </c>
      <c r="K211" s="19">
        <f>IF(PaymentSchedule34[[#This Row],[PMT NO]]&lt;&gt;"",SUM(INDEX(PaymentSchedule34[INTEREST],1,1):PaymentSchedule34[[#This Row],[INTEREST]]),"")</f>
        <v>1273210.0264302646</v>
      </c>
    </row>
    <row r="212" spans="2:11" x14ac:dyDescent="0.3">
      <c r="B212" s="21">
        <f>IF(LoanIsGood,IF(ROW()-ROW(PaymentSchedule34[[#Headers],[PMT NO]])&gt;ScheduledNumberOfPayments,"",ROW()-ROW(PaymentSchedule34[[#Headers],[PMT NO]])),"")</f>
        <v>201</v>
      </c>
      <c r="C212" s="20">
        <f>IF(PaymentSchedule34[[#This Row],[PMT NO]]&lt;&gt;"",EOMONTH(LoanStartDate,ROW(PaymentSchedule34[[#This Row],[PMT NO]])-ROW(PaymentSchedule34[[#Headers],[PMT NO]])-2)+DAY(LoanStartDate),"")</f>
        <v>49735</v>
      </c>
      <c r="D212" s="19">
        <f>IF(PaymentSchedule34[[#This Row],[PMT NO]]&lt;&gt;"",IF(ROW()-ROW(PaymentSchedule34[[#Headers],[BEGINNING BALANCE]])=1,LoanAmount,INDEX(PaymentSchedule34[ENDING BALANCE],ROW()-ROW(PaymentSchedule34[[#Headers],[BEGINNING BALANCE]])-1)),"")</f>
        <v>1538729.2268531036</v>
      </c>
      <c r="E212" s="19">
        <f>IF(PaymentSchedule34[[#This Row],[PMT NO]]&lt;&gt;"",ScheduledPayment,"")</f>
        <v>8672.4039978858091</v>
      </c>
      <c r="F21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1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12" s="19">
        <f>IF(PaymentSchedule34[[#This Row],[PMT NO]]&lt;&gt;"",PaymentSchedule34[[#This Row],[TOTAL PAYMENT]]-PaymentSchedule34[[#This Row],[INTEREST]],"")</f>
        <v>3222.7379861144</v>
      </c>
      <c r="I212" s="19">
        <f>IF(PaymentSchedule34[[#This Row],[PMT NO]]&lt;&gt;"",PaymentSchedule34[[#This Row],[BEGINNING BALANCE]]*(InterestRate/PaymentsPerYear),"")</f>
        <v>5449.6660117714091</v>
      </c>
      <c r="J21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1535506.4888669893</v>
      </c>
      <c r="K212" s="19">
        <f>IF(PaymentSchedule34[[#This Row],[PMT NO]]&lt;&gt;"",SUM(INDEX(PaymentSchedule34[INTEREST],1,1):PaymentSchedule34[[#This Row],[INTEREST]]),"")</f>
        <v>1278659.692442036</v>
      </c>
    </row>
    <row r="213" spans="2:11" x14ac:dyDescent="0.3">
      <c r="B213" s="21">
        <f>IF(LoanIsGood,IF(ROW()-ROW(PaymentSchedule34[[#Headers],[PMT NO]])&gt;ScheduledNumberOfPayments,"",ROW()-ROW(PaymentSchedule34[[#Headers],[PMT NO]])),"")</f>
        <v>202</v>
      </c>
      <c r="C213" s="20">
        <f>IF(PaymentSchedule34[[#This Row],[PMT NO]]&lt;&gt;"",EOMONTH(LoanStartDate,ROW(PaymentSchedule34[[#This Row],[PMT NO]])-ROW(PaymentSchedule34[[#Headers],[PMT NO]])-2)+DAY(LoanStartDate),"")</f>
        <v>49766</v>
      </c>
      <c r="D213" s="19">
        <f>IF(PaymentSchedule34[[#This Row],[PMT NO]]&lt;&gt;"",IF(ROW()-ROW(PaymentSchedule34[[#Headers],[BEGINNING BALANCE]])=1,LoanAmount,INDEX(PaymentSchedule34[ENDING BALANCE],ROW()-ROW(PaymentSchedule34[[#Headers],[BEGINNING BALANCE]])-1)),"")</f>
        <v>1535506.4888669893</v>
      </c>
      <c r="E213" s="19">
        <f>IF(PaymentSchedule34[[#This Row],[PMT NO]]&lt;&gt;"",ScheduledPayment,"")</f>
        <v>8672.4039978858091</v>
      </c>
      <c r="F21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1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13" s="19">
        <f>IF(PaymentSchedule34[[#This Row],[PMT NO]]&lt;&gt;"",PaymentSchedule34[[#This Row],[TOTAL PAYMENT]]-PaymentSchedule34[[#This Row],[INTEREST]],"")</f>
        <v>3234.1518498152218</v>
      </c>
      <c r="I213" s="19">
        <f>IF(PaymentSchedule34[[#This Row],[PMT NO]]&lt;&gt;"",PaymentSchedule34[[#This Row],[BEGINNING BALANCE]]*(InterestRate/PaymentsPerYear),"")</f>
        <v>5438.2521480705873</v>
      </c>
      <c r="J21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1532272.3370171741</v>
      </c>
      <c r="K213" s="19">
        <f>IF(PaymentSchedule34[[#This Row],[PMT NO]]&lt;&gt;"",SUM(INDEX(PaymentSchedule34[INTEREST],1,1):PaymentSchedule34[[#This Row],[INTEREST]]),"")</f>
        <v>1284097.9445901066</v>
      </c>
    </row>
    <row r="214" spans="2:11" x14ac:dyDescent="0.3">
      <c r="B214" s="21">
        <f>IF(LoanIsGood,IF(ROW()-ROW(PaymentSchedule34[[#Headers],[PMT NO]])&gt;ScheduledNumberOfPayments,"",ROW()-ROW(PaymentSchedule34[[#Headers],[PMT NO]])),"")</f>
        <v>203</v>
      </c>
      <c r="C214" s="20">
        <f>IF(PaymentSchedule34[[#This Row],[PMT NO]]&lt;&gt;"",EOMONTH(LoanStartDate,ROW(PaymentSchedule34[[#This Row],[PMT NO]])-ROW(PaymentSchedule34[[#Headers],[PMT NO]])-2)+DAY(LoanStartDate),"")</f>
        <v>49796</v>
      </c>
      <c r="D214" s="19">
        <f>IF(PaymentSchedule34[[#This Row],[PMT NO]]&lt;&gt;"",IF(ROW()-ROW(PaymentSchedule34[[#Headers],[BEGINNING BALANCE]])=1,LoanAmount,INDEX(PaymentSchedule34[ENDING BALANCE],ROW()-ROW(PaymentSchedule34[[#Headers],[BEGINNING BALANCE]])-1)),"")</f>
        <v>1532272.3370171741</v>
      </c>
      <c r="E214" s="19">
        <f>IF(PaymentSchedule34[[#This Row],[PMT NO]]&lt;&gt;"",ScheduledPayment,"")</f>
        <v>8672.4039978858091</v>
      </c>
      <c r="F21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1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14" s="19">
        <f>IF(PaymentSchedule34[[#This Row],[PMT NO]]&lt;&gt;"",PaymentSchedule34[[#This Row],[TOTAL PAYMENT]]-PaymentSchedule34[[#This Row],[INTEREST]],"")</f>
        <v>3245.6061376166508</v>
      </c>
      <c r="I214" s="19">
        <f>IF(PaymentSchedule34[[#This Row],[PMT NO]]&lt;&gt;"",PaymentSchedule34[[#This Row],[BEGINNING BALANCE]]*(InterestRate/PaymentsPerYear),"")</f>
        <v>5426.7978602691583</v>
      </c>
      <c r="J21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1529026.7308795576</v>
      </c>
      <c r="K214" s="19">
        <f>IF(PaymentSchedule34[[#This Row],[PMT NO]]&lt;&gt;"",SUM(INDEX(PaymentSchedule34[INTEREST],1,1):PaymentSchedule34[[#This Row],[INTEREST]]),"")</f>
        <v>1289524.7424503758</v>
      </c>
    </row>
    <row r="215" spans="2:11" x14ac:dyDescent="0.3">
      <c r="B215" s="21">
        <f>IF(LoanIsGood,IF(ROW()-ROW(PaymentSchedule34[[#Headers],[PMT NO]])&gt;ScheduledNumberOfPayments,"",ROW()-ROW(PaymentSchedule34[[#Headers],[PMT NO]])),"")</f>
        <v>204</v>
      </c>
      <c r="C215" s="20">
        <f>IF(PaymentSchedule34[[#This Row],[PMT NO]]&lt;&gt;"",EOMONTH(LoanStartDate,ROW(PaymentSchedule34[[#This Row],[PMT NO]])-ROW(PaymentSchedule34[[#Headers],[PMT NO]])-2)+DAY(LoanStartDate),"")</f>
        <v>49827</v>
      </c>
      <c r="D215" s="19">
        <f>IF(PaymentSchedule34[[#This Row],[PMT NO]]&lt;&gt;"",IF(ROW()-ROW(PaymentSchedule34[[#Headers],[BEGINNING BALANCE]])=1,LoanAmount,INDEX(PaymentSchedule34[ENDING BALANCE],ROW()-ROW(PaymentSchedule34[[#Headers],[BEGINNING BALANCE]])-1)),"")</f>
        <v>1529026.7308795576</v>
      </c>
      <c r="E215" s="19">
        <f>IF(PaymentSchedule34[[#This Row],[PMT NO]]&lt;&gt;"",ScheduledPayment,"")</f>
        <v>8672.4039978858091</v>
      </c>
      <c r="F21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1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15" s="19">
        <f>IF(PaymentSchedule34[[#This Row],[PMT NO]]&lt;&gt;"",PaymentSchedule34[[#This Row],[TOTAL PAYMENT]]-PaymentSchedule34[[#This Row],[INTEREST]],"")</f>
        <v>3257.1009926873758</v>
      </c>
      <c r="I215" s="19">
        <f>IF(PaymentSchedule34[[#This Row],[PMT NO]]&lt;&gt;"",PaymentSchedule34[[#This Row],[BEGINNING BALANCE]]*(InterestRate/PaymentsPerYear),"")</f>
        <v>5415.3030051984333</v>
      </c>
      <c r="J21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1525769.6298868703</v>
      </c>
      <c r="K215" s="19">
        <f>IF(PaymentSchedule34[[#This Row],[PMT NO]]&lt;&gt;"",SUM(INDEX(PaymentSchedule34[INTEREST],1,1):PaymentSchedule34[[#This Row],[INTEREST]]),"")</f>
        <v>1294940.0454555743</v>
      </c>
    </row>
    <row r="216" spans="2:11" x14ac:dyDescent="0.3">
      <c r="B216" s="21">
        <f>IF(LoanIsGood,IF(ROW()-ROW(PaymentSchedule34[[#Headers],[PMT NO]])&gt;ScheduledNumberOfPayments,"",ROW()-ROW(PaymentSchedule34[[#Headers],[PMT NO]])),"")</f>
        <v>205</v>
      </c>
      <c r="C216" s="20">
        <f>IF(PaymentSchedule34[[#This Row],[PMT NO]]&lt;&gt;"",EOMONTH(LoanStartDate,ROW(PaymentSchedule34[[#This Row],[PMT NO]])-ROW(PaymentSchedule34[[#Headers],[PMT NO]])-2)+DAY(LoanStartDate),"")</f>
        <v>49857</v>
      </c>
      <c r="D216" s="19">
        <f>IF(PaymentSchedule34[[#This Row],[PMT NO]]&lt;&gt;"",IF(ROW()-ROW(PaymentSchedule34[[#Headers],[BEGINNING BALANCE]])=1,LoanAmount,INDEX(PaymentSchedule34[ENDING BALANCE],ROW()-ROW(PaymentSchedule34[[#Headers],[BEGINNING BALANCE]])-1)),"")</f>
        <v>1525769.6298868703</v>
      </c>
      <c r="E216" s="19">
        <f>IF(PaymentSchedule34[[#This Row],[PMT NO]]&lt;&gt;"",ScheduledPayment,"")</f>
        <v>8672.4039978858091</v>
      </c>
      <c r="F21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1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16" s="19">
        <f>IF(PaymentSchedule34[[#This Row],[PMT NO]]&lt;&gt;"",PaymentSchedule34[[#This Row],[TOTAL PAYMENT]]-PaymentSchedule34[[#This Row],[INTEREST]],"")</f>
        <v>3268.6365587031432</v>
      </c>
      <c r="I216" s="19">
        <f>IF(PaymentSchedule34[[#This Row],[PMT NO]]&lt;&gt;"",PaymentSchedule34[[#This Row],[BEGINNING BALANCE]]*(InterestRate/PaymentsPerYear),"")</f>
        <v>5403.7674391826658</v>
      </c>
      <c r="J21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1522500.9933281671</v>
      </c>
      <c r="K216" s="19">
        <f>IF(PaymentSchedule34[[#This Row],[PMT NO]]&lt;&gt;"",SUM(INDEX(PaymentSchedule34[INTEREST],1,1):PaymentSchedule34[[#This Row],[INTEREST]]),"")</f>
        <v>1300343.8128947569</v>
      </c>
    </row>
    <row r="217" spans="2:11" x14ac:dyDescent="0.3">
      <c r="B217" s="21">
        <f>IF(LoanIsGood,IF(ROW()-ROW(PaymentSchedule34[[#Headers],[PMT NO]])&gt;ScheduledNumberOfPayments,"",ROW()-ROW(PaymentSchedule34[[#Headers],[PMT NO]])),"")</f>
        <v>206</v>
      </c>
      <c r="C217" s="20">
        <f>IF(PaymentSchedule34[[#This Row],[PMT NO]]&lt;&gt;"",EOMONTH(LoanStartDate,ROW(PaymentSchedule34[[#This Row],[PMT NO]])-ROW(PaymentSchedule34[[#Headers],[PMT NO]])-2)+DAY(LoanStartDate),"")</f>
        <v>49888</v>
      </c>
      <c r="D217" s="19">
        <f>IF(PaymentSchedule34[[#This Row],[PMT NO]]&lt;&gt;"",IF(ROW()-ROW(PaymentSchedule34[[#Headers],[BEGINNING BALANCE]])=1,LoanAmount,INDEX(PaymentSchedule34[ENDING BALANCE],ROW()-ROW(PaymentSchedule34[[#Headers],[BEGINNING BALANCE]])-1)),"")</f>
        <v>1522500.9933281671</v>
      </c>
      <c r="E217" s="19">
        <f>IF(PaymentSchedule34[[#This Row],[PMT NO]]&lt;&gt;"",ScheduledPayment,"")</f>
        <v>8672.4039978858091</v>
      </c>
      <c r="F21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1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17" s="19">
        <f>IF(PaymentSchedule34[[#This Row],[PMT NO]]&lt;&gt;"",PaymentSchedule34[[#This Row],[TOTAL PAYMENT]]-PaymentSchedule34[[#This Row],[INTEREST]],"")</f>
        <v>3280.2129798485503</v>
      </c>
      <c r="I217" s="19">
        <f>IF(PaymentSchedule34[[#This Row],[PMT NO]]&lt;&gt;"",PaymentSchedule34[[#This Row],[BEGINNING BALANCE]]*(InterestRate/PaymentsPerYear),"")</f>
        <v>5392.1910180372588</v>
      </c>
      <c r="J21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1519220.7803483186</v>
      </c>
      <c r="K217" s="19">
        <f>IF(PaymentSchedule34[[#This Row],[PMT NO]]&lt;&gt;"",SUM(INDEX(PaymentSchedule34[INTEREST],1,1):PaymentSchedule34[[#This Row],[INTEREST]]),"")</f>
        <v>1305736.0039127942</v>
      </c>
    </row>
    <row r="218" spans="2:11" x14ac:dyDescent="0.3">
      <c r="B218" s="21">
        <f>IF(LoanIsGood,IF(ROW()-ROW(PaymentSchedule34[[#Headers],[PMT NO]])&gt;ScheduledNumberOfPayments,"",ROW()-ROW(PaymentSchedule34[[#Headers],[PMT NO]])),"")</f>
        <v>207</v>
      </c>
      <c r="C218" s="20">
        <f>IF(PaymentSchedule34[[#This Row],[PMT NO]]&lt;&gt;"",EOMONTH(LoanStartDate,ROW(PaymentSchedule34[[#This Row],[PMT NO]])-ROW(PaymentSchedule34[[#Headers],[PMT NO]])-2)+DAY(LoanStartDate),"")</f>
        <v>49919</v>
      </c>
      <c r="D218" s="19">
        <f>IF(PaymentSchedule34[[#This Row],[PMT NO]]&lt;&gt;"",IF(ROW()-ROW(PaymentSchedule34[[#Headers],[BEGINNING BALANCE]])=1,LoanAmount,INDEX(PaymentSchedule34[ENDING BALANCE],ROW()-ROW(PaymentSchedule34[[#Headers],[BEGINNING BALANCE]])-1)),"")</f>
        <v>1519220.7803483186</v>
      </c>
      <c r="E218" s="19">
        <f>IF(PaymentSchedule34[[#This Row],[PMT NO]]&lt;&gt;"",ScheduledPayment,"")</f>
        <v>8672.4039978858091</v>
      </c>
      <c r="F21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1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18" s="19">
        <f>IF(PaymentSchedule34[[#This Row],[PMT NO]]&lt;&gt;"",PaymentSchedule34[[#This Row],[TOTAL PAYMENT]]-PaymentSchedule34[[#This Row],[INTEREST]],"")</f>
        <v>3291.830400818847</v>
      </c>
      <c r="I218" s="19">
        <f>IF(PaymentSchedule34[[#This Row],[PMT NO]]&lt;&gt;"",PaymentSchedule34[[#This Row],[BEGINNING BALANCE]]*(InterestRate/PaymentsPerYear),"")</f>
        <v>5380.5735970669621</v>
      </c>
      <c r="J21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1515928.9499474997</v>
      </c>
      <c r="K218" s="19">
        <f>IF(PaymentSchedule34[[#This Row],[PMT NO]]&lt;&gt;"",SUM(INDEX(PaymentSchedule34[INTEREST],1,1):PaymentSchedule34[[#This Row],[INTEREST]]),"")</f>
        <v>1311116.5775098612</v>
      </c>
    </row>
    <row r="219" spans="2:11" x14ac:dyDescent="0.3">
      <c r="B219" s="21">
        <f>IF(LoanIsGood,IF(ROW()-ROW(PaymentSchedule34[[#Headers],[PMT NO]])&gt;ScheduledNumberOfPayments,"",ROW()-ROW(PaymentSchedule34[[#Headers],[PMT NO]])),"")</f>
        <v>208</v>
      </c>
      <c r="C219" s="20">
        <f>IF(PaymentSchedule34[[#This Row],[PMT NO]]&lt;&gt;"",EOMONTH(LoanStartDate,ROW(PaymentSchedule34[[#This Row],[PMT NO]])-ROW(PaymentSchedule34[[#Headers],[PMT NO]])-2)+DAY(LoanStartDate),"")</f>
        <v>49949</v>
      </c>
      <c r="D219" s="19">
        <f>IF(PaymentSchedule34[[#This Row],[PMT NO]]&lt;&gt;"",IF(ROW()-ROW(PaymentSchedule34[[#Headers],[BEGINNING BALANCE]])=1,LoanAmount,INDEX(PaymentSchedule34[ENDING BALANCE],ROW()-ROW(PaymentSchedule34[[#Headers],[BEGINNING BALANCE]])-1)),"")</f>
        <v>1515928.9499474997</v>
      </c>
      <c r="E219" s="19">
        <f>IF(PaymentSchedule34[[#This Row],[PMT NO]]&lt;&gt;"",ScheduledPayment,"")</f>
        <v>8672.4039978858091</v>
      </c>
      <c r="F21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1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19" s="19">
        <f>IF(PaymentSchedule34[[#This Row],[PMT NO]]&lt;&gt;"",PaymentSchedule34[[#This Row],[TOTAL PAYMENT]]-PaymentSchedule34[[#This Row],[INTEREST]],"")</f>
        <v>3303.4889668217475</v>
      </c>
      <c r="I219" s="19">
        <f>IF(PaymentSchedule34[[#This Row],[PMT NO]]&lt;&gt;"",PaymentSchedule34[[#This Row],[BEGINNING BALANCE]]*(InterestRate/PaymentsPerYear),"")</f>
        <v>5368.9150310640616</v>
      </c>
      <c r="J21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1512625.460980678</v>
      </c>
      <c r="K219" s="19">
        <f>IF(PaymentSchedule34[[#This Row],[PMT NO]]&lt;&gt;"",SUM(INDEX(PaymentSchedule34[INTEREST],1,1):PaymentSchedule34[[#This Row],[INTEREST]]),"")</f>
        <v>1316485.4925409253</v>
      </c>
    </row>
    <row r="220" spans="2:11" x14ac:dyDescent="0.3">
      <c r="B220" s="21">
        <f>IF(LoanIsGood,IF(ROW()-ROW(PaymentSchedule34[[#Headers],[PMT NO]])&gt;ScheduledNumberOfPayments,"",ROW()-ROW(PaymentSchedule34[[#Headers],[PMT NO]])),"")</f>
        <v>209</v>
      </c>
      <c r="C220" s="20">
        <f>IF(PaymentSchedule34[[#This Row],[PMT NO]]&lt;&gt;"",EOMONTH(LoanStartDate,ROW(PaymentSchedule34[[#This Row],[PMT NO]])-ROW(PaymentSchedule34[[#Headers],[PMT NO]])-2)+DAY(LoanStartDate),"")</f>
        <v>49980</v>
      </c>
      <c r="D220" s="19">
        <f>IF(PaymentSchedule34[[#This Row],[PMT NO]]&lt;&gt;"",IF(ROW()-ROW(PaymentSchedule34[[#Headers],[BEGINNING BALANCE]])=1,LoanAmount,INDEX(PaymentSchedule34[ENDING BALANCE],ROW()-ROW(PaymentSchedule34[[#Headers],[BEGINNING BALANCE]])-1)),"")</f>
        <v>1512625.460980678</v>
      </c>
      <c r="E220" s="19">
        <f>IF(PaymentSchedule34[[#This Row],[PMT NO]]&lt;&gt;"",ScheduledPayment,"")</f>
        <v>8672.4039978858091</v>
      </c>
      <c r="F22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2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20" s="19">
        <f>IF(PaymentSchedule34[[#This Row],[PMT NO]]&lt;&gt;"",PaymentSchedule34[[#This Row],[TOTAL PAYMENT]]-PaymentSchedule34[[#This Row],[INTEREST]],"")</f>
        <v>3315.1888235792412</v>
      </c>
      <c r="I220" s="19">
        <f>IF(PaymentSchedule34[[#This Row],[PMT NO]]&lt;&gt;"",PaymentSchedule34[[#This Row],[BEGINNING BALANCE]]*(InterestRate/PaymentsPerYear),"")</f>
        <v>5357.2151743065679</v>
      </c>
      <c r="J22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1509310.2721570986</v>
      </c>
      <c r="K220" s="19">
        <f>IF(PaymentSchedule34[[#This Row],[PMT NO]]&lt;&gt;"",SUM(INDEX(PaymentSchedule34[INTEREST],1,1):PaymentSchedule34[[#This Row],[INTEREST]]),"")</f>
        <v>1321842.7077152319</v>
      </c>
    </row>
    <row r="221" spans="2:11" x14ac:dyDescent="0.3">
      <c r="B221" s="21">
        <f>IF(LoanIsGood,IF(ROW()-ROW(PaymentSchedule34[[#Headers],[PMT NO]])&gt;ScheduledNumberOfPayments,"",ROW()-ROW(PaymentSchedule34[[#Headers],[PMT NO]])),"")</f>
        <v>210</v>
      </c>
      <c r="C221" s="20">
        <f>IF(PaymentSchedule34[[#This Row],[PMT NO]]&lt;&gt;"",EOMONTH(LoanStartDate,ROW(PaymentSchedule34[[#This Row],[PMT NO]])-ROW(PaymentSchedule34[[#Headers],[PMT NO]])-2)+DAY(LoanStartDate),"")</f>
        <v>50010</v>
      </c>
      <c r="D221" s="19">
        <f>IF(PaymentSchedule34[[#This Row],[PMT NO]]&lt;&gt;"",IF(ROW()-ROW(PaymentSchedule34[[#Headers],[BEGINNING BALANCE]])=1,LoanAmount,INDEX(PaymentSchedule34[ENDING BALANCE],ROW()-ROW(PaymentSchedule34[[#Headers],[BEGINNING BALANCE]])-1)),"")</f>
        <v>1509310.2721570986</v>
      </c>
      <c r="E221" s="19">
        <f>IF(PaymentSchedule34[[#This Row],[PMT NO]]&lt;&gt;"",ScheduledPayment,"")</f>
        <v>8672.4039978858091</v>
      </c>
      <c r="F22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2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21" s="19">
        <f>IF(PaymentSchedule34[[#This Row],[PMT NO]]&lt;&gt;"",PaymentSchedule34[[#This Row],[TOTAL PAYMENT]]-PaymentSchedule34[[#This Row],[INTEREST]],"")</f>
        <v>3326.930117329418</v>
      </c>
      <c r="I221" s="19">
        <f>IF(PaymentSchedule34[[#This Row],[PMT NO]]&lt;&gt;"",PaymentSchedule34[[#This Row],[BEGINNING BALANCE]]*(InterestRate/PaymentsPerYear),"")</f>
        <v>5345.4738805563911</v>
      </c>
      <c r="J22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1505983.3420397693</v>
      </c>
      <c r="K221" s="19">
        <f>IF(PaymentSchedule34[[#This Row],[PMT NO]]&lt;&gt;"",SUM(INDEX(PaymentSchedule34[INTEREST],1,1):PaymentSchedule34[[#This Row],[INTEREST]]),"")</f>
        <v>1327188.1815957883</v>
      </c>
    </row>
    <row r="222" spans="2:11" x14ac:dyDescent="0.3">
      <c r="B222" s="21">
        <f>IF(LoanIsGood,IF(ROW()-ROW(PaymentSchedule34[[#Headers],[PMT NO]])&gt;ScheduledNumberOfPayments,"",ROW()-ROW(PaymentSchedule34[[#Headers],[PMT NO]])),"")</f>
        <v>211</v>
      </c>
      <c r="C222" s="20">
        <f>IF(PaymentSchedule34[[#This Row],[PMT NO]]&lt;&gt;"",EOMONTH(LoanStartDate,ROW(PaymentSchedule34[[#This Row],[PMT NO]])-ROW(PaymentSchedule34[[#Headers],[PMT NO]])-2)+DAY(LoanStartDate),"")</f>
        <v>50041</v>
      </c>
      <c r="D222" s="19">
        <f>IF(PaymentSchedule34[[#This Row],[PMT NO]]&lt;&gt;"",IF(ROW()-ROW(PaymentSchedule34[[#Headers],[BEGINNING BALANCE]])=1,LoanAmount,INDEX(PaymentSchedule34[ENDING BALANCE],ROW()-ROW(PaymentSchedule34[[#Headers],[BEGINNING BALANCE]])-1)),"")</f>
        <v>1505983.3420397693</v>
      </c>
      <c r="E222" s="19">
        <f>IF(PaymentSchedule34[[#This Row],[PMT NO]]&lt;&gt;"",ScheduledPayment,"")</f>
        <v>8672.4039978858091</v>
      </c>
      <c r="F22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2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22" s="19">
        <f>IF(PaymentSchedule34[[#This Row],[PMT NO]]&lt;&gt;"",PaymentSchedule34[[#This Row],[TOTAL PAYMENT]]-PaymentSchedule34[[#This Row],[INTEREST]],"")</f>
        <v>3338.7129948282927</v>
      </c>
      <c r="I222" s="19">
        <f>IF(PaymentSchedule34[[#This Row],[PMT NO]]&lt;&gt;"",PaymentSchedule34[[#This Row],[BEGINNING BALANCE]]*(InterestRate/PaymentsPerYear),"")</f>
        <v>5333.6910030575164</v>
      </c>
      <c r="J22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1502644.6290449409</v>
      </c>
      <c r="K222" s="19">
        <f>IF(PaymentSchedule34[[#This Row],[PMT NO]]&lt;&gt;"",SUM(INDEX(PaymentSchedule34[INTEREST],1,1):PaymentSchedule34[[#This Row],[INTEREST]]),"")</f>
        <v>1332521.8725988457</v>
      </c>
    </row>
    <row r="223" spans="2:11" x14ac:dyDescent="0.3">
      <c r="B223" s="21">
        <f>IF(LoanIsGood,IF(ROW()-ROW(PaymentSchedule34[[#Headers],[PMT NO]])&gt;ScheduledNumberOfPayments,"",ROW()-ROW(PaymentSchedule34[[#Headers],[PMT NO]])),"")</f>
        <v>212</v>
      </c>
      <c r="C223" s="20">
        <f>IF(PaymentSchedule34[[#This Row],[PMT NO]]&lt;&gt;"",EOMONTH(LoanStartDate,ROW(PaymentSchedule34[[#This Row],[PMT NO]])-ROW(PaymentSchedule34[[#Headers],[PMT NO]])-2)+DAY(LoanStartDate),"")</f>
        <v>50072</v>
      </c>
      <c r="D223" s="19">
        <f>IF(PaymentSchedule34[[#This Row],[PMT NO]]&lt;&gt;"",IF(ROW()-ROW(PaymentSchedule34[[#Headers],[BEGINNING BALANCE]])=1,LoanAmount,INDEX(PaymentSchedule34[ENDING BALANCE],ROW()-ROW(PaymentSchedule34[[#Headers],[BEGINNING BALANCE]])-1)),"")</f>
        <v>1502644.6290449409</v>
      </c>
      <c r="E223" s="19">
        <f>IF(PaymentSchedule34[[#This Row],[PMT NO]]&lt;&gt;"",ScheduledPayment,"")</f>
        <v>8672.4039978858091</v>
      </c>
      <c r="F22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2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23" s="19">
        <f>IF(PaymentSchedule34[[#This Row],[PMT NO]]&lt;&gt;"",PaymentSchedule34[[#This Row],[TOTAL PAYMENT]]-PaymentSchedule34[[#This Row],[INTEREST]],"")</f>
        <v>3350.5376033516432</v>
      </c>
      <c r="I223" s="19">
        <f>IF(PaymentSchedule34[[#This Row],[PMT NO]]&lt;&gt;"",PaymentSchedule34[[#This Row],[BEGINNING BALANCE]]*(InterestRate/PaymentsPerYear),"")</f>
        <v>5321.8663945341659</v>
      </c>
      <c r="J22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1499294.0914415892</v>
      </c>
      <c r="K223" s="19">
        <f>IF(PaymentSchedule34[[#This Row],[PMT NO]]&lt;&gt;"",SUM(INDEX(PaymentSchedule34[INTEREST],1,1):PaymentSchedule34[[#This Row],[INTEREST]]),"")</f>
        <v>1337843.73899338</v>
      </c>
    </row>
    <row r="224" spans="2:11" x14ac:dyDescent="0.3">
      <c r="B224" s="21">
        <f>IF(LoanIsGood,IF(ROW()-ROW(PaymentSchedule34[[#Headers],[PMT NO]])&gt;ScheduledNumberOfPayments,"",ROW()-ROW(PaymentSchedule34[[#Headers],[PMT NO]])),"")</f>
        <v>213</v>
      </c>
      <c r="C224" s="20">
        <f>IF(PaymentSchedule34[[#This Row],[PMT NO]]&lt;&gt;"",EOMONTH(LoanStartDate,ROW(PaymentSchedule34[[#This Row],[PMT NO]])-ROW(PaymentSchedule34[[#Headers],[PMT NO]])-2)+DAY(LoanStartDate),"")</f>
        <v>50100</v>
      </c>
      <c r="D224" s="19">
        <f>IF(PaymentSchedule34[[#This Row],[PMT NO]]&lt;&gt;"",IF(ROW()-ROW(PaymentSchedule34[[#Headers],[BEGINNING BALANCE]])=1,LoanAmount,INDEX(PaymentSchedule34[ENDING BALANCE],ROW()-ROW(PaymentSchedule34[[#Headers],[BEGINNING BALANCE]])-1)),"")</f>
        <v>1499294.0914415892</v>
      </c>
      <c r="E224" s="19">
        <f>IF(PaymentSchedule34[[#This Row],[PMT NO]]&lt;&gt;"",ScheduledPayment,"")</f>
        <v>8672.4039978858091</v>
      </c>
      <c r="F22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2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24" s="19">
        <f>IF(PaymentSchedule34[[#This Row],[PMT NO]]&lt;&gt;"",PaymentSchedule34[[#This Row],[TOTAL PAYMENT]]-PaymentSchedule34[[#This Row],[INTEREST]],"")</f>
        <v>3362.4040906968467</v>
      </c>
      <c r="I224" s="19">
        <f>IF(PaymentSchedule34[[#This Row],[PMT NO]]&lt;&gt;"",PaymentSchedule34[[#This Row],[BEGINNING BALANCE]]*(InterestRate/PaymentsPerYear),"")</f>
        <v>5309.9999071889624</v>
      </c>
      <c r="J22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1495931.6873508922</v>
      </c>
      <c r="K224" s="19">
        <f>IF(PaymentSchedule34[[#This Row],[PMT NO]]&lt;&gt;"",SUM(INDEX(PaymentSchedule34[INTEREST],1,1):PaymentSchedule34[[#This Row],[INTEREST]]),"")</f>
        <v>1343153.738900569</v>
      </c>
    </row>
    <row r="225" spans="2:11" x14ac:dyDescent="0.3">
      <c r="B225" s="21">
        <f>IF(LoanIsGood,IF(ROW()-ROW(PaymentSchedule34[[#Headers],[PMT NO]])&gt;ScheduledNumberOfPayments,"",ROW()-ROW(PaymentSchedule34[[#Headers],[PMT NO]])),"")</f>
        <v>214</v>
      </c>
      <c r="C225" s="20">
        <f>IF(PaymentSchedule34[[#This Row],[PMT NO]]&lt;&gt;"",EOMONTH(LoanStartDate,ROW(PaymentSchedule34[[#This Row],[PMT NO]])-ROW(PaymentSchedule34[[#Headers],[PMT NO]])-2)+DAY(LoanStartDate),"")</f>
        <v>50131</v>
      </c>
      <c r="D225" s="19">
        <f>IF(PaymentSchedule34[[#This Row],[PMT NO]]&lt;&gt;"",IF(ROW()-ROW(PaymentSchedule34[[#Headers],[BEGINNING BALANCE]])=1,LoanAmount,INDEX(PaymentSchedule34[ENDING BALANCE],ROW()-ROW(PaymentSchedule34[[#Headers],[BEGINNING BALANCE]])-1)),"")</f>
        <v>1495931.6873508922</v>
      </c>
      <c r="E225" s="19">
        <f>IF(PaymentSchedule34[[#This Row],[PMT NO]]&lt;&gt;"",ScheduledPayment,"")</f>
        <v>8672.4039978858091</v>
      </c>
      <c r="F22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2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25" s="19">
        <f>IF(PaymentSchedule34[[#This Row],[PMT NO]]&lt;&gt;"",PaymentSchedule34[[#This Row],[TOTAL PAYMENT]]-PaymentSchedule34[[#This Row],[INTEREST]],"")</f>
        <v>3374.3126051847321</v>
      </c>
      <c r="I225" s="19">
        <f>IF(PaymentSchedule34[[#This Row],[PMT NO]]&lt;&gt;"",PaymentSchedule34[[#This Row],[BEGINNING BALANCE]]*(InterestRate/PaymentsPerYear),"")</f>
        <v>5298.091392701077</v>
      </c>
      <c r="J22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1492557.3747457075</v>
      </c>
      <c r="K225" s="19">
        <f>IF(PaymentSchedule34[[#This Row],[PMT NO]]&lt;&gt;"",SUM(INDEX(PaymentSchedule34[INTEREST],1,1):PaymentSchedule34[[#This Row],[INTEREST]]),"")</f>
        <v>1348451.8302932701</v>
      </c>
    </row>
    <row r="226" spans="2:11" x14ac:dyDescent="0.3">
      <c r="B226" s="21">
        <f>IF(LoanIsGood,IF(ROW()-ROW(PaymentSchedule34[[#Headers],[PMT NO]])&gt;ScheduledNumberOfPayments,"",ROW()-ROW(PaymentSchedule34[[#Headers],[PMT NO]])),"")</f>
        <v>215</v>
      </c>
      <c r="C226" s="20">
        <f>IF(PaymentSchedule34[[#This Row],[PMT NO]]&lt;&gt;"",EOMONTH(LoanStartDate,ROW(PaymentSchedule34[[#This Row],[PMT NO]])-ROW(PaymentSchedule34[[#Headers],[PMT NO]])-2)+DAY(LoanStartDate),"")</f>
        <v>50161</v>
      </c>
      <c r="D226" s="19">
        <f>IF(PaymentSchedule34[[#This Row],[PMT NO]]&lt;&gt;"",IF(ROW()-ROW(PaymentSchedule34[[#Headers],[BEGINNING BALANCE]])=1,LoanAmount,INDEX(PaymentSchedule34[ENDING BALANCE],ROW()-ROW(PaymentSchedule34[[#Headers],[BEGINNING BALANCE]])-1)),"")</f>
        <v>1492557.3747457075</v>
      </c>
      <c r="E226" s="19">
        <f>IF(PaymentSchedule34[[#This Row],[PMT NO]]&lt;&gt;"",ScheduledPayment,"")</f>
        <v>8672.4039978858091</v>
      </c>
      <c r="F22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2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26" s="19">
        <f>IF(PaymentSchedule34[[#This Row],[PMT NO]]&lt;&gt;"",PaymentSchedule34[[#This Row],[TOTAL PAYMENT]]-PaymentSchedule34[[#This Row],[INTEREST]],"")</f>
        <v>3386.2632956614279</v>
      </c>
      <c r="I226" s="19">
        <f>IF(PaymentSchedule34[[#This Row],[PMT NO]]&lt;&gt;"",PaymentSchedule34[[#This Row],[BEGINNING BALANCE]]*(InterestRate/PaymentsPerYear),"")</f>
        <v>5286.1407022243811</v>
      </c>
      <c r="J22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1489171.1114500461</v>
      </c>
      <c r="K226" s="19">
        <f>IF(PaymentSchedule34[[#This Row],[PMT NO]]&lt;&gt;"",SUM(INDEX(PaymentSchedule34[INTEREST],1,1):PaymentSchedule34[[#This Row],[INTEREST]]),"")</f>
        <v>1353737.9709954944</v>
      </c>
    </row>
    <row r="227" spans="2:11" x14ac:dyDescent="0.3">
      <c r="B227" s="21">
        <f>IF(LoanIsGood,IF(ROW()-ROW(PaymentSchedule34[[#Headers],[PMT NO]])&gt;ScheduledNumberOfPayments,"",ROW()-ROW(PaymentSchedule34[[#Headers],[PMT NO]])),"")</f>
        <v>216</v>
      </c>
      <c r="C227" s="20">
        <f>IF(PaymentSchedule34[[#This Row],[PMT NO]]&lt;&gt;"",EOMONTH(LoanStartDate,ROW(PaymentSchedule34[[#This Row],[PMT NO]])-ROW(PaymentSchedule34[[#Headers],[PMT NO]])-2)+DAY(LoanStartDate),"")</f>
        <v>50192</v>
      </c>
      <c r="D227" s="19">
        <f>IF(PaymentSchedule34[[#This Row],[PMT NO]]&lt;&gt;"",IF(ROW()-ROW(PaymentSchedule34[[#Headers],[BEGINNING BALANCE]])=1,LoanAmount,INDEX(PaymentSchedule34[ENDING BALANCE],ROW()-ROW(PaymentSchedule34[[#Headers],[BEGINNING BALANCE]])-1)),"")</f>
        <v>1489171.1114500461</v>
      </c>
      <c r="E227" s="19">
        <f>IF(PaymentSchedule34[[#This Row],[PMT NO]]&lt;&gt;"",ScheduledPayment,"")</f>
        <v>8672.4039978858091</v>
      </c>
      <c r="F22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2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27" s="19">
        <f>IF(PaymentSchedule34[[#This Row],[PMT NO]]&lt;&gt;"",PaymentSchedule34[[#This Row],[TOTAL PAYMENT]]-PaymentSchedule34[[#This Row],[INTEREST]],"")</f>
        <v>3398.2563115002285</v>
      </c>
      <c r="I227" s="19">
        <f>IF(PaymentSchedule34[[#This Row],[PMT NO]]&lt;&gt;"",PaymentSchedule34[[#This Row],[BEGINNING BALANCE]]*(InterestRate/PaymentsPerYear),"")</f>
        <v>5274.1476863855805</v>
      </c>
      <c r="J22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1485772.8551385459</v>
      </c>
      <c r="K227" s="19">
        <f>IF(PaymentSchedule34[[#This Row],[PMT NO]]&lt;&gt;"",SUM(INDEX(PaymentSchedule34[INTEREST],1,1):PaymentSchedule34[[#This Row],[INTEREST]]),"")</f>
        <v>1359012.1186818799</v>
      </c>
    </row>
    <row r="228" spans="2:11" x14ac:dyDescent="0.3">
      <c r="B228" s="21">
        <f>IF(LoanIsGood,IF(ROW()-ROW(PaymentSchedule34[[#Headers],[PMT NO]])&gt;ScheduledNumberOfPayments,"",ROW()-ROW(PaymentSchedule34[[#Headers],[PMT NO]])),"")</f>
        <v>217</v>
      </c>
      <c r="C228" s="20">
        <f>IF(PaymentSchedule34[[#This Row],[PMT NO]]&lt;&gt;"",EOMONTH(LoanStartDate,ROW(PaymentSchedule34[[#This Row],[PMT NO]])-ROW(PaymentSchedule34[[#Headers],[PMT NO]])-2)+DAY(LoanStartDate),"")</f>
        <v>50222</v>
      </c>
      <c r="D228" s="19">
        <f>IF(PaymentSchedule34[[#This Row],[PMT NO]]&lt;&gt;"",IF(ROW()-ROW(PaymentSchedule34[[#Headers],[BEGINNING BALANCE]])=1,LoanAmount,INDEX(PaymentSchedule34[ENDING BALANCE],ROW()-ROW(PaymentSchedule34[[#Headers],[BEGINNING BALANCE]])-1)),"")</f>
        <v>1485772.8551385459</v>
      </c>
      <c r="E228" s="19">
        <f>IF(PaymentSchedule34[[#This Row],[PMT NO]]&lt;&gt;"",ScheduledPayment,"")</f>
        <v>8672.4039978858091</v>
      </c>
      <c r="F22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2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28" s="19">
        <f>IF(PaymentSchedule34[[#This Row],[PMT NO]]&lt;&gt;"",PaymentSchedule34[[#This Row],[TOTAL PAYMENT]]-PaymentSchedule34[[#This Row],[INTEREST]],"")</f>
        <v>3410.2918026034586</v>
      </c>
      <c r="I228" s="19">
        <f>IF(PaymentSchedule34[[#This Row],[PMT NO]]&lt;&gt;"",PaymentSchedule34[[#This Row],[BEGINNING BALANCE]]*(InterestRate/PaymentsPerYear),"")</f>
        <v>5262.1121952823505</v>
      </c>
      <c r="J22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1482362.5633359423</v>
      </c>
      <c r="K228" s="19">
        <f>IF(PaymentSchedule34[[#This Row],[PMT NO]]&lt;&gt;"",SUM(INDEX(PaymentSchedule34[INTEREST],1,1):PaymentSchedule34[[#This Row],[INTEREST]]),"")</f>
        <v>1364274.2308771622</v>
      </c>
    </row>
    <row r="229" spans="2:11" x14ac:dyDescent="0.3">
      <c r="B229" s="21">
        <f>IF(LoanIsGood,IF(ROW()-ROW(PaymentSchedule34[[#Headers],[PMT NO]])&gt;ScheduledNumberOfPayments,"",ROW()-ROW(PaymentSchedule34[[#Headers],[PMT NO]])),"")</f>
        <v>218</v>
      </c>
      <c r="C229" s="20">
        <f>IF(PaymentSchedule34[[#This Row],[PMT NO]]&lt;&gt;"",EOMONTH(LoanStartDate,ROW(PaymentSchedule34[[#This Row],[PMT NO]])-ROW(PaymentSchedule34[[#Headers],[PMT NO]])-2)+DAY(LoanStartDate),"")</f>
        <v>50253</v>
      </c>
      <c r="D229" s="19">
        <f>IF(PaymentSchedule34[[#This Row],[PMT NO]]&lt;&gt;"",IF(ROW()-ROW(PaymentSchedule34[[#Headers],[BEGINNING BALANCE]])=1,LoanAmount,INDEX(PaymentSchedule34[ENDING BALANCE],ROW()-ROW(PaymentSchedule34[[#Headers],[BEGINNING BALANCE]])-1)),"")</f>
        <v>1482362.5633359423</v>
      </c>
      <c r="E229" s="19">
        <f>IF(PaymentSchedule34[[#This Row],[PMT NO]]&lt;&gt;"",ScheduledPayment,"")</f>
        <v>8672.4039978858091</v>
      </c>
      <c r="F22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2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29" s="19">
        <f>IF(PaymentSchedule34[[#This Row],[PMT NO]]&lt;&gt;"",PaymentSchedule34[[#This Row],[TOTAL PAYMENT]]-PaymentSchedule34[[#This Row],[INTEREST]],"")</f>
        <v>3422.3699194043465</v>
      </c>
      <c r="I229" s="19">
        <f>IF(PaymentSchedule34[[#This Row],[PMT NO]]&lt;&gt;"",PaymentSchedule34[[#This Row],[BEGINNING BALANCE]]*(InterestRate/PaymentsPerYear),"")</f>
        <v>5250.0340784814625</v>
      </c>
      <c r="J22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1478940.1934165379</v>
      </c>
      <c r="K229" s="19">
        <f>IF(PaymentSchedule34[[#This Row],[PMT NO]]&lt;&gt;"",SUM(INDEX(PaymentSchedule34[INTEREST],1,1):PaymentSchedule34[[#This Row],[INTEREST]]),"")</f>
        <v>1369524.2649556436</v>
      </c>
    </row>
    <row r="230" spans="2:11" x14ac:dyDescent="0.3">
      <c r="B230" s="21">
        <f>IF(LoanIsGood,IF(ROW()-ROW(PaymentSchedule34[[#Headers],[PMT NO]])&gt;ScheduledNumberOfPayments,"",ROW()-ROW(PaymentSchedule34[[#Headers],[PMT NO]])),"")</f>
        <v>219</v>
      </c>
      <c r="C230" s="20">
        <f>IF(PaymentSchedule34[[#This Row],[PMT NO]]&lt;&gt;"",EOMONTH(LoanStartDate,ROW(PaymentSchedule34[[#This Row],[PMT NO]])-ROW(PaymentSchedule34[[#Headers],[PMT NO]])-2)+DAY(LoanStartDate),"")</f>
        <v>50284</v>
      </c>
      <c r="D230" s="19">
        <f>IF(PaymentSchedule34[[#This Row],[PMT NO]]&lt;&gt;"",IF(ROW()-ROW(PaymentSchedule34[[#Headers],[BEGINNING BALANCE]])=1,LoanAmount,INDEX(PaymentSchedule34[ENDING BALANCE],ROW()-ROW(PaymentSchedule34[[#Headers],[BEGINNING BALANCE]])-1)),"")</f>
        <v>1478940.1934165379</v>
      </c>
      <c r="E230" s="19">
        <f>IF(PaymentSchedule34[[#This Row],[PMT NO]]&lt;&gt;"",ScheduledPayment,"")</f>
        <v>8672.4039978858091</v>
      </c>
      <c r="F23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3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30" s="19">
        <f>IF(PaymentSchedule34[[#This Row],[PMT NO]]&lt;&gt;"",PaymentSchedule34[[#This Row],[TOTAL PAYMENT]]-PaymentSchedule34[[#This Row],[INTEREST]],"")</f>
        <v>3434.490812868903</v>
      </c>
      <c r="I230" s="19">
        <f>IF(PaymentSchedule34[[#This Row],[PMT NO]]&lt;&gt;"",PaymentSchedule34[[#This Row],[BEGINNING BALANCE]]*(InterestRate/PaymentsPerYear),"")</f>
        <v>5237.913185016906</v>
      </c>
      <c r="J23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1475505.7026036691</v>
      </c>
      <c r="K230" s="19">
        <f>IF(PaymentSchedule34[[#This Row],[PMT NO]]&lt;&gt;"",SUM(INDEX(PaymentSchedule34[INTEREST],1,1):PaymentSchedule34[[#This Row],[INTEREST]]),"")</f>
        <v>1374762.1781406605</v>
      </c>
    </row>
    <row r="231" spans="2:11" x14ac:dyDescent="0.3">
      <c r="B231" s="21">
        <f>IF(LoanIsGood,IF(ROW()-ROW(PaymentSchedule34[[#Headers],[PMT NO]])&gt;ScheduledNumberOfPayments,"",ROW()-ROW(PaymentSchedule34[[#Headers],[PMT NO]])),"")</f>
        <v>220</v>
      </c>
      <c r="C231" s="20">
        <f>IF(PaymentSchedule34[[#This Row],[PMT NO]]&lt;&gt;"",EOMONTH(LoanStartDate,ROW(PaymentSchedule34[[#This Row],[PMT NO]])-ROW(PaymentSchedule34[[#Headers],[PMT NO]])-2)+DAY(LoanStartDate),"")</f>
        <v>50314</v>
      </c>
      <c r="D231" s="19">
        <f>IF(PaymentSchedule34[[#This Row],[PMT NO]]&lt;&gt;"",IF(ROW()-ROW(PaymentSchedule34[[#Headers],[BEGINNING BALANCE]])=1,LoanAmount,INDEX(PaymentSchedule34[ENDING BALANCE],ROW()-ROW(PaymentSchedule34[[#Headers],[BEGINNING BALANCE]])-1)),"")</f>
        <v>1475505.7026036691</v>
      </c>
      <c r="E231" s="19">
        <f>IF(PaymentSchedule34[[#This Row],[PMT NO]]&lt;&gt;"",ScheduledPayment,"")</f>
        <v>8672.4039978858091</v>
      </c>
      <c r="F23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3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31" s="19">
        <f>IF(PaymentSchedule34[[#This Row],[PMT NO]]&lt;&gt;"",PaymentSchedule34[[#This Row],[TOTAL PAYMENT]]-PaymentSchedule34[[#This Row],[INTEREST]],"")</f>
        <v>3446.6546344978142</v>
      </c>
      <c r="I231" s="19">
        <f>IF(PaymentSchedule34[[#This Row],[PMT NO]]&lt;&gt;"",PaymentSchedule34[[#This Row],[BEGINNING BALANCE]]*(InterestRate/PaymentsPerYear),"")</f>
        <v>5225.7493633879949</v>
      </c>
      <c r="J23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1472059.0479691713</v>
      </c>
      <c r="K231" s="19">
        <f>IF(PaymentSchedule34[[#This Row],[PMT NO]]&lt;&gt;"",SUM(INDEX(PaymentSchedule34[INTEREST],1,1):PaymentSchedule34[[#This Row],[INTEREST]]),"")</f>
        <v>1379987.9275040484</v>
      </c>
    </row>
    <row r="232" spans="2:11" x14ac:dyDescent="0.3">
      <c r="B232" s="21">
        <f>IF(LoanIsGood,IF(ROW()-ROW(PaymentSchedule34[[#Headers],[PMT NO]])&gt;ScheduledNumberOfPayments,"",ROW()-ROW(PaymentSchedule34[[#Headers],[PMT NO]])),"")</f>
        <v>221</v>
      </c>
      <c r="C232" s="20">
        <f>IF(PaymentSchedule34[[#This Row],[PMT NO]]&lt;&gt;"",EOMONTH(LoanStartDate,ROW(PaymentSchedule34[[#This Row],[PMT NO]])-ROW(PaymentSchedule34[[#Headers],[PMT NO]])-2)+DAY(LoanStartDate),"")</f>
        <v>50345</v>
      </c>
      <c r="D232" s="19">
        <f>IF(PaymentSchedule34[[#This Row],[PMT NO]]&lt;&gt;"",IF(ROW()-ROW(PaymentSchedule34[[#Headers],[BEGINNING BALANCE]])=1,LoanAmount,INDEX(PaymentSchedule34[ENDING BALANCE],ROW()-ROW(PaymentSchedule34[[#Headers],[BEGINNING BALANCE]])-1)),"")</f>
        <v>1472059.0479691713</v>
      </c>
      <c r="E232" s="19">
        <f>IF(PaymentSchedule34[[#This Row],[PMT NO]]&lt;&gt;"",ScheduledPayment,"")</f>
        <v>8672.4039978858091</v>
      </c>
      <c r="F23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3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32" s="19">
        <f>IF(PaymentSchedule34[[#This Row],[PMT NO]]&lt;&gt;"",PaymentSchedule34[[#This Row],[TOTAL PAYMENT]]-PaymentSchedule34[[#This Row],[INTEREST]],"")</f>
        <v>3458.861536328327</v>
      </c>
      <c r="I232" s="19">
        <f>IF(PaymentSchedule34[[#This Row],[PMT NO]]&lt;&gt;"",PaymentSchedule34[[#This Row],[BEGINNING BALANCE]]*(InterestRate/PaymentsPerYear),"")</f>
        <v>5213.5424615574821</v>
      </c>
      <c r="J23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1468600.1864328431</v>
      </c>
      <c r="K232" s="19">
        <f>IF(PaymentSchedule34[[#This Row],[PMT NO]]&lt;&gt;"",SUM(INDEX(PaymentSchedule34[INTEREST],1,1):PaymentSchedule34[[#This Row],[INTEREST]]),"")</f>
        <v>1385201.469965606</v>
      </c>
    </row>
    <row r="233" spans="2:11" x14ac:dyDescent="0.3">
      <c r="B233" s="21">
        <f>IF(LoanIsGood,IF(ROW()-ROW(PaymentSchedule34[[#Headers],[PMT NO]])&gt;ScheduledNumberOfPayments,"",ROW()-ROW(PaymentSchedule34[[#Headers],[PMT NO]])),"")</f>
        <v>222</v>
      </c>
      <c r="C233" s="20">
        <f>IF(PaymentSchedule34[[#This Row],[PMT NO]]&lt;&gt;"",EOMONTH(LoanStartDate,ROW(PaymentSchedule34[[#This Row],[PMT NO]])-ROW(PaymentSchedule34[[#Headers],[PMT NO]])-2)+DAY(LoanStartDate),"")</f>
        <v>50375</v>
      </c>
      <c r="D233" s="19">
        <f>IF(PaymentSchedule34[[#This Row],[PMT NO]]&lt;&gt;"",IF(ROW()-ROW(PaymentSchedule34[[#Headers],[BEGINNING BALANCE]])=1,LoanAmount,INDEX(PaymentSchedule34[ENDING BALANCE],ROW()-ROW(PaymentSchedule34[[#Headers],[BEGINNING BALANCE]])-1)),"")</f>
        <v>1468600.1864328431</v>
      </c>
      <c r="E233" s="19">
        <f>IF(PaymentSchedule34[[#This Row],[PMT NO]]&lt;&gt;"",ScheduledPayment,"")</f>
        <v>8672.4039978858091</v>
      </c>
      <c r="F23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3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33" s="19">
        <f>IF(PaymentSchedule34[[#This Row],[PMT NO]]&lt;&gt;"",PaymentSchedule34[[#This Row],[TOTAL PAYMENT]]-PaymentSchedule34[[#This Row],[INTEREST]],"")</f>
        <v>3471.1116709361559</v>
      </c>
      <c r="I233" s="19">
        <f>IF(PaymentSchedule34[[#This Row],[PMT NO]]&lt;&gt;"",PaymentSchedule34[[#This Row],[BEGINNING BALANCE]]*(InterestRate/PaymentsPerYear),"")</f>
        <v>5201.2923269496532</v>
      </c>
      <c r="J23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1465129.0747619069</v>
      </c>
      <c r="K233" s="19">
        <f>IF(PaymentSchedule34[[#This Row],[PMT NO]]&lt;&gt;"",SUM(INDEX(PaymentSchedule34[INTEREST],1,1):PaymentSchedule34[[#This Row],[INTEREST]]),"")</f>
        <v>1390402.7622925555</v>
      </c>
    </row>
    <row r="234" spans="2:11" x14ac:dyDescent="0.3">
      <c r="B234" s="21">
        <f>IF(LoanIsGood,IF(ROW()-ROW(PaymentSchedule34[[#Headers],[PMT NO]])&gt;ScheduledNumberOfPayments,"",ROW()-ROW(PaymentSchedule34[[#Headers],[PMT NO]])),"")</f>
        <v>223</v>
      </c>
      <c r="C234" s="20">
        <f>IF(PaymentSchedule34[[#This Row],[PMT NO]]&lt;&gt;"",EOMONTH(LoanStartDate,ROW(PaymentSchedule34[[#This Row],[PMT NO]])-ROW(PaymentSchedule34[[#Headers],[PMT NO]])-2)+DAY(LoanStartDate),"")</f>
        <v>50406</v>
      </c>
      <c r="D234" s="19">
        <f>IF(PaymentSchedule34[[#This Row],[PMT NO]]&lt;&gt;"",IF(ROW()-ROW(PaymentSchedule34[[#Headers],[BEGINNING BALANCE]])=1,LoanAmount,INDEX(PaymentSchedule34[ENDING BALANCE],ROW()-ROW(PaymentSchedule34[[#Headers],[BEGINNING BALANCE]])-1)),"")</f>
        <v>1465129.0747619069</v>
      </c>
      <c r="E234" s="19">
        <f>IF(PaymentSchedule34[[#This Row],[PMT NO]]&lt;&gt;"",ScheduledPayment,"")</f>
        <v>8672.4039978858091</v>
      </c>
      <c r="F23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3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34" s="19">
        <f>IF(PaymentSchedule34[[#This Row],[PMT NO]]&lt;&gt;"",PaymentSchedule34[[#This Row],[TOTAL PAYMENT]]-PaymentSchedule34[[#This Row],[INTEREST]],"")</f>
        <v>3483.4051914373886</v>
      </c>
      <c r="I234" s="19">
        <f>IF(PaymentSchedule34[[#This Row],[PMT NO]]&lt;&gt;"",PaymentSchedule34[[#This Row],[BEGINNING BALANCE]]*(InterestRate/PaymentsPerYear),"")</f>
        <v>5188.9988064484205</v>
      </c>
      <c r="J23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1461645.6695704695</v>
      </c>
      <c r="K234" s="19">
        <f>IF(PaymentSchedule34[[#This Row],[PMT NO]]&lt;&gt;"",SUM(INDEX(PaymentSchedule34[INTEREST],1,1):PaymentSchedule34[[#This Row],[INTEREST]]),"")</f>
        <v>1395591.761099004</v>
      </c>
    </row>
    <row r="235" spans="2:11" x14ac:dyDescent="0.3">
      <c r="B235" s="21">
        <f>IF(LoanIsGood,IF(ROW()-ROW(PaymentSchedule34[[#Headers],[PMT NO]])&gt;ScheduledNumberOfPayments,"",ROW()-ROW(PaymentSchedule34[[#Headers],[PMT NO]])),"")</f>
        <v>224</v>
      </c>
      <c r="C235" s="20">
        <f>IF(PaymentSchedule34[[#This Row],[PMT NO]]&lt;&gt;"",EOMONTH(LoanStartDate,ROW(PaymentSchedule34[[#This Row],[PMT NO]])-ROW(PaymentSchedule34[[#Headers],[PMT NO]])-2)+DAY(LoanStartDate),"")</f>
        <v>50437</v>
      </c>
      <c r="D235" s="19">
        <f>IF(PaymentSchedule34[[#This Row],[PMT NO]]&lt;&gt;"",IF(ROW()-ROW(PaymentSchedule34[[#Headers],[BEGINNING BALANCE]])=1,LoanAmount,INDEX(PaymentSchedule34[ENDING BALANCE],ROW()-ROW(PaymentSchedule34[[#Headers],[BEGINNING BALANCE]])-1)),"")</f>
        <v>1461645.6695704695</v>
      </c>
      <c r="E235" s="19">
        <f>IF(PaymentSchedule34[[#This Row],[PMT NO]]&lt;&gt;"",ScheduledPayment,"")</f>
        <v>8672.4039978858091</v>
      </c>
      <c r="F23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3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35" s="19">
        <f>IF(PaymentSchedule34[[#This Row],[PMT NO]]&lt;&gt;"",PaymentSchedule34[[#This Row],[TOTAL PAYMENT]]-PaymentSchedule34[[#This Row],[INTEREST]],"")</f>
        <v>3495.7422514903956</v>
      </c>
      <c r="I235" s="19">
        <f>IF(PaymentSchedule34[[#This Row],[PMT NO]]&lt;&gt;"",PaymentSchedule34[[#This Row],[BEGINNING BALANCE]]*(InterestRate/PaymentsPerYear),"")</f>
        <v>5176.6617463954135</v>
      </c>
      <c r="J23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1458149.9273189791</v>
      </c>
      <c r="K235" s="19">
        <f>IF(PaymentSchedule34[[#This Row],[PMT NO]]&lt;&gt;"",SUM(INDEX(PaymentSchedule34[INTEREST],1,1):PaymentSchedule34[[#This Row],[INTEREST]]),"")</f>
        <v>1400768.4228453995</v>
      </c>
    </row>
    <row r="236" spans="2:11" x14ac:dyDescent="0.3">
      <c r="B236" s="21">
        <f>IF(LoanIsGood,IF(ROW()-ROW(PaymentSchedule34[[#Headers],[PMT NO]])&gt;ScheduledNumberOfPayments,"",ROW()-ROW(PaymentSchedule34[[#Headers],[PMT NO]])),"")</f>
        <v>225</v>
      </c>
      <c r="C236" s="20">
        <f>IF(PaymentSchedule34[[#This Row],[PMT NO]]&lt;&gt;"",EOMONTH(LoanStartDate,ROW(PaymentSchedule34[[#This Row],[PMT NO]])-ROW(PaymentSchedule34[[#Headers],[PMT NO]])-2)+DAY(LoanStartDate),"")</f>
        <v>50465</v>
      </c>
      <c r="D236" s="19">
        <f>IF(PaymentSchedule34[[#This Row],[PMT NO]]&lt;&gt;"",IF(ROW()-ROW(PaymentSchedule34[[#Headers],[BEGINNING BALANCE]])=1,LoanAmount,INDEX(PaymentSchedule34[ENDING BALANCE],ROW()-ROW(PaymentSchedule34[[#Headers],[BEGINNING BALANCE]])-1)),"")</f>
        <v>1458149.9273189791</v>
      </c>
      <c r="E236" s="19">
        <f>IF(PaymentSchedule34[[#This Row],[PMT NO]]&lt;&gt;"",ScheduledPayment,"")</f>
        <v>8672.4039978858091</v>
      </c>
      <c r="F23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3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36" s="19">
        <f>IF(PaymentSchedule34[[#This Row],[PMT NO]]&lt;&gt;"",PaymentSchedule34[[#This Row],[TOTAL PAYMENT]]-PaymentSchedule34[[#This Row],[INTEREST]],"")</f>
        <v>3508.123005297758</v>
      </c>
      <c r="I236" s="19">
        <f>IF(PaymentSchedule34[[#This Row],[PMT NO]]&lt;&gt;"",PaymentSchedule34[[#This Row],[BEGINNING BALANCE]]*(InterestRate/PaymentsPerYear),"")</f>
        <v>5164.280992588051</v>
      </c>
      <c r="J23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1454641.8043136813</v>
      </c>
      <c r="K236" s="19">
        <f>IF(PaymentSchedule34[[#This Row],[PMT NO]]&lt;&gt;"",SUM(INDEX(PaymentSchedule34[INTEREST],1,1):PaymentSchedule34[[#This Row],[INTEREST]]),"")</f>
        <v>1405932.7038379875</v>
      </c>
    </row>
    <row r="237" spans="2:11" x14ac:dyDescent="0.3">
      <c r="B237" s="21">
        <f>IF(LoanIsGood,IF(ROW()-ROW(PaymentSchedule34[[#Headers],[PMT NO]])&gt;ScheduledNumberOfPayments,"",ROW()-ROW(PaymentSchedule34[[#Headers],[PMT NO]])),"")</f>
        <v>226</v>
      </c>
      <c r="C237" s="20">
        <f>IF(PaymentSchedule34[[#This Row],[PMT NO]]&lt;&gt;"",EOMONTH(LoanStartDate,ROW(PaymentSchedule34[[#This Row],[PMT NO]])-ROW(PaymentSchedule34[[#Headers],[PMT NO]])-2)+DAY(LoanStartDate),"")</f>
        <v>50496</v>
      </c>
      <c r="D237" s="19">
        <f>IF(PaymentSchedule34[[#This Row],[PMT NO]]&lt;&gt;"",IF(ROW()-ROW(PaymentSchedule34[[#Headers],[BEGINNING BALANCE]])=1,LoanAmount,INDEX(PaymentSchedule34[ENDING BALANCE],ROW()-ROW(PaymentSchedule34[[#Headers],[BEGINNING BALANCE]])-1)),"")</f>
        <v>1454641.8043136813</v>
      </c>
      <c r="E237" s="19">
        <f>IF(PaymentSchedule34[[#This Row],[PMT NO]]&lt;&gt;"",ScheduledPayment,"")</f>
        <v>8672.4039978858091</v>
      </c>
      <c r="F23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3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37" s="19">
        <f>IF(PaymentSchedule34[[#This Row],[PMT NO]]&lt;&gt;"",PaymentSchedule34[[#This Row],[TOTAL PAYMENT]]-PaymentSchedule34[[#This Row],[INTEREST]],"")</f>
        <v>3520.5476076081877</v>
      </c>
      <c r="I237" s="19">
        <f>IF(PaymentSchedule34[[#This Row],[PMT NO]]&lt;&gt;"",PaymentSchedule34[[#This Row],[BEGINNING BALANCE]]*(InterestRate/PaymentsPerYear),"")</f>
        <v>5151.8563902776214</v>
      </c>
      <c r="J23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1451121.2567060732</v>
      </c>
      <c r="K237" s="19">
        <f>IF(PaymentSchedule34[[#This Row],[PMT NO]]&lt;&gt;"",SUM(INDEX(PaymentSchedule34[INTEREST],1,1):PaymentSchedule34[[#This Row],[INTEREST]]),"")</f>
        <v>1411084.5602282651</v>
      </c>
    </row>
    <row r="238" spans="2:11" x14ac:dyDescent="0.3">
      <c r="B238" s="21">
        <f>IF(LoanIsGood,IF(ROW()-ROW(PaymentSchedule34[[#Headers],[PMT NO]])&gt;ScheduledNumberOfPayments,"",ROW()-ROW(PaymentSchedule34[[#Headers],[PMT NO]])),"")</f>
        <v>227</v>
      </c>
      <c r="C238" s="20">
        <f>IF(PaymentSchedule34[[#This Row],[PMT NO]]&lt;&gt;"",EOMONTH(LoanStartDate,ROW(PaymentSchedule34[[#This Row],[PMT NO]])-ROW(PaymentSchedule34[[#Headers],[PMT NO]])-2)+DAY(LoanStartDate),"")</f>
        <v>50526</v>
      </c>
      <c r="D238" s="19">
        <f>IF(PaymentSchedule34[[#This Row],[PMT NO]]&lt;&gt;"",IF(ROW()-ROW(PaymentSchedule34[[#Headers],[BEGINNING BALANCE]])=1,LoanAmount,INDEX(PaymentSchedule34[ENDING BALANCE],ROW()-ROW(PaymentSchedule34[[#Headers],[BEGINNING BALANCE]])-1)),"")</f>
        <v>1451121.2567060732</v>
      </c>
      <c r="E238" s="19">
        <f>IF(PaymentSchedule34[[#This Row],[PMT NO]]&lt;&gt;"",ScheduledPayment,"")</f>
        <v>8672.4039978858091</v>
      </c>
      <c r="F23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3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38" s="19">
        <f>IF(PaymentSchedule34[[#This Row],[PMT NO]]&lt;&gt;"",PaymentSchedule34[[#This Row],[TOTAL PAYMENT]]-PaymentSchedule34[[#This Row],[INTEREST]],"")</f>
        <v>3533.0162137184661</v>
      </c>
      <c r="I238" s="19">
        <f>IF(PaymentSchedule34[[#This Row],[PMT NO]]&lt;&gt;"",PaymentSchedule34[[#This Row],[BEGINNING BALANCE]]*(InterestRate/PaymentsPerYear),"")</f>
        <v>5139.3877841673429</v>
      </c>
      <c r="J23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1447588.2404923546</v>
      </c>
      <c r="K238" s="19">
        <f>IF(PaymentSchedule34[[#This Row],[PMT NO]]&lt;&gt;"",SUM(INDEX(PaymentSchedule34[INTEREST],1,1):PaymentSchedule34[[#This Row],[INTEREST]]),"")</f>
        <v>1416223.9480124325</v>
      </c>
    </row>
    <row r="239" spans="2:11" x14ac:dyDescent="0.3">
      <c r="B239" s="21">
        <f>IF(LoanIsGood,IF(ROW()-ROW(PaymentSchedule34[[#Headers],[PMT NO]])&gt;ScheduledNumberOfPayments,"",ROW()-ROW(PaymentSchedule34[[#Headers],[PMT NO]])),"")</f>
        <v>228</v>
      </c>
      <c r="C239" s="20">
        <f>IF(PaymentSchedule34[[#This Row],[PMT NO]]&lt;&gt;"",EOMONTH(LoanStartDate,ROW(PaymentSchedule34[[#This Row],[PMT NO]])-ROW(PaymentSchedule34[[#Headers],[PMT NO]])-2)+DAY(LoanStartDate),"")</f>
        <v>50557</v>
      </c>
      <c r="D239" s="19">
        <f>IF(PaymentSchedule34[[#This Row],[PMT NO]]&lt;&gt;"",IF(ROW()-ROW(PaymentSchedule34[[#Headers],[BEGINNING BALANCE]])=1,LoanAmount,INDEX(PaymentSchedule34[ENDING BALANCE],ROW()-ROW(PaymentSchedule34[[#Headers],[BEGINNING BALANCE]])-1)),"")</f>
        <v>1447588.2404923546</v>
      </c>
      <c r="E239" s="19">
        <f>IF(PaymentSchedule34[[#This Row],[PMT NO]]&lt;&gt;"",ScheduledPayment,"")</f>
        <v>8672.4039978858091</v>
      </c>
      <c r="F23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3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39" s="19">
        <f>IF(PaymentSchedule34[[#This Row],[PMT NO]]&lt;&gt;"",PaymentSchedule34[[#This Row],[TOTAL PAYMENT]]-PaymentSchedule34[[#This Row],[INTEREST]],"")</f>
        <v>3545.5289794753862</v>
      </c>
      <c r="I239" s="19">
        <f>IF(PaymentSchedule34[[#This Row],[PMT NO]]&lt;&gt;"",PaymentSchedule34[[#This Row],[BEGINNING BALANCE]]*(InterestRate/PaymentsPerYear),"")</f>
        <v>5126.8750184104229</v>
      </c>
      <c r="J23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1444042.7115128792</v>
      </c>
      <c r="K239" s="19">
        <f>IF(PaymentSchedule34[[#This Row],[PMT NO]]&lt;&gt;"",SUM(INDEX(PaymentSchedule34[INTEREST],1,1):PaymentSchedule34[[#This Row],[INTEREST]]),"")</f>
        <v>1421350.8230308429</v>
      </c>
    </row>
    <row r="240" spans="2:11" x14ac:dyDescent="0.3">
      <c r="B240" s="21">
        <f>IF(LoanIsGood,IF(ROW()-ROW(PaymentSchedule34[[#Headers],[PMT NO]])&gt;ScheduledNumberOfPayments,"",ROW()-ROW(PaymentSchedule34[[#Headers],[PMT NO]])),"")</f>
        <v>229</v>
      </c>
      <c r="C240" s="20">
        <f>IF(PaymentSchedule34[[#This Row],[PMT NO]]&lt;&gt;"",EOMONTH(LoanStartDate,ROW(PaymentSchedule34[[#This Row],[PMT NO]])-ROW(PaymentSchedule34[[#Headers],[PMT NO]])-2)+DAY(LoanStartDate),"")</f>
        <v>50587</v>
      </c>
      <c r="D240" s="19">
        <f>IF(PaymentSchedule34[[#This Row],[PMT NO]]&lt;&gt;"",IF(ROW()-ROW(PaymentSchedule34[[#Headers],[BEGINNING BALANCE]])=1,LoanAmount,INDEX(PaymentSchedule34[ENDING BALANCE],ROW()-ROW(PaymentSchedule34[[#Headers],[BEGINNING BALANCE]])-1)),"")</f>
        <v>1444042.7115128792</v>
      </c>
      <c r="E240" s="19">
        <f>IF(PaymentSchedule34[[#This Row],[PMT NO]]&lt;&gt;"",ScheduledPayment,"")</f>
        <v>8672.4039978858091</v>
      </c>
      <c r="F24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4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40" s="19">
        <f>IF(PaymentSchedule34[[#This Row],[PMT NO]]&lt;&gt;"",PaymentSchedule34[[#This Row],[TOTAL PAYMENT]]-PaymentSchedule34[[#This Row],[INTEREST]],"")</f>
        <v>3558.0860612776951</v>
      </c>
      <c r="I240" s="19">
        <f>IF(PaymentSchedule34[[#This Row],[PMT NO]]&lt;&gt;"",PaymentSchedule34[[#This Row],[BEGINNING BALANCE]]*(InterestRate/PaymentsPerYear),"")</f>
        <v>5114.317936608114</v>
      </c>
      <c r="J24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1440484.6254516016</v>
      </c>
      <c r="K240" s="19">
        <f>IF(PaymentSchedule34[[#This Row],[PMT NO]]&lt;&gt;"",SUM(INDEX(PaymentSchedule34[INTEREST],1,1):PaymentSchedule34[[#This Row],[INTEREST]]),"")</f>
        <v>1426465.140967451</v>
      </c>
    </row>
    <row r="241" spans="2:11" x14ac:dyDescent="0.3">
      <c r="B241" s="21">
        <f>IF(LoanIsGood,IF(ROW()-ROW(PaymentSchedule34[[#Headers],[PMT NO]])&gt;ScheduledNumberOfPayments,"",ROW()-ROW(PaymentSchedule34[[#Headers],[PMT NO]])),"")</f>
        <v>230</v>
      </c>
      <c r="C241" s="20">
        <f>IF(PaymentSchedule34[[#This Row],[PMT NO]]&lt;&gt;"",EOMONTH(LoanStartDate,ROW(PaymentSchedule34[[#This Row],[PMT NO]])-ROW(PaymentSchedule34[[#Headers],[PMT NO]])-2)+DAY(LoanStartDate),"")</f>
        <v>50618</v>
      </c>
      <c r="D241" s="19">
        <f>IF(PaymentSchedule34[[#This Row],[PMT NO]]&lt;&gt;"",IF(ROW()-ROW(PaymentSchedule34[[#Headers],[BEGINNING BALANCE]])=1,LoanAmount,INDEX(PaymentSchedule34[ENDING BALANCE],ROW()-ROW(PaymentSchedule34[[#Headers],[BEGINNING BALANCE]])-1)),"")</f>
        <v>1440484.6254516016</v>
      </c>
      <c r="E241" s="19">
        <f>IF(PaymentSchedule34[[#This Row],[PMT NO]]&lt;&gt;"",ScheduledPayment,"")</f>
        <v>8672.4039978858091</v>
      </c>
      <c r="F24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4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41" s="19">
        <f>IF(PaymentSchedule34[[#This Row],[PMT NO]]&lt;&gt;"",PaymentSchedule34[[#This Row],[TOTAL PAYMENT]]-PaymentSchedule34[[#This Row],[INTEREST]],"")</f>
        <v>3570.687616078053</v>
      </c>
      <c r="I241" s="19">
        <f>IF(PaymentSchedule34[[#This Row],[PMT NO]]&lt;&gt;"",PaymentSchedule34[[#This Row],[BEGINNING BALANCE]]*(InterestRate/PaymentsPerYear),"")</f>
        <v>5101.7163818077561</v>
      </c>
      <c r="J24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1436913.9378355236</v>
      </c>
      <c r="K241" s="19">
        <f>IF(PaymentSchedule34[[#This Row],[PMT NO]]&lt;&gt;"",SUM(INDEX(PaymentSchedule34[INTEREST],1,1):PaymentSchedule34[[#This Row],[INTEREST]]),"")</f>
        <v>1431566.8573492588</v>
      </c>
    </row>
    <row r="242" spans="2:11" x14ac:dyDescent="0.3">
      <c r="B242" s="21">
        <f>IF(LoanIsGood,IF(ROW()-ROW(PaymentSchedule34[[#Headers],[PMT NO]])&gt;ScheduledNumberOfPayments,"",ROW()-ROW(PaymentSchedule34[[#Headers],[PMT NO]])),"")</f>
        <v>231</v>
      </c>
      <c r="C242" s="20">
        <f>IF(PaymentSchedule34[[#This Row],[PMT NO]]&lt;&gt;"",EOMONTH(LoanStartDate,ROW(PaymentSchedule34[[#This Row],[PMT NO]])-ROW(PaymentSchedule34[[#Headers],[PMT NO]])-2)+DAY(LoanStartDate),"")</f>
        <v>50649</v>
      </c>
      <c r="D242" s="19">
        <f>IF(PaymentSchedule34[[#This Row],[PMT NO]]&lt;&gt;"",IF(ROW()-ROW(PaymentSchedule34[[#Headers],[BEGINNING BALANCE]])=1,LoanAmount,INDEX(PaymentSchedule34[ENDING BALANCE],ROW()-ROW(PaymentSchedule34[[#Headers],[BEGINNING BALANCE]])-1)),"")</f>
        <v>1436913.9378355236</v>
      </c>
      <c r="E242" s="19">
        <f>IF(PaymentSchedule34[[#This Row],[PMT NO]]&lt;&gt;"",ScheduledPayment,"")</f>
        <v>8672.4039978858091</v>
      </c>
      <c r="F24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4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42" s="19">
        <f>IF(PaymentSchedule34[[#This Row],[PMT NO]]&lt;&gt;"",PaymentSchedule34[[#This Row],[TOTAL PAYMENT]]-PaymentSchedule34[[#This Row],[INTEREST]],"")</f>
        <v>3583.3338013849961</v>
      </c>
      <c r="I242" s="19">
        <f>IF(PaymentSchedule34[[#This Row],[PMT NO]]&lt;&gt;"",PaymentSchedule34[[#This Row],[BEGINNING BALANCE]]*(InterestRate/PaymentsPerYear),"")</f>
        <v>5089.0701965008129</v>
      </c>
      <c r="J24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1433330.6040341386</v>
      </c>
      <c r="K242" s="19">
        <f>IF(PaymentSchedule34[[#This Row],[PMT NO]]&lt;&gt;"",SUM(INDEX(PaymentSchedule34[INTEREST],1,1):PaymentSchedule34[[#This Row],[INTEREST]]),"")</f>
        <v>1436655.9275457596</v>
      </c>
    </row>
    <row r="243" spans="2:11" x14ac:dyDescent="0.3">
      <c r="B243" s="21">
        <f>IF(LoanIsGood,IF(ROW()-ROW(PaymentSchedule34[[#Headers],[PMT NO]])&gt;ScheduledNumberOfPayments,"",ROW()-ROW(PaymentSchedule34[[#Headers],[PMT NO]])),"")</f>
        <v>232</v>
      </c>
      <c r="C243" s="20">
        <f>IF(PaymentSchedule34[[#This Row],[PMT NO]]&lt;&gt;"",EOMONTH(LoanStartDate,ROW(PaymentSchedule34[[#This Row],[PMT NO]])-ROW(PaymentSchedule34[[#Headers],[PMT NO]])-2)+DAY(LoanStartDate),"")</f>
        <v>50679</v>
      </c>
      <c r="D243" s="19">
        <f>IF(PaymentSchedule34[[#This Row],[PMT NO]]&lt;&gt;"",IF(ROW()-ROW(PaymentSchedule34[[#Headers],[BEGINNING BALANCE]])=1,LoanAmount,INDEX(PaymentSchedule34[ENDING BALANCE],ROW()-ROW(PaymentSchedule34[[#Headers],[BEGINNING BALANCE]])-1)),"")</f>
        <v>1433330.6040341386</v>
      </c>
      <c r="E243" s="19">
        <f>IF(PaymentSchedule34[[#This Row],[PMT NO]]&lt;&gt;"",ScheduledPayment,"")</f>
        <v>8672.4039978858091</v>
      </c>
      <c r="F24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4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43" s="19">
        <f>IF(PaymentSchedule34[[#This Row],[PMT NO]]&lt;&gt;"",PaymentSchedule34[[#This Row],[TOTAL PAYMENT]]-PaymentSchedule34[[#This Row],[INTEREST]],"")</f>
        <v>3596.0247752649011</v>
      </c>
      <c r="I243" s="19">
        <f>IF(PaymentSchedule34[[#This Row],[PMT NO]]&lt;&gt;"",PaymentSchedule34[[#This Row],[BEGINNING BALANCE]]*(InterestRate/PaymentsPerYear),"")</f>
        <v>5076.379222620908</v>
      </c>
      <c r="J24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1429734.5792588736</v>
      </c>
      <c r="K243" s="19">
        <f>IF(PaymentSchedule34[[#This Row],[PMT NO]]&lt;&gt;"",SUM(INDEX(PaymentSchedule34[INTEREST],1,1):PaymentSchedule34[[#This Row],[INTEREST]]),"")</f>
        <v>1441732.3067683806</v>
      </c>
    </row>
    <row r="244" spans="2:11" x14ac:dyDescent="0.3">
      <c r="B244" s="21">
        <f>IF(LoanIsGood,IF(ROW()-ROW(PaymentSchedule34[[#Headers],[PMT NO]])&gt;ScheduledNumberOfPayments,"",ROW()-ROW(PaymentSchedule34[[#Headers],[PMT NO]])),"")</f>
        <v>233</v>
      </c>
      <c r="C244" s="20">
        <f>IF(PaymentSchedule34[[#This Row],[PMT NO]]&lt;&gt;"",EOMONTH(LoanStartDate,ROW(PaymentSchedule34[[#This Row],[PMT NO]])-ROW(PaymentSchedule34[[#Headers],[PMT NO]])-2)+DAY(LoanStartDate),"")</f>
        <v>50710</v>
      </c>
      <c r="D244" s="19">
        <f>IF(PaymentSchedule34[[#This Row],[PMT NO]]&lt;&gt;"",IF(ROW()-ROW(PaymentSchedule34[[#Headers],[BEGINNING BALANCE]])=1,LoanAmount,INDEX(PaymentSchedule34[ENDING BALANCE],ROW()-ROW(PaymentSchedule34[[#Headers],[BEGINNING BALANCE]])-1)),"")</f>
        <v>1429734.5792588736</v>
      </c>
      <c r="E244" s="19">
        <f>IF(PaymentSchedule34[[#This Row],[PMT NO]]&lt;&gt;"",ScheduledPayment,"")</f>
        <v>8672.4039978858091</v>
      </c>
      <c r="F24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4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44" s="19">
        <f>IF(PaymentSchedule34[[#This Row],[PMT NO]]&lt;&gt;"",PaymentSchedule34[[#This Row],[TOTAL PAYMENT]]-PaymentSchedule34[[#This Row],[INTEREST]],"")</f>
        <v>3608.7606963439648</v>
      </c>
      <c r="I244" s="19">
        <f>IF(PaymentSchedule34[[#This Row],[PMT NO]]&lt;&gt;"",PaymentSchedule34[[#This Row],[BEGINNING BALANCE]]*(InterestRate/PaymentsPerYear),"")</f>
        <v>5063.6433015418443</v>
      </c>
      <c r="J24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1426125.8185625295</v>
      </c>
      <c r="K244" s="19">
        <f>IF(PaymentSchedule34[[#This Row],[PMT NO]]&lt;&gt;"",SUM(INDEX(PaymentSchedule34[INTEREST],1,1):PaymentSchedule34[[#This Row],[INTEREST]]),"")</f>
        <v>1446795.9500699225</v>
      </c>
    </row>
    <row r="245" spans="2:11" x14ac:dyDescent="0.3">
      <c r="B245" s="21">
        <f>IF(LoanIsGood,IF(ROW()-ROW(PaymentSchedule34[[#Headers],[PMT NO]])&gt;ScheduledNumberOfPayments,"",ROW()-ROW(PaymentSchedule34[[#Headers],[PMT NO]])),"")</f>
        <v>234</v>
      </c>
      <c r="C245" s="20">
        <f>IF(PaymentSchedule34[[#This Row],[PMT NO]]&lt;&gt;"",EOMONTH(LoanStartDate,ROW(PaymentSchedule34[[#This Row],[PMT NO]])-ROW(PaymentSchedule34[[#Headers],[PMT NO]])-2)+DAY(LoanStartDate),"")</f>
        <v>50740</v>
      </c>
      <c r="D245" s="19">
        <f>IF(PaymentSchedule34[[#This Row],[PMT NO]]&lt;&gt;"",IF(ROW()-ROW(PaymentSchedule34[[#Headers],[BEGINNING BALANCE]])=1,LoanAmount,INDEX(PaymentSchedule34[ENDING BALANCE],ROW()-ROW(PaymentSchedule34[[#Headers],[BEGINNING BALANCE]])-1)),"")</f>
        <v>1426125.8185625295</v>
      </c>
      <c r="E245" s="19">
        <f>IF(PaymentSchedule34[[#This Row],[PMT NO]]&lt;&gt;"",ScheduledPayment,"")</f>
        <v>8672.4039978858091</v>
      </c>
      <c r="F24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4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45" s="19">
        <f>IF(PaymentSchedule34[[#This Row],[PMT NO]]&lt;&gt;"",PaymentSchedule34[[#This Row],[TOTAL PAYMENT]]-PaymentSchedule34[[#This Row],[INTEREST]],"")</f>
        <v>3621.5417238101836</v>
      </c>
      <c r="I245" s="19">
        <f>IF(PaymentSchedule34[[#This Row],[PMT NO]]&lt;&gt;"",PaymentSchedule34[[#This Row],[BEGINNING BALANCE]]*(InterestRate/PaymentsPerYear),"")</f>
        <v>5050.8622740756255</v>
      </c>
      <c r="J24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1422504.2768387194</v>
      </c>
      <c r="K245" s="19">
        <f>IF(PaymentSchedule34[[#This Row],[PMT NO]]&lt;&gt;"",SUM(INDEX(PaymentSchedule34[INTEREST],1,1):PaymentSchedule34[[#This Row],[INTEREST]]),"")</f>
        <v>1451846.8123439981</v>
      </c>
    </row>
    <row r="246" spans="2:11" x14ac:dyDescent="0.3">
      <c r="B246" s="21">
        <f>IF(LoanIsGood,IF(ROW()-ROW(PaymentSchedule34[[#Headers],[PMT NO]])&gt;ScheduledNumberOfPayments,"",ROW()-ROW(PaymentSchedule34[[#Headers],[PMT NO]])),"")</f>
        <v>235</v>
      </c>
      <c r="C246" s="20">
        <f>IF(PaymentSchedule34[[#This Row],[PMT NO]]&lt;&gt;"",EOMONTH(LoanStartDate,ROW(PaymentSchedule34[[#This Row],[PMT NO]])-ROW(PaymentSchedule34[[#Headers],[PMT NO]])-2)+DAY(LoanStartDate),"")</f>
        <v>50771</v>
      </c>
      <c r="D246" s="19">
        <f>IF(PaymentSchedule34[[#This Row],[PMT NO]]&lt;&gt;"",IF(ROW()-ROW(PaymentSchedule34[[#Headers],[BEGINNING BALANCE]])=1,LoanAmount,INDEX(PaymentSchedule34[ENDING BALANCE],ROW()-ROW(PaymentSchedule34[[#Headers],[BEGINNING BALANCE]])-1)),"")</f>
        <v>1422504.2768387194</v>
      </c>
      <c r="E246" s="19">
        <f>IF(PaymentSchedule34[[#This Row],[PMT NO]]&lt;&gt;"",ScheduledPayment,"")</f>
        <v>8672.4039978858091</v>
      </c>
      <c r="F24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4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46" s="19">
        <f>IF(PaymentSchedule34[[#This Row],[PMT NO]]&lt;&gt;"",PaymentSchedule34[[#This Row],[TOTAL PAYMENT]]-PaymentSchedule34[[#This Row],[INTEREST]],"")</f>
        <v>3634.3680174153442</v>
      </c>
      <c r="I246" s="19">
        <f>IF(PaymentSchedule34[[#This Row],[PMT NO]]&lt;&gt;"",PaymentSchedule34[[#This Row],[BEGINNING BALANCE]]*(InterestRate/PaymentsPerYear),"")</f>
        <v>5038.0359804704649</v>
      </c>
      <c r="J24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1418869.9088213041</v>
      </c>
      <c r="K246" s="19">
        <f>IF(PaymentSchedule34[[#This Row],[PMT NO]]&lt;&gt;"",SUM(INDEX(PaymentSchedule34[INTEREST],1,1):PaymentSchedule34[[#This Row],[INTEREST]]),"")</f>
        <v>1456884.8483244686</v>
      </c>
    </row>
    <row r="247" spans="2:11" x14ac:dyDescent="0.3">
      <c r="B247" s="21">
        <f>IF(LoanIsGood,IF(ROW()-ROW(PaymentSchedule34[[#Headers],[PMT NO]])&gt;ScheduledNumberOfPayments,"",ROW()-ROW(PaymentSchedule34[[#Headers],[PMT NO]])),"")</f>
        <v>236</v>
      </c>
      <c r="C247" s="20">
        <f>IF(PaymentSchedule34[[#This Row],[PMT NO]]&lt;&gt;"",EOMONTH(LoanStartDate,ROW(PaymentSchedule34[[#This Row],[PMT NO]])-ROW(PaymentSchedule34[[#Headers],[PMT NO]])-2)+DAY(LoanStartDate),"")</f>
        <v>50802</v>
      </c>
      <c r="D247" s="19">
        <f>IF(PaymentSchedule34[[#This Row],[PMT NO]]&lt;&gt;"",IF(ROW()-ROW(PaymentSchedule34[[#Headers],[BEGINNING BALANCE]])=1,LoanAmount,INDEX(PaymentSchedule34[ENDING BALANCE],ROW()-ROW(PaymentSchedule34[[#Headers],[BEGINNING BALANCE]])-1)),"")</f>
        <v>1418869.9088213041</v>
      </c>
      <c r="E247" s="19">
        <f>IF(PaymentSchedule34[[#This Row],[PMT NO]]&lt;&gt;"",ScheduledPayment,"")</f>
        <v>8672.4039978858091</v>
      </c>
      <c r="F24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4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47" s="19">
        <f>IF(PaymentSchedule34[[#This Row],[PMT NO]]&lt;&gt;"",PaymentSchedule34[[#This Row],[TOTAL PAYMENT]]-PaymentSchedule34[[#This Row],[INTEREST]],"")</f>
        <v>3647.2397374770235</v>
      </c>
      <c r="I247" s="19">
        <f>IF(PaymentSchedule34[[#This Row],[PMT NO]]&lt;&gt;"",PaymentSchedule34[[#This Row],[BEGINNING BALANCE]]*(InterestRate/PaymentsPerYear),"")</f>
        <v>5025.1642604087856</v>
      </c>
      <c r="J24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1415222.6690838272</v>
      </c>
      <c r="K247" s="19">
        <f>IF(PaymentSchedule34[[#This Row],[PMT NO]]&lt;&gt;"",SUM(INDEX(PaymentSchedule34[INTEREST],1,1):PaymentSchedule34[[#This Row],[INTEREST]]),"")</f>
        <v>1461910.0125848774</v>
      </c>
    </row>
    <row r="248" spans="2:11" x14ac:dyDescent="0.3">
      <c r="B248" s="21">
        <f>IF(LoanIsGood,IF(ROW()-ROW(PaymentSchedule34[[#Headers],[PMT NO]])&gt;ScheduledNumberOfPayments,"",ROW()-ROW(PaymentSchedule34[[#Headers],[PMT NO]])),"")</f>
        <v>237</v>
      </c>
      <c r="C248" s="20">
        <f>IF(PaymentSchedule34[[#This Row],[PMT NO]]&lt;&gt;"",EOMONTH(LoanStartDate,ROW(PaymentSchedule34[[#This Row],[PMT NO]])-ROW(PaymentSchedule34[[#Headers],[PMT NO]])-2)+DAY(LoanStartDate),"")</f>
        <v>50830</v>
      </c>
      <c r="D248" s="19">
        <f>IF(PaymentSchedule34[[#This Row],[PMT NO]]&lt;&gt;"",IF(ROW()-ROW(PaymentSchedule34[[#Headers],[BEGINNING BALANCE]])=1,LoanAmount,INDEX(PaymentSchedule34[ENDING BALANCE],ROW()-ROW(PaymentSchedule34[[#Headers],[BEGINNING BALANCE]])-1)),"")</f>
        <v>1415222.6690838272</v>
      </c>
      <c r="E248" s="19">
        <f>IF(PaymentSchedule34[[#This Row],[PMT NO]]&lt;&gt;"",ScheduledPayment,"")</f>
        <v>8672.4039978858091</v>
      </c>
      <c r="F24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4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48" s="19">
        <f>IF(PaymentSchedule34[[#This Row],[PMT NO]]&lt;&gt;"",PaymentSchedule34[[#This Row],[TOTAL PAYMENT]]-PaymentSchedule34[[#This Row],[INTEREST]],"")</f>
        <v>3660.1570448805878</v>
      </c>
      <c r="I248" s="19">
        <f>IF(PaymentSchedule34[[#This Row],[PMT NO]]&lt;&gt;"",PaymentSchedule34[[#This Row],[BEGINNING BALANCE]]*(InterestRate/PaymentsPerYear),"")</f>
        <v>5012.2469530052213</v>
      </c>
      <c r="J24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1411562.5120389466</v>
      </c>
      <c r="K248" s="19">
        <f>IF(PaymentSchedule34[[#This Row],[PMT NO]]&lt;&gt;"",SUM(INDEX(PaymentSchedule34[INTEREST],1,1):PaymentSchedule34[[#This Row],[INTEREST]]),"")</f>
        <v>1466922.2595378826</v>
      </c>
    </row>
    <row r="249" spans="2:11" x14ac:dyDescent="0.3">
      <c r="B249" s="21">
        <f>IF(LoanIsGood,IF(ROW()-ROW(PaymentSchedule34[[#Headers],[PMT NO]])&gt;ScheduledNumberOfPayments,"",ROW()-ROW(PaymentSchedule34[[#Headers],[PMT NO]])),"")</f>
        <v>238</v>
      </c>
      <c r="C249" s="20">
        <f>IF(PaymentSchedule34[[#This Row],[PMT NO]]&lt;&gt;"",EOMONTH(LoanStartDate,ROW(PaymentSchedule34[[#This Row],[PMT NO]])-ROW(PaymentSchedule34[[#Headers],[PMT NO]])-2)+DAY(LoanStartDate),"")</f>
        <v>50861</v>
      </c>
      <c r="D249" s="19">
        <f>IF(PaymentSchedule34[[#This Row],[PMT NO]]&lt;&gt;"",IF(ROW()-ROW(PaymentSchedule34[[#Headers],[BEGINNING BALANCE]])=1,LoanAmount,INDEX(PaymentSchedule34[ENDING BALANCE],ROW()-ROW(PaymentSchedule34[[#Headers],[BEGINNING BALANCE]])-1)),"")</f>
        <v>1411562.5120389466</v>
      </c>
      <c r="E249" s="19">
        <f>IF(PaymentSchedule34[[#This Row],[PMT NO]]&lt;&gt;"",ScheduledPayment,"")</f>
        <v>8672.4039978858091</v>
      </c>
      <c r="F24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4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49" s="19">
        <f>IF(PaymentSchedule34[[#This Row],[PMT NO]]&lt;&gt;"",PaymentSchedule34[[#This Row],[TOTAL PAYMENT]]-PaymentSchedule34[[#This Row],[INTEREST]],"")</f>
        <v>3673.1201010812065</v>
      </c>
      <c r="I249" s="19">
        <f>IF(PaymentSchedule34[[#This Row],[PMT NO]]&lt;&gt;"",PaymentSchedule34[[#This Row],[BEGINNING BALANCE]]*(InterestRate/PaymentsPerYear),"")</f>
        <v>4999.2838968046026</v>
      </c>
      <c r="J24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1407889.3919378654</v>
      </c>
      <c r="K249" s="19">
        <f>IF(PaymentSchedule34[[#This Row],[PMT NO]]&lt;&gt;"",SUM(INDEX(PaymentSchedule34[INTEREST],1,1):PaymentSchedule34[[#This Row],[INTEREST]]),"")</f>
        <v>1471921.5434346872</v>
      </c>
    </row>
    <row r="250" spans="2:11" x14ac:dyDescent="0.3">
      <c r="B250" s="21">
        <f>IF(LoanIsGood,IF(ROW()-ROW(PaymentSchedule34[[#Headers],[PMT NO]])&gt;ScheduledNumberOfPayments,"",ROW()-ROW(PaymentSchedule34[[#Headers],[PMT NO]])),"")</f>
        <v>239</v>
      </c>
      <c r="C250" s="20">
        <f>IF(PaymentSchedule34[[#This Row],[PMT NO]]&lt;&gt;"",EOMONTH(LoanStartDate,ROW(PaymentSchedule34[[#This Row],[PMT NO]])-ROW(PaymentSchedule34[[#Headers],[PMT NO]])-2)+DAY(LoanStartDate),"")</f>
        <v>50891</v>
      </c>
      <c r="D250" s="19">
        <f>IF(PaymentSchedule34[[#This Row],[PMT NO]]&lt;&gt;"",IF(ROW()-ROW(PaymentSchedule34[[#Headers],[BEGINNING BALANCE]])=1,LoanAmount,INDEX(PaymentSchedule34[ENDING BALANCE],ROW()-ROW(PaymentSchedule34[[#Headers],[BEGINNING BALANCE]])-1)),"")</f>
        <v>1407889.3919378654</v>
      </c>
      <c r="E250" s="19">
        <f>IF(PaymentSchedule34[[#This Row],[PMT NO]]&lt;&gt;"",ScheduledPayment,"")</f>
        <v>8672.4039978858091</v>
      </c>
      <c r="F25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5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50" s="19">
        <f>IF(PaymentSchedule34[[#This Row],[PMT NO]]&lt;&gt;"",PaymentSchedule34[[#This Row],[TOTAL PAYMENT]]-PaymentSchedule34[[#This Row],[INTEREST]],"")</f>
        <v>3686.129068105869</v>
      </c>
      <c r="I250" s="19">
        <f>IF(PaymentSchedule34[[#This Row],[PMT NO]]&lt;&gt;"",PaymentSchedule34[[#This Row],[BEGINNING BALANCE]]*(InterestRate/PaymentsPerYear),"")</f>
        <v>4986.2749297799401</v>
      </c>
      <c r="J25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1404203.2628697595</v>
      </c>
      <c r="K250" s="19">
        <f>IF(PaymentSchedule34[[#This Row],[PMT NO]]&lt;&gt;"",SUM(INDEX(PaymentSchedule34[INTEREST],1,1):PaymentSchedule34[[#This Row],[INTEREST]]),"")</f>
        <v>1476907.8183644672</v>
      </c>
    </row>
    <row r="251" spans="2:11" x14ac:dyDescent="0.3">
      <c r="B251" s="21">
        <f>IF(LoanIsGood,IF(ROW()-ROW(PaymentSchedule34[[#Headers],[PMT NO]])&gt;ScheduledNumberOfPayments,"",ROW()-ROW(PaymentSchedule34[[#Headers],[PMT NO]])),"")</f>
        <v>240</v>
      </c>
      <c r="C251" s="20">
        <f>IF(PaymentSchedule34[[#This Row],[PMT NO]]&lt;&gt;"",EOMONTH(LoanStartDate,ROW(PaymentSchedule34[[#This Row],[PMT NO]])-ROW(PaymentSchedule34[[#Headers],[PMT NO]])-2)+DAY(LoanStartDate),"")</f>
        <v>50922</v>
      </c>
      <c r="D251" s="19">
        <f>IF(PaymentSchedule34[[#This Row],[PMT NO]]&lt;&gt;"",IF(ROW()-ROW(PaymentSchedule34[[#Headers],[BEGINNING BALANCE]])=1,LoanAmount,INDEX(PaymentSchedule34[ENDING BALANCE],ROW()-ROW(PaymentSchedule34[[#Headers],[BEGINNING BALANCE]])-1)),"")</f>
        <v>1404203.2628697595</v>
      </c>
      <c r="E251" s="19">
        <f>IF(PaymentSchedule34[[#This Row],[PMT NO]]&lt;&gt;"",ScheduledPayment,"")</f>
        <v>8672.4039978858091</v>
      </c>
      <c r="F25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5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51" s="19">
        <f>IF(PaymentSchedule34[[#This Row],[PMT NO]]&lt;&gt;"",PaymentSchedule34[[#This Row],[TOTAL PAYMENT]]-PaymentSchedule34[[#This Row],[INTEREST]],"")</f>
        <v>3699.1841085554106</v>
      </c>
      <c r="I251" s="19">
        <f>IF(PaymentSchedule34[[#This Row],[PMT NO]]&lt;&gt;"",PaymentSchedule34[[#This Row],[BEGINNING BALANCE]]*(InterestRate/PaymentsPerYear),"")</f>
        <v>4973.2198893303985</v>
      </c>
      <c r="J25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1400504.0787612041</v>
      </c>
      <c r="K251" s="19">
        <f>IF(PaymentSchedule34[[#This Row],[PMT NO]]&lt;&gt;"",SUM(INDEX(PaymentSchedule34[INTEREST],1,1):PaymentSchedule34[[#This Row],[INTEREST]]),"")</f>
        <v>1481881.0382537977</v>
      </c>
    </row>
    <row r="252" spans="2:11" x14ac:dyDescent="0.3">
      <c r="B252" s="21">
        <f>IF(LoanIsGood,IF(ROW()-ROW(PaymentSchedule34[[#Headers],[PMT NO]])&gt;ScheduledNumberOfPayments,"",ROW()-ROW(PaymentSchedule34[[#Headers],[PMT NO]])),"")</f>
        <v>241</v>
      </c>
      <c r="C252" s="20">
        <f>IF(PaymentSchedule34[[#This Row],[PMT NO]]&lt;&gt;"",EOMONTH(LoanStartDate,ROW(PaymentSchedule34[[#This Row],[PMT NO]])-ROW(PaymentSchedule34[[#Headers],[PMT NO]])-2)+DAY(LoanStartDate),"")</f>
        <v>50952</v>
      </c>
      <c r="D252" s="19">
        <f>IF(PaymentSchedule34[[#This Row],[PMT NO]]&lt;&gt;"",IF(ROW()-ROW(PaymentSchedule34[[#Headers],[BEGINNING BALANCE]])=1,LoanAmount,INDEX(PaymentSchedule34[ENDING BALANCE],ROW()-ROW(PaymentSchedule34[[#Headers],[BEGINNING BALANCE]])-1)),"")</f>
        <v>1400504.0787612041</v>
      </c>
      <c r="E252" s="19">
        <f>IF(PaymentSchedule34[[#This Row],[PMT NO]]&lt;&gt;"",ScheduledPayment,"")</f>
        <v>8672.4039978858091</v>
      </c>
      <c r="F25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5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52" s="19">
        <f>IF(PaymentSchedule34[[#This Row],[PMT NO]]&lt;&gt;"",PaymentSchedule34[[#This Row],[TOTAL PAYMENT]]-PaymentSchedule34[[#This Row],[INTEREST]],"")</f>
        <v>3712.285385606544</v>
      </c>
      <c r="I252" s="19">
        <f>IF(PaymentSchedule34[[#This Row],[PMT NO]]&lt;&gt;"",PaymentSchedule34[[#This Row],[BEGINNING BALANCE]]*(InterestRate/PaymentsPerYear),"")</f>
        <v>4960.1186122792651</v>
      </c>
      <c r="J25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1396791.7933755976</v>
      </c>
      <c r="K252" s="19">
        <f>IF(PaymentSchedule34[[#This Row],[PMT NO]]&lt;&gt;"",SUM(INDEX(PaymentSchedule34[INTEREST],1,1):PaymentSchedule34[[#This Row],[INTEREST]]),"")</f>
        <v>1486841.1568660769</v>
      </c>
    </row>
    <row r="253" spans="2:11" x14ac:dyDescent="0.3">
      <c r="B253" s="21">
        <f>IF(LoanIsGood,IF(ROW()-ROW(PaymentSchedule34[[#Headers],[PMT NO]])&gt;ScheduledNumberOfPayments,"",ROW()-ROW(PaymentSchedule34[[#Headers],[PMT NO]])),"")</f>
        <v>242</v>
      </c>
      <c r="C253" s="20">
        <f>IF(PaymentSchedule34[[#This Row],[PMT NO]]&lt;&gt;"",EOMONTH(LoanStartDate,ROW(PaymentSchedule34[[#This Row],[PMT NO]])-ROW(PaymentSchedule34[[#Headers],[PMT NO]])-2)+DAY(LoanStartDate),"")</f>
        <v>50983</v>
      </c>
      <c r="D253" s="19">
        <f>IF(PaymentSchedule34[[#This Row],[PMT NO]]&lt;&gt;"",IF(ROW()-ROW(PaymentSchedule34[[#Headers],[BEGINNING BALANCE]])=1,LoanAmount,INDEX(PaymentSchedule34[ENDING BALANCE],ROW()-ROW(PaymentSchedule34[[#Headers],[BEGINNING BALANCE]])-1)),"")</f>
        <v>1396791.7933755976</v>
      </c>
      <c r="E253" s="19">
        <f>IF(PaymentSchedule34[[#This Row],[PMT NO]]&lt;&gt;"",ScheduledPayment,"")</f>
        <v>8672.4039978858091</v>
      </c>
      <c r="F25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5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53" s="19">
        <f>IF(PaymentSchedule34[[#This Row],[PMT NO]]&lt;&gt;"",PaymentSchedule34[[#This Row],[TOTAL PAYMENT]]-PaymentSchedule34[[#This Row],[INTEREST]],"")</f>
        <v>3725.4330630139011</v>
      </c>
      <c r="I253" s="19">
        <f>IF(PaymentSchedule34[[#This Row],[PMT NO]]&lt;&gt;"",PaymentSchedule34[[#This Row],[BEGINNING BALANCE]]*(InterestRate/PaymentsPerYear),"")</f>
        <v>4946.970934871908</v>
      </c>
      <c r="J25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1393066.3603125836</v>
      </c>
      <c r="K253" s="19">
        <f>IF(PaymentSchedule34[[#This Row],[PMT NO]]&lt;&gt;"",SUM(INDEX(PaymentSchedule34[INTEREST],1,1):PaymentSchedule34[[#This Row],[INTEREST]]),"")</f>
        <v>1491788.1278009487</v>
      </c>
    </row>
    <row r="254" spans="2:11" x14ac:dyDescent="0.3">
      <c r="B254" s="21">
        <f>IF(LoanIsGood,IF(ROW()-ROW(PaymentSchedule34[[#Headers],[PMT NO]])&gt;ScheduledNumberOfPayments,"",ROW()-ROW(PaymentSchedule34[[#Headers],[PMT NO]])),"")</f>
        <v>243</v>
      </c>
      <c r="C254" s="20">
        <f>IF(PaymentSchedule34[[#This Row],[PMT NO]]&lt;&gt;"",EOMONTH(LoanStartDate,ROW(PaymentSchedule34[[#This Row],[PMT NO]])-ROW(PaymentSchedule34[[#Headers],[PMT NO]])-2)+DAY(LoanStartDate),"")</f>
        <v>51014</v>
      </c>
      <c r="D254" s="19">
        <f>IF(PaymentSchedule34[[#This Row],[PMT NO]]&lt;&gt;"",IF(ROW()-ROW(PaymentSchedule34[[#Headers],[BEGINNING BALANCE]])=1,LoanAmount,INDEX(PaymentSchedule34[ENDING BALANCE],ROW()-ROW(PaymentSchedule34[[#Headers],[BEGINNING BALANCE]])-1)),"")</f>
        <v>1393066.3603125836</v>
      </c>
      <c r="E254" s="19">
        <f>IF(PaymentSchedule34[[#This Row],[PMT NO]]&lt;&gt;"",ScheduledPayment,"")</f>
        <v>8672.4039978858091</v>
      </c>
      <c r="F25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5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54" s="19">
        <f>IF(PaymentSchedule34[[#This Row],[PMT NO]]&lt;&gt;"",PaymentSchedule34[[#This Row],[TOTAL PAYMENT]]-PaymentSchedule34[[#This Row],[INTEREST]],"")</f>
        <v>3738.6273051120752</v>
      </c>
      <c r="I254" s="19">
        <f>IF(PaymentSchedule34[[#This Row],[PMT NO]]&lt;&gt;"",PaymentSchedule34[[#This Row],[BEGINNING BALANCE]]*(InterestRate/PaymentsPerYear),"")</f>
        <v>4933.7766927737339</v>
      </c>
      <c r="J25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1389327.7330074715</v>
      </c>
      <c r="K254" s="19">
        <f>IF(PaymentSchedule34[[#This Row],[PMT NO]]&lt;&gt;"",SUM(INDEX(PaymentSchedule34[INTEREST],1,1):PaymentSchedule34[[#This Row],[INTEREST]]),"")</f>
        <v>1496721.9044937224</v>
      </c>
    </row>
    <row r="255" spans="2:11" x14ac:dyDescent="0.3">
      <c r="B255" s="21">
        <f>IF(LoanIsGood,IF(ROW()-ROW(PaymentSchedule34[[#Headers],[PMT NO]])&gt;ScheduledNumberOfPayments,"",ROW()-ROW(PaymentSchedule34[[#Headers],[PMT NO]])),"")</f>
        <v>244</v>
      </c>
      <c r="C255" s="20">
        <f>IF(PaymentSchedule34[[#This Row],[PMT NO]]&lt;&gt;"",EOMONTH(LoanStartDate,ROW(PaymentSchedule34[[#This Row],[PMT NO]])-ROW(PaymentSchedule34[[#Headers],[PMT NO]])-2)+DAY(LoanStartDate),"")</f>
        <v>51044</v>
      </c>
      <c r="D255" s="19">
        <f>IF(PaymentSchedule34[[#This Row],[PMT NO]]&lt;&gt;"",IF(ROW()-ROW(PaymentSchedule34[[#Headers],[BEGINNING BALANCE]])=1,LoanAmount,INDEX(PaymentSchedule34[ENDING BALANCE],ROW()-ROW(PaymentSchedule34[[#Headers],[BEGINNING BALANCE]])-1)),"")</f>
        <v>1389327.7330074715</v>
      </c>
      <c r="E255" s="19">
        <f>IF(PaymentSchedule34[[#This Row],[PMT NO]]&lt;&gt;"",ScheduledPayment,"")</f>
        <v>8672.4039978858091</v>
      </c>
      <c r="F25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5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55" s="19">
        <f>IF(PaymentSchedule34[[#This Row],[PMT NO]]&lt;&gt;"",PaymentSchedule34[[#This Row],[TOTAL PAYMENT]]-PaymentSchedule34[[#This Row],[INTEREST]],"")</f>
        <v>3751.8682768176805</v>
      </c>
      <c r="I255" s="19">
        <f>IF(PaymentSchedule34[[#This Row],[PMT NO]]&lt;&gt;"",PaymentSchedule34[[#This Row],[BEGINNING BALANCE]]*(InterestRate/PaymentsPerYear),"")</f>
        <v>4920.5357210681286</v>
      </c>
      <c r="J25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1385575.8647306538</v>
      </c>
      <c r="K255" s="19">
        <f>IF(PaymentSchedule34[[#This Row],[PMT NO]]&lt;&gt;"",SUM(INDEX(PaymentSchedule34[INTEREST],1,1):PaymentSchedule34[[#This Row],[INTEREST]]),"")</f>
        <v>1501642.4402147904</v>
      </c>
    </row>
    <row r="256" spans="2:11" x14ac:dyDescent="0.3">
      <c r="B256" s="21">
        <f>IF(LoanIsGood,IF(ROW()-ROW(PaymentSchedule34[[#Headers],[PMT NO]])&gt;ScheduledNumberOfPayments,"",ROW()-ROW(PaymentSchedule34[[#Headers],[PMT NO]])),"")</f>
        <v>245</v>
      </c>
      <c r="C256" s="20">
        <f>IF(PaymentSchedule34[[#This Row],[PMT NO]]&lt;&gt;"",EOMONTH(LoanStartDate,ROW(PaymentSchedule34[[#This Row],[PMT NO]])-ROW(PaymentSchedule34[[#Headers],[PMT NO]])-2)+DAY(LoanStartDate),"")</f>
        <v>51075</v>
      </c>
      <c r="D256" s="19">
        <f>IF(PaymentSchedule34[[#This Row],[PMT NO]]&lt;&gt;"",IF(ROW()-ROW(PaymentSchedule34[[#Headers],[BEGINNING BALANCE]])=1,LoanAmount,INDEX(PaymentSchedule34[ENDING BALANCE],ROW()-ROW(PaymentSchedule34[[#Headers],[BEGINNING BALANCE]])-1)),"")</f>
        <v>1385575.8647306538</v>
      </c>
      <c r="E256" s="19">
        <f>IF(PaymentSchedule34[[#This Row],[PMT NO]]&lt;&gt;"",ScheduledPayment,"")</f>
        <v>8672.4039978858091</v>
      </c>
      <c r="F25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5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56" s="19">
        <f>IF(PaymentSchedule34[[#This Row],[PMT NO]]&lt;&gt;"",PaymentSchedule34[[#This Row],[TOTAL PAYMENT]]-PaymentSchedule34[[#This Row],[INTEREST]],"")</f>
        <v>3765.1561436314096</v>
      </c>
      <c r="I256" s="19">
        <f>IF(PaymentSchedule34[[#This Row],[PMT NO]]&lt;&gt;"",PaymentSchedule34[[#This Row],[BEGINNING BALANCE]]*(InterestRate/PaymentsPerYear),"")</f>
        <v>4907.2478542543995</v>
      </c>
      <c r="J25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1381810.7085870225</v>
      </c>
      <c r="K256" s="19">
        <f>IF(PaymentSchedule34[[#This Row],[PMT NO]]&lt;&gt;"",SUM(INDEX(PaymentSchedule34[INTEREST],1,1):PaymentSchedule34[[#This Row],[INTEREST]]),"")</f>
        <v>1506549.6880690448</v>
      </c>
    </row>
    <row r="257" spans="2:11" x14ac:dyDescent="0.3">
      <c r="B257" s="21">
        <f>IF(LoanIsGood,IF(ROW()-ROW(PaymentSchedule34[[#Headers],[PMT NO]])&gt;ScheduledNumberOfPayments,"",ROW()-ROW(PaymentSchedule34[[#Headers],[PMT NO]])),"")</f>
        <v>246</v>
      </c>
      <c r="C257" s="20">
        <f>IF(PaymentSchedule34[[#This Row],[PMT NO]]&lt;&gt;"",EOMONTH(LoanStartDate,ROW(PaymentSchedule34[[#This Row],[PMT NO]])-ROW(PaymentSchedule34[[#Headers],[PMT NO]])-2)+DAY(LoanStartDate),"")</f>
        <v>51105</v>
      </c>
      <c r="D257" s="19">
        <f>IF(PaymentSchedule34[[#This Row],[PMT NO]]&lt;&gt;"",IF(ROW()-ROW(PaymentSchedule34[[#Headers],[BEGINNING BALANCE]])=1,LoanAmount,INDEX(PaymentSchedule34[ENDING BALANCE],ROW()-ROW(PaymentSchedule34[[#Headers],[BEGINNING BALANCE]])-1)),"")</f>
        <v>1381810.7085870225</v>
      </c>
      <c r="E257" s="19">
        <f>IF(PaymentSchedule34[[#This Row],[PMT NO]]&lt;&gt;"",ScheduledPayment,"")</f>
        <v>8672.4039978858091</v>
      </c>
      <c r="F25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5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57" s="19">
        <f>IF(PaymentSchedule34[[#This Row],[PMT NO]]&lt;&gt;"",PaymentSchedule34[[#This Row],[TOTAL PAYMENT]]-PaymentSchedule34[[#This Row],[INTEREST]],"")</f>
        <v>3778.4910716401037</v>
      </c>
      <c r="I257" s="19">
        <f>IF(PaymentSchedule34[[#This Row],[PMT NO]]&lt;&gt;"",PaymentSchedule34[[#This Row],[BEGINNING BALANCE]]*(InterestRate/PaymentsPerYear),"")</f>
        <v>4893.9129262457054</v>
      </c>
      <c r="J25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1378032.2175153825</v>
      </c>
      <c r="K257" s="19">
        <f>IF(PaymentSchedule34[[#This Row],[PMT NO]]&lt;&gt;"",SUM(INDEX(PaymentSchedule34[INTEREST],1,1):PaymentSchedule34[[#This Row],[INTEREST]]),"")</f>
        <v>1511443.6009952906</v>
      </c>
    </row>
    <row r="258" spans="2:11" x14ac:dyDescent="0.3">
      <c r="B258" s="21">
        <f>IF(LoanIsGood,IF(ROW()-ROW(PaymentSchedule34[[#Headers],[PMT NO]])&gt;ScheduledNumberOfPayments,"",ROW()-ROW(PaymentSchedule34[[#Headers],[PMT NO]])),"")</f>
        <v>247</v>
      </c>
      <c r="C258" s="20">
        <f>IF(PaymentSchedule34[[#This Row],[PMT NO]]&lt;&gt;"",EOMONTH(LoanStartDate,ROW(PaymentSchedule34[[#This Row],[PMT NO]])-ROW(PaymentSchedule34[[#Headers],[PMT NO]])-2)+DAY(LoanStartDate),"")</f>
        <v>51136</v>
      </c>
      <c r="D258" s="19">
        <f>IF(PaymentSchedule34[[#This Row],[PMT NO]]&lt;&gt;"",IF(ROW()-ROW(PaymentSchedule34[[#Headers],[BEGINNING BALANCE]])=1,LoanAmount,INDEX(PaymentSchedule34[ENDING BALANCE],ROW()-ROW(PaymentSchedule34[[#Headers],[BEGINNING BALANCE]])-1)),"")</f>
        <v>1378032.2175153825</v>
      </c>
      <c r="E258" s="19">
        <f>IF(PaymentSchedule34[[#This Row],[PMT NO]]&lt;&gt;"",ScheduledPayment,"")</f>
        <v>8672.4039978858091</v>
      </c>
      <c r="F25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5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58" s="19">
        <f>IF(PaymentSchedule34[[#This Row],[PMT NO]]&lt;&gt;"",PaymentSchedule34[[#This Row],[TOTAL PAYMENT]]-PaymentSchedule34[[#This Row],[INTEREST]],"")</f>
        <v>3791.8732275188295</v>
      </c>
      <c r="I258" s="19">
        <f>IF(PaymentSchedule34[[#This Row],[PMT NO]]&lt;&gt;"",PaymentSchedule34[[#This Row],[BEGINNING BALANCE]]*(InterestRate/PaymentsPerYear),"")</f>
        <v>4880.5307703669796</v>
      </c>
      <c r="J25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1374240.3442878637</v>
      </c>
      <c r="K258" s="19">
        <f>IF(PaymentSchedule34[[#This Row],[PMT NO]]&lt;&gt;"",SUM(INDEX(PaymentSchedule34[INTEREST],1,1):PaymentSchedule34[[#This Row],[INTEREST]]),"")</f>
        <v>1516324.1317656576</v>
      </c>
    </row>
    <row r="259" spans="2:11" x14ac:dyDescent="0.3">
      <c r="B259" s="21">
        <f>IF(LoanIsGood,IF(ROW()-ROW(PaymentSchedule34[[#Headers],[PMT NO]])&gt;ScheduledNumberOfPayments,"",ROW()-ROW(PaymentSchedule34[[#Headers],[PMT NO]])),"")</f>
        <v>248</v>
      </c>
      <c r="C259" s="20">
        <f>IF(PaymentSchedule34[[#This Row],[PMT NO]]&lt;&gt;"",EOMONTH(LoanStartDate,ROW(PaymentSchedule34[[#This Row],[PMT NO]])-ROW(PaymentSchedule34[[#Headers],[PMT NO]])-2)+DAY(LoanStartDate),"")</f>
        <v>51167</v>
      </c>
      <c r="D259" s="19">
        <f>IF(PaymentSchedule34[[#This Row],[PMT NO]]&lt;&gt;"",IF(ROW()-ROW(PaymentSchedule34[[#Headers],[BEGINNING BALANCE]])=1,LoanAmount,INDEX(PaymentSchedule34[ENDING BALANCE],ROW()-ROW(PaymentSchedule34[[#Headers],[BEGINNING BALANCE]])-1)),"")</f>
        <v>1374240.3442878637</v>
      </c>
      <c r="E259" s="19">
        <f>IF(PaymentSchedule34[[#This Row],[PMT NO]]&lt;&gt;"",ScheduledPayment,"")</f>
        <v>8672.4039978858091</v>
      </c>
      <c r="F25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5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59" s="19">
        <f>IF(PaymentSchedule34[[#This Row],[PMT NO]]&lt;&gt;"",PaymentSchedule34[[#This Row],[TOTAL PAYMENT]]-PaymentSchedule34[[#This Row],[INTEREST]],"")</f>
        <v>3805.3027785329577</v>
      </c>
      <c r="I259" s="19">
        <f>IF(PaymentSchedule34[[#This Row],[PMT NO]]&lt;&gt;"",PaymentSchedule34[[#This Row],[BEGINNING BALANCE]]*(InterestRate/PaymentsPerYear),"")</f>
        <v>4867.1012193528513</v>
      </c>
      <c r="J25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1370435.0415093307</v>
      </c>
      <c r="K259" s="19">
        <f>IF(PaymentSchedule34[[#This Row],[PMT NO]]&lt;&gt;"",SUM(INDEX(PaymentSchedule34[INTEREST],1,1):PaymentSchedule34[[#This Row],[INTEREST]]),"")</f>
        <v>1521191.2329850104</v>
      </c>
    </row>
    <row r="260" spans="2:11" x14ac:dyDescent="0.3">
      <c r="B260" s="21">
        <f>IF(LoanIsGood,IF(ROW()-ROW(PaymentSchedule34[[#Headers],[PMT NO]])&gt;ScheduledNumberOfPayments,"",ROW()-ROW(PaymentSchedule34[[#Headers],[PMT NO]])),"")</f>
        <v>249</v>
      </c>
      <c r="C260" s="20">
        <f>IF(PaymentSchedule34[[#This Row],[PMT NO]]&lt;&gt;"",EOMONTH(LoanStartDate,ROW(PaymentSchedule34[[#This Row],[PMT NO]])-ROW(PaymentSchedule34[[#Headers],[PMT NO]])-2)+DAY(LoanStartDate),"")</f>
        <v>51196</v>
      </c>
      <c r="D260" s="19">
        <f>IF(PaymentSchedule34[[#This Row],[PMT NO]]&lt;&gt;"",IF(ROW()-ROW(PaymentSchedule34[[#Headers],[BEGINNING BALANCE]])=1,LoanAmount,INDEX(PaymentSchedule34[ENDING BALANCE],ROW()-ROW(PaymentSchedule34[[#Headers],[BEGINNING BALANCE]])-1)),"")</f>
        <v>1370435.0415093307</v>
      </c>
      <c r="E260" s="19">
        <f>IF(PaymentSchedule34[[#This Row],[PMT NO]]&lt;&gt;"",ScheduledPayment,"")</f>
        <v>8672.4039978858091</v>
      </c>
      <c r="F26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6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60" s="19">
        <f>IF(PaymentSchedule34[[#This Row],[PMT NO]]&lt;&gt;"",PaymentSchedule34[[#This Row],[TOTAL PAYMENT]]-PaymentSchedule34[[#This Row],[INTEREST]],"")</f>
        <v>3818.7798925402622</v>
      </c>
      <c r="I260" s="19">
        <f>IF(PaymentSchedule34[[#This Row],[PMT NO]]&lt;&gt;"",PaymentSchedule34[[#This Row],[BEGINNING BALANCE]]*(InterestRate/PaymentsPerYear),"")</f>
        <v>4853.6241053455469</v>
      </c>
      <c r="J26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1366616.2616167904</v>
      </c>
      <c r="K260" s="19">
        <f>IF(PaymentSchedule34[[#This Row],[PMT NO]]&lt;&gt;"",SUM(INDEX(PaymentSchedule34[INTEREST],1,1):PaymentSchedule34[[#This Row],[INTEREST]]),"")</f>
        <v>1526044.8570903558</v>
      </c>
    </row>
    <row r="261" spans="2:11" x14ac:dyDescent="0.3">
      <c r="B261" s="21">
        <f>IF(LoanIsGood,IF(ROW()-ROW(PaymentSchedule34[[#Headers],[PMT NO]])&gt;ScheduledNumberOfPayments,"",ROW()-ROW(PaymentSchedule34[[#Headers],[PMT NO]])),"")</f>
        <v>250</v>
      </c>
      <c r="C261" s="20">
        <f>IF(PaymentSchedule34[[#This Row],[PMT NO]]&lt;&gt;"",EOMONTH(LoanStartDate,ROW(PaymentSchedule34[[#This Row],[PMT NO]])-ROW(PaymentSchedule34[[#Headers],[PMT NO]])-2)+DAY(LoanStartDate),"")</f>
        <v>51227</v>
      </c>
      <c r="D261" s="19">
        <f>IF(PaymentSchedule34[[#This Row],[PMT NO]]&lt;&gt;"",IF(ROW()-ROW(PaymentSchedule34[[#Headers],[BEGINNING BALANCE]])=1,LoanAmount,INDEX(PaymentSchedule34[ENDING BALANCE],ROW()-ROW(PaymentSchedule34[[#Headers],[BEGINNING BALANCE]])-1)),"")</f>
        <v>1366616.2616167904</v>
      </c>
      <c r="E261" s="19">
        <f>IF(PaymentSchedule34[[#This Row],[PMT NO]]&lt;&gt;"",ScheduledPayment,"")</f>
        <v>8672.4039978858091</v>
      </c>
      <c r="F26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6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61" s="19">
        <f>IF(PaymentSchedule34[[#This Row],[PMT NO]]&lt;&gt;"",PaymentSchedule34[[#This Row],[TOTAL PAYMENT]]-PaymentSchedule34[[#This Row],[INTEREST]],"")</f>
        <v>3832.3047379930094</v>
      </c>
      <c r="I261" s="19">
        <f>IF(PaymentSchedule34[[#This Row],[PMT NO]]&lt;&gt;"",PaymentSchedule34[[#This Row],[BEGINNING BALANCE]]*(InterestRate/PaymentsPerYear),"")</f>
        <v>4840.0992598927996</v>
      </c>
      <c r="J26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1362783.9568787974</v>
      </c>
      <c r="K261" s="19">
        <f>IF(PaymentSchedule34[[#This Row],[PMT NO]]&lt;&gt;"",SUM(INDEX(PaymentSchedule34[INTEREST],1,1):PaymentSchedule34[[#This Row],[INTEREST]]),"")</f>
        <v>1530884.9563502485</v>
      </c>
    </row>
    <row r="262" spans="2:11" x14ac:dyDescent="0.3">
      <c r="B262" s="21">
        <f>IF(LoanIsGood,IF(ROW()-ROW(PaymentSchedule34[[#Headers],[PMT NO]])&gt;ScheduledNumberOfPayments,"",ROW()-ROW(PaymentSchedule34[[#Headers],[PMT NO]])),"")</f>
        <v>251</v>
      </c>
      <c r="C262" s="20">
        <f>IF(PaymentSchedule34[[#This Row],[PMT NO]]&lt;&gt;"",EOMONTH(LoanStartDate,ROW(PaymentSchedule34[[#This Row],[PMT NO]])-ROW(PaymentSchedule34[[#Headers],[PMT NO]])-2)+DAY(LoanStartDate),"")</f>
        <v>51257</v>
      </c>
      <c r="D262" s="19">
        <f>IF(PaymentSchedule34[[#This Row],[PMT NO]]&lt;&gt;"",IF(ROW()-ROW(PaymentSchedule34[[#Headers],[BEGINNING BALANCE]])=1,LoanAmount,INDEX(PaymentSchedule34[ENDING BALANCE],ROW()-ROW(PaymentSchedule34[[#Headers],[BEGINNING BALANCE]])-1)),"")</f>
        <v>1362783.9568787974</v>
      </c>
      <c r="E262" s="19">
        <f>IF(PaymentSchedule34[[#This Row],[PMT NO]]&lt;&gt;"",ScheduledPayment,"")</f>
        <v>8672.4039978858091</v>
      </c>
      <c r="F26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6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62" s="19">
        <f>IF(PaymentSchedule34[[#This Row],[PMT NO]]&lt;&gt;"",PaymentSchedule34[[#This Row],[TOTAL PAYMENT]]-PaymentSchedule34[[#This Row],[INTEREST]],"")</f>
        <v>3845.8774839400676</v>
      </c>
      <c r="I262" s="19">
        <f>IF(PaymentSchedule34[[#This Row],[PMT NO]]&lt;&gt;"",PaymentSchedule34[[#This Row],[BEGINNING BALANCE]]*(InterestRate/PaymentsPerYear),"")</f>
        <v>4826.5265139457415</v>
      </c>
      <c r="J26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1358938.0793948574</v>
      </c>
      <c r="K262" s="19">
        <f>IF(PaymentSchedule34[[#This Row],[PMT NO]]&lt;&gt;"",SUM(INDEX(PaymentSchedule34[INTEREST],1,1):PaymentSchedule34[[#This Row],[INTEREST]]),"")</f>
        <v>1535711.4828641943</v>
      </c>
    </row>
    <row r="263" spans="2:11" x14ac:dyDescent="0.3">
      <c r="B263" s="21">
        <f>IF(LoanIsGood,IF(ROW()-ROW(PaymentSchedule34[[#Headers],[PMT NO]])&gt;ScheduledNumberOfPayments,"",ROW()-ROW(PaymentSchedule34[[#Headers],[PMT NO]])),"")</f>
        <v>252</v>
      </c>
      <c r="C263" s="20">
        <f>IF(PaymentSchedule34[[#This Row],[PMT NO]]&lt;&gt;"",EOMONTH(LoanStartDate,ROW(PaymentSchedule34[[#This Row],[PMT NO]])-ROW(PaymentSchedule34[[#Headers],[PMT NO]])-2)+DAY(LoanStartDate),"")</f>
        <v>51288</v>
      </c>
      <c r="D263" s="19">
        <f>IF(PaymentSchedule34[[#This Row],[PMT NO]]&lt;&gt;"",IF(ROW()-ROW(PaymentSchedule34[[#Headers],[BEGINNING BALANCE]])=1,LoanAmount,INDEX(PaymentSchedule34[ENDING BALANCE],ROW()-ROW(PaymentSchedule34[[#Headers],[BEGINNING BALANCE]])-1)),"")</f>
        <v>1358938.0793948574</v>
      </c>
      <c r="E263" s="19">
        <f>IF(PaymentSchedule34[[#This Row],[PMT NO]]&lt;&gt;"",ScheduledPayment,"")</f>
        <v>8672.4039978858091</v>
      </c>
      <c r="F26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6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63" s="19">
        <f>IF(PaymentSchedule34[[#This Row],[PMT NO]]&lt;&gt;"",PaymentSchedule34[[#This Row],[TOTAL PAYMENT]]-PaymentSchedule34[[#This Row],[INTEREST]],"")</f>
        <v>3859.4983000290222</v>
      </c>
      <c r="I263" s="19">
        <f>IF(PaymentSchedule34[[#This Row],[PMT NO]]&lt;&gt;"",PaymentSchedule34[[#This Row],[BEGINNING BALANCE]]*(InterestRate/PaymentsPerYear),"")</f>
        <v>4812.9056978567869</v>
      </c>
      <c r="J26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1355078.5810948284</v>
      </c>
      <c r="K263" s="19">
        <f>IF(PaymentSchedule34[[#This Row],[PMT NO]]&lt;&gt;"",SUM(INDEX(PaymentSchedule34[INTEREST],1,1):PaymentSchedule34[[#This Row],[INTEREST]]),"")</f>
        <v>1540524.3885620511</v>
      </c>
    </row>
    <row r="264" spans="2:11" x14ac:dyDescent="0.3">
      <c r="B264" s="21">
        <f>IF(LoanIsGood,IF(ROW()-ROW(PaymentSchedule34[[#Headers],[PMT NO]])&gt;ScheduledNumberOfPayments,"",ROW()-ROW(PaymentSchedule34[[#Headers],[PMT NO]])),"")</f>
        <v>253</v>
      </c>
      <c r="C264" s="20">
        <f>IF(PaymentSchedule34[[#This Row],[PMT NO]]&lt;&gt;"",EOMONTH(LoanStartDate,ROW(PaymentSchedule34[[#This Row],[PMT NO]])-ROW(PaymentSchedule34[[#Headers],[PMT NO]])-2)+DAY(LoanStartDate),"")</f>
        <v>51318</v>
      </c>
      <c r="D264" s="19">
        <f>IF(PaymentSchedule34[[#This Row],[PMT NO]]&lt;&gt;"",IF(ROW()-ROW(PaymentSchedule34[[#Headers],[BEGINNING BALANCE]])=1,LoanAmount,INDEX(PaymentSchedule34[ENDING BALANCE],ROW()-ROW(PaymentSchedule34[[#Headers],[BEGINNING BALANCE]])-1)),"")</f>
        <v>1355078.5810948284</v>
      </c>
      <c r="E264" s="19">
        <f>IF(PaymentSchedule34[[#This Row],[PMT NO]]&lt;&gt;"",ScheduledPayment,"")</f>
        <v>8672.4039978858091</v>
      </c>
      <c r="F26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6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64" s="19">
        <f>IF(PaymentSchedule34[[#This Row],[PMT NO]]&lt;&gt;"",PaymentSchedule34[[#This Row],[TOTAL PAYMENT]]-PaymentSchedule34[[#This Row],[INTEREST]],"")</f>
        <v>3873.167356508291</v>
      </c>
      <c r="I264" s="19">
        <f>IF(PaymentSchedule34[[#This Row],[PMT NO]]&lt;&gt;"",PaymentSchedule34[[#This Row],[BEGINNING BALANCE]]*(InterestRate/PaymentsPerYear),"")</f>
        <v>4799.236641377518</v>
      </c>
      <c r="J26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1351205.4137383201</v>
      </c>
      <c r="K264" s="19">
        <f>IF(PaymentSchedule34[[#This Row],[PMT NO]]&lt;&gt;"",SUM(INDEX(PaymentSchedule34[INTEREST],1,1):PaymentSchedule34[[#This Row],[INTEREST]]),"")</f>
        <v>1545323.6252034286</v>
      </c>
    </row>
    <row r="265" spans="2:11" x14ac:dyDescent="0.3">
      <c r="B265" s="21">
        <f>IF(LoanIsGood,IF(ROW()-ROW(PaymentSchedule34[[#Headers],[PMT NO]])&gt;ScheduledNumberOfPayments,"",ROW()-ROW(PaymentSchedule34[[#Headers],[PMT NO]])),"")</f>
        <v>254</v>
      </c>
      <c r="C265" s="20">
        <f>IF(PaymentSchedule34[[#This Row],[PMT NO]]&lt;&gt;"",EOMONTH(LoanStartDate,ROW(PaymentSchedule34[[#This Row],[PMT NO]])-ROW(PaymentSchedule34[[#Headers],[PMT NO]])-2)+DAY(LoanStartDate),"")</f>
        <v>51349</v>
      </c>
      <c r="D265" s="19">
        <f>IF(PaymentSchedule34[[#This Row],[PMT NO]]&lt;&gt;"",IF(ROW()-ROW(PaymentSchedule34[[#Headers],[BEGINNING BALANCE]])=1,LoanAmount,INDEX(PaymentSchedule34[ENDING BALANCE],ROW()-ROW(PaymentSchedule34[[#Headers],[BEGINNING BALANCE]])-1)),"")</f>
        <v>1351205.4137383201</v>
      </c>
      <c r="E265" s="19">
        <f>IF(PaymentSchedule34[[#This Row],[PMT NO]]&lt;&gt;"",ScheduledPayment,"")</f>
        <v>8672.4039978858091</v>
      </c>
      <c r="F26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6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65" s="19">
        <f>IF(PaymentSchedule34[[#This Row],[PMT NO]]&lt;&gt;"",PaymentSchedule34[[#This Row],[TOTAL PAYMENT]]-PaymentSchedule34[[#This Row],[INTEREST]],"")</f>
        <v>3886.8848242292579</v>
      </c>
      <c r="I265" s="19">
        <f>IF(PaymentSchedule34[[#This Row],[PMT NO]]&lt;&gt;"",PaymentSchedule34[[#This Row],[BEGINNING BALANCE]]*(InterestRate/PaymentsPerYear),"")</f>
        <v>4785.5191736565512</v>
      </c>
      <c r="J26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1347318.5289140909</v>
      </c>
      <c r="K265" s="19">
        <f>IF(PaymentSchedule34[[#This Row],[PMT NO]]&lt;&gt;"",SUM(INDEX(PaymentSchedule34[INTEREST],1,1):PaymentSchedule34[[#This Row],[INTEREST]]),"")</f>
        <v>1550109.1443770851</v>
      </c>
    </row>
    <row r="266" spans="2:11" x14ac:dyDescent="0.3">
      <c r="B266" s="21">
        <f>IF(LoanIsGood,IF(ROW()-ROW(PaymentSchedule34[[#Headers],[PMT NO]])&gt;ScheduledNumberOfPayments,"",ROW()-ROW(PaymentSchedule34[[#Headers],[PMT NO]])),"")</f>
        <v>255</v>
      </c>
      <c r="C266" s="20">
        <f>IF(PaymentSchedule34[[#This Row],[PMT NO]]&lt;&gt;"",EOMONTH(LoanStartDate,ROW(PaymentSchedule34[[#This Row],[PMT NO]])-ROW(PaymentSchedule34[[#Headers],[PMT NO]])-2)+DAY(LoanStartDate),"")</f>
        <v>51380</v>
      </c>
      <c r="D266" s="19">
        <f>IF(PaymentSchedule34[[#This Row],[PMT NO]]&lt;&gt;"",IF(ROW()-ROW(PaymentSchedule34[[#Headers],[BEGINNING BALANCE]])=1,LoanAmount,INDEX(PaymentSchedule34[ENDING BALANCE],ROW()-ROW(PaymentSchedule34[[#Headers],[BEGINNING BALANCE]])-1)),"")</f>
        <v>1347318.5289140909</v>
      </c>
      <c r="E266" s="19">
        <f>IF(PaymentSchedule34[[#This Row],[PMT NO]]&lt;&gt;"",ScheduledPayment,"")</f>
        <v>8672.4039978858091</v>
      </c>
      <c r="F26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6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66" s="19">
        <f>IF(PaymentSchedule34[[#This Row],[PMT NO]]&lt;&gt;"",PaymentSchedule34[[#This Row],[TOTAL PAYMENT]]-PaymentSchedule34[[#This Row],[INTEREST]],"")</f>
        <v>3900.6508746484033</v>
      </c>
      <c r="I266" s="19">
        <f>IF(PaymentSchedule34[[#This Row],[PMT NO]]&lt;&gt;"",PaymentSchedule34[[#This Row],[BEGINNING BALANCE]]*(InterestRate/PaymentsPerYear),"")</f>
        <v>4771.7531232374058</v>
      </c>
      <c r="J26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1343417.8780394425</v>
      </c>
      <c r="K266" s="19">
        <f>IF(PaymentSchedule34[[#This Row],[PMT NO]]&lt;&gt;"",SUM(INDEX(PaymentSchedule34[INTEREST],1,1):PaymentSchedule34[[#This Row],[INTEREST]]),"")</f>
        <v>1554880.8975003227</v>
      </c>
    </row>
    <row r="267" spans="2:11" x14ac:dyDescent="0.3">
      <c r="B267" s="21">
        <f>IF(LoanIsGood,IF(ROW()-ROW(PaymentSchedule34[[#Headers],[PMT NO]])&gt;ScheduledNumberOfPayments,"",ROW()-ROW(PaymentSchedule34[[#Headers],[PMT NO]])),"")</f>
        <v>256</v>
      </c>
      <c r="C267" s="20">
        <f>IF(PaymentSchedule34[[#This Row],[PMT NO]]&lt;&gt;"",EOMONTH(LoanStartDate,ROW(PaymentSchedule34[[#This Row],[PMT NO]])-ROW(PaymentSchedule34[[#Headers],[PMT NO]])-2)+DAY(LoanStartDate),"")</f>
        <v>51410</v>
      </c>
      <c r="D267" s="19">
        <f>IF(PaymentSchedule34[[#This Row],[PMT NO]]&lt;&gt;"",IF(ROW()-ROW(PaymentSchedule34[[#Headers],[BEGINNING BALANCE]])=1,LoanAmount,INDEX(PaymentSchedule34[ENDING BALANCE],ROW()-ROW(PaymentSchedule34[[#Headers],[BEGINNING BALANCE]])-1)),"")</f>
        <v>1343417.8780394425</v>
      </c>
      <c r="E267" s="19">
        <f>IF(PaymentSchedule34[[#This Row],[PMT NO]]&lt;&gt;"",ScheduledPayment,"")</f>
        <v>8672.4039978858091</v>
      </c>
      <c r="F26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6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67" s="19">
        <f>IF(PaymentSchedule34[[#This Row],[PMT NO]]&lt;&gt;"",PaymentSchedule34[[#This Row],[TOTAL PAYMENT]]-PaymentSchedule34[[#This Row],[INTEREST]],"")</f>
        <v>3914.46567982945</v>
      </c>
      <c r="I267" s="19">
        <f>IF(PaymentSchedule34[[#This Row],[PMT NO]]&lt;&gt;"",PaymentSchedule34[[#This Row],[BEGINNING BALANCE]]*(InterestRate/PaymentsPerYear),"")</f>
        <v>4757.9383180563591</v>
      </c>
      <c r="J26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1339503.412359613</v>
      </c>
      <c r="K267" s="19">
        <f>IF(PaymentSchedule34[[#This Row],[PMT NO]]&lt;&gt;"",SUM(INDEX(PaymentSchedule34[INTEREST],1,1):PaymentSchedule34[[#This Row],[INTEREST]]),"")</f>
        <v>1559638.835818379</v>
      </c>
    </row>
    <row r="268" spans="2:11" x14ac:dyDescent="0.3">
      <c r="B268" s="21">
        <f>IF(LoanIsGood,IF(ROW()-ROW(PaymentSchedule34[[#Headers],[PMT NO]])&gt;ScheduledNumberOfPayments,"",ROW()-ROW(PaymentSchedule34[[#Headers],[PMT NO]])),"")</f>
        <v>257</v>
      </c>
      <c r="C268" s="20">
        <f>IF(PaymentSchedule34[[#This Row],[PMT NO]]&lt;&gt;"",EOMONTH(LoanStartDate,ROW(PaymentSchedule34[[#This Row],[PMT NO]])-ROW(PaymentSchedule34[[#Headers],[PMT NO]])-2)+DAY(LoanStartDate),"")</f>
        <v>51441</v>
      </c>
      <c r="D268" s="19">
        <f>IF(PaymentSchedule34[[#This Row],[PMT NO]]&lt;&gt;"",IF(ROW()-ROW(PaymentSchedule34[[#Headers],[BEGINNING BALANCE]])=1,LoanAmount,INDEX(PaymentSchedule34[ENDING BALANCE],ROW()-ROW(PaymentSchedule34[[#Headers],[BEGINNING BALANCE]])-1)),"")</f>
        <v>1339503.412359613</v>
      </c>
      <c r="E268" s="19">
        <f>IF(PaymentSchedule34[[#This Row],[PMT NO]]&lt;&gt;"",ScheduledPayment,"")</f>
        <v>8672.4039978858091</v>
      </c>
      <c r="F26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6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68" s="19">
        <f>IF(PaymentSchedule34[[#This Row],[PMT NO]]&lt;&gt;"",PaymentSchedule34[[#This Row],[TOTAL PAYMENT]]-PaymentSchedule34[[#This Row],[INTEREST]],"")</f>
        <v>3928.3294124455124</v>
      </c>
      <c r="I268" s="19">
        <f>IF(PaymentSchedule34[[#This Row],[PMT NO]]&lt;&gt;"",PaymentSchedule34[[#This Row],[BEGINNING BALANCE]]*(InterestRate/PaymentsPerYear),"")</f>
        <v>4744.0745854402967</v>
      </c>
      <c r="J26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1335575.0829471676</v>
      </c>
      <c r="K268" s="19">
        <f>IF(PaymentSchedule34[[#This Row],[PMT NO]]&lt;&gt;"",SUM(INDEX(PaymentSchedule34[INTEREST],1,1):PaymentSchedule34[[#This Row],[INTEREST]]),"")</f>
        <v>1564382.9104038193</v>
      </c>
    </row>
    <row r="269" spans="2:11" x14ac:dyDescent="0.3">
      <c r="B269" s="21">
        <f>IF(LoanIsGood,IF(ROW()-ROW(PaymentSchedule34[[#Headers],[PMT NO]])&gt;ScheduledNumberOfPayments,"",ROW()-ROW(PaymentSchedule34[[#Headers],[PMT NO]])),"")</f>
        <v>258</v>
      </c>
      <c r="C269" s="20">
        <f>IF(PaymentSchedule34[[#This Row],[PMT NO]]&lt;&gt;"",EOMONTH(LoanStartDate,ROW(PaymentSchedule34[[#This Row],[PMT NO]])-ROW(PaymentSchedule34[[#Headers],[PMT NO]])-2)+DAY(LoanStartDate),"")</f>
        <v>51471</v>
      </c>
      <c r="D269" s="19">
        <f>IF(PaymentSchedule34[[#This Row],[PMT NO]]&lt;&gt;"",IF(ROW()-ROW(PaymentSchedule34[[#Headers],[BEGINNING BALANCE]])=1,LoanAmount,INDEX(PaymentSchedule34[ENDING BALANCE],ROW()-ROW(PaymentSchedule34[[#Headers],[BEGINNING BALANCE]])-1)),"")</f>
        <v>1335575.0829471676</v>
      </c>
      <c r="E269" s="19">
        <f>IF(PaymentSchedule34[[#This Row],[PMT NO]]&lt;&gt;"",ScheduledPayment,"")</f>
        <v>8672.4039978858091</v>
      </c>
      <c r="F26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6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69" s="19">
        <f>IF(PaymentSchedule34[[#This Row],[PMT NO]]&lt;&gt;"",PaymentSchedule34[[#This Row],[TOTAL PAYMENT]]-PaymentSchedule34[[#This Row],[INTEREST]],"")</f>
        <v>3942.2422457812572</v>
      </c>
      <c r="I269" s="19">
        <f>IF(PaymentSchedule34[[#This Row],[PMT NO]]&lt;&gt;"",PaymentSchedule34[[#This Row],[BEGINNING BALANCE]]*(InterestRate/PaymentsPerYear),"")</f>
        <v>4730.1617521045519</v>
      </c>
      <c r="J26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1331632.8407013863</v>
      </c>
      <c r="K269" s="19">
        <f>IF(PaymentSchedule34[[#This Row],[PMT NO]]&lt;&gt;"",SUM(INDEX(PaymentSchedule34[INTEREST],1,1):PaymentSchedule34[[#This Row],[INTEREST]]),"")</f>
        <v>1569113.0721559238</v>
      </c>
    </row>
    <row r="270" spans="2:11" x14ac:dyDescent="0.3">
      <c r="B270" s="21">
        <f>IF(LoanIsGood,IF(ROW()-ROW(PaymentSchedule34[[#Headers],[PMT NO]])&gt;ScheduledNumberOfPayments,"",ROW()-ROW(PaymentSchedule34[[#Headers],[PMT NO]])),"")</f>
        <v>259</v>
      </c>
      <c r="C270" s="20">
        <f>IF(PaymentSchedule34[[#This Row],[PMT NO]]&lt;&gt;"",EOMONTH(LoanStartDate,ROW(PaymentSchedule34[[#This Row],[PMT NO]])-ROW(PaymentSchedule34[[#Headers],[PMT NO]])-2)+DAY(LoanStartDate),"")</f>
        <v>51502</v>
      </c>
      <c r="D270" s="19">
        <f>IF(PaymentSchedule34[[#This Row],[PMT NO]]&lt;&gt;"",IF(ROW()-ROW(PaymentSchedule34[[#Headers],[BEGINNING BALANCE]])=1,LoanAmount,INDEX(PaymentSchedule34[ENDING BALANCE],ROW()-ROW(PaymentSchedule34[[#Headers],[BEGINNING BALANCE]])-1)),"")</f>
        <v>1331632.8407013863</v>
      </c>
      <c r="E270" s="19">
        <f>IF(PaymentSchedule34[[#This Row],[PMT NO]]&lt;&gt;"",ScheduledPayment,"")</f>
        <v>8672.4039978858091</v>
      </c>
      <c r="F27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7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70" s="19">
        <f>IF(PaymentSchedule34[[#This Row],[PMT NO]]&lt;&gt;"",PaymentSchedule34[[#This Row],[TOTAL PAYMENT]]-PaymentSchedule34[[#This Row],[INTEREST]],"")</f>
        <v>3956.2043537350655</v>
      </c>
      <c r="I270" s="19">
        <f>IF(PaymentSchedule34[[#This Row],[PMT NO]]&lt;&gt;"",PaymentSchedule34[[#This Row],[BEGINNING BALANCE]]*(InterestRate/PaymentsPerYear),"")</f>
        <v>4716.1996441507436</v>
      </c>
      <c r="J27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1327676.6363476512</v>
      </c>
      <c r="K270" s="19">
        <f>IF(PaymentSchedule34[[#This Row],[PMT NO]]&lt;&gt;"",SUM(INDEX(PaymentSchedule34[INTEREST],1,1):PaymentSchedule34[[#This Row],[INTEREST]]),"")</f>
        <v>1573829.2718000745</v>
      </c>
    </row>
    <row r="271" spans="2:11" x14ac:dyDescent="0.3">
      <c r="B271" s="21">
        <f>IF(LoanIsGood,IF(ROW()-ROW(PaymentSchedule34[[#Headers],[PMT NO]])&gt;ScheduledNumberOfPayments,"",ROW()-ROW(PaymentSchedule34[[#Headers],[PMT NO]])),"")</f>
        <v>260</v>
      </c>
      <c r="C271" s="20">
        <f>IF(PaymentSchedule34[[#This Row],[PMT NO]]&lt;&gt;"",EOMONTH(LoanStartDate,ROW(PaymentSchedule34[[#This Row],[PMT NO]])-ROW(PaymentSchedule34[[#Headers],[PMT NO]])-2)+DAY(LoanStartDate),"")</f>
        <v>51533</v>
      </c>
      <c r="D271" s="19">
        <f>IF(PaymentSchedule34[[#This Row],[PMT NO]]&lt;&gt;"",IF(ROW()-ROW(PaymentSchedule34[[#Headers],[BEGINNING BALANCE]])=1,LoanAmount,INDEX(PaymentSchedule34[ENDING BALANCE],ROW()-ROW(PaymentSchedule34[[#Headers],[BEGINNING BALANCE]])-1)),"")</f>
        <v>1327676.6363476512</v>
      </c>
      <c r="E271" s="19">
        <f>IF(PaymentSchedule34[[#This Row],[PMT NO]]&lt;&gt;"",ScheduledPayment,"")</f>
        <v>8672.4039978858091</v>
      </c>
      <c r="F27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7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71" s="19">
        <f>IF(PaymentSchedule34[[#This Row],[PMT NO]]&lt;&gt;"",PaymentSchedule34[[#This Row],[TOTAL PAYMENT]]-PaymentSchedule34[[#This Row],[INTEREST]],"")</f>
        <v>3970.2159108212109</v>
      </c>
      <c r="I271" s="19">
        <f>IF(PaymentSchedule34[[#This Row],[PMT NO]]&lt;&gt;"",PaymentSchedule34[[#This Row],[BEGINNING BALANCE]]*(InterestRate/PaymentsPerYear),"")</f>
        <v>4702.1880870645982</v>
      </c>
      <c r="J27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1323706.42043683</v>
      </c>
      <c r="K271" s="19">
        <f>IF(PaymentSchedule34[[#This Row],[PMT NO]]&lt;&gt;"",SUM(INDEX(PaymentSchedule34[INTEREST],1,1):PaymentSchedule34[[#This Row],[INTEREST]]),"")</f>
        <v>1578531.459887139</v>
      </c>
    </row>
    <row r="272" spans="2:11" x14ac:dyDescent="0.3">
      <c r="B272" s="21">
        <f>IF(LoanIsGood,IF(ROW()-ROW(PaymentSchedule34[[#Headers],[PMT NO]])&gt;ScheduledNumberOfPayments,"",ROW()-ROW(PaymentSchedule34[[#Headers],[PMT NO]])),"")</f>
        <v>261</v>
      </c>
      <c r="C272" s="20">
        <f>IF(PaymentSchedule34[[#This Row],[PMT NO]]&lt;&gt;"",EOMONTH(LoanStartDate,ROW(PaymentSchedule34[[#This Row],[PMT NO]])-ROW(PaymentSchedule34[[#Headers],[PMT NO]])-2)+DAY(LoanStartDate),"")</f>
        <v>51561</v>
      </c>
      <c r="D272" s="19">
        <f>IF(PaymentSchedule34[[#This Row],[PMT NO]]&lt;&gt;"",IF(ROW()-ROW(PaymentSchedule34[[#Headers],[BEGINNING BALANCE]])=1,LoanAmount,INDEX(PaymentSchedule34[ENDING BALANCE],ROW()-ROW(PaymentSchedule34[[#Headers],[BEGINNING BALANCE]])-1)),"")</f>
        <v>1323706.42043683</v>
      </c>
      <c r="E272" s="19">
        <f>IF(PaymentSchedule34[[#This Row],[PMT NO]]&lt;&gt;"",ScheduledPayment,"")</f>
        <v>8672.4039978858091</v>
      </c>
      <c r="F27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7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72" s="19">
        <f>IF(PaymentSchedule34[[#This Row],[PMT NO]]&lt;&gt;"",PaymentSchedule34[[#This Row],[TOTAL PAYMENT]]-PaymentSchedule34[[#This Row],[INTEREST]],"")</f>
        <v>3984.2770921720357</v>
      </c>
      <c r="I272" s="19">
        <f>IF(PaymentSchedule34[[#This Row],[PMT NO]]&lt;&gt;"",PaymentSchedule34[[#This Row],[BEGINNING BALANCE]]*(InterestRate/PaymentsPerYear),"")</f>
        <v>4688.1269057137733</v>
      </c>
      <c r="J27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1319722.143344658</v>
      </c>
      <c r="K272" s="19">
        <f>IF(PaymentSchedule34[[#This Row],[PMT NO]]&lt;&gt;"",SUM(INDEX(PaymentSchedule34[INTEREST],1,1):PaymentSchedule34[[#This Row],[INTEREST]]),"")</f>
        <v>1583219.5867928527</v>
      </c>
    </row>
    <row r="273" spans="2:11" x14ac:dyDescent="0.3">
      <c r="B273" s="21">
        <f>IF(LoanIsGood,IF(ROW()-ROW(PaymentSchedule34[[#Headers],[PMT NO]])&gt;ScheduledNumberOfPayments,"",ROW()-ROW(PaymentSchedule34[[#Headers],[PMT NO]])),"")</f>
        <v>262</v>
      </c>
      <c r="C273" s="20">
        <f>IF(PaymentSchedule34[[#This Row],[PMT NO]]&lt;&gt;"",EOMONTH(LoanStartDate,ROW(PaymentSchedule34[[#This Row],[PMT NO]])-ROW(PaymentSchedule34[[#Headers],[PMT NO]])-2)+DAY(LoanStartDate),"")</f>
        <v>51592</v>
      </c>
      <c r="D273" s="19">
        <f>IF(PaymentSchedule34[[#This Row],[PMT NO]]&lt;&gt;"",IF(ROW()-ROW(PaymentSchedule34[[#Headers],[BEGINNING BALANCE]])=1,LoanAmount,INDEX(PaymentSchedule34[ENDING BALANCE],ROW()-ROW(PaymentSchedule34[[#Headers],[BEGINNING BALANCE]])-1)),"")</f>
        <v>1319722.143344658</v>
      </c>
      <c r="E273" s="19">
        <f>IF(PaymentSchedule34[[#This Row],[PMT NO]]&lt;&gt;"",ScheduledPayment,"")</f>
        <v>8672.4039978858091</v>
      </c>
      <c r="F27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7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73" s="19">
        <f>IF(PaymentSchedule34[[#This Row],[PMT NO]]&lt;&gt;"",PaymentSchedule34[[#This Row],[TOTAL PAYMENT]]-PaymentSchedule34[[#This Row],[INTEREST]],"")</f>
        <v>3998.3880735401453</v>
      </c>
      <c r="I273" s="19">
        <f>IF(PaymentSchedule34[[#This Row],[PMT NO]]&lt;&gt;"",PaymentSchedule34[[#This Row],[BEGINNING BALANCE]]*(InterestRate/PaymentsPerYear),"")</f>
        <v>4674.0159243456637</v>
      </c>
      <c r="J27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1315723.7552711179</v>
      </c>
      <c r="K273" s="19">
        <f>IF(PaymentSchedule34[[#This Row],[PMT NO]]&lt;&gt;"",SUM(INDEX(PaymentSchedule34[INTEREST],1,1):PaymentSchedule34[[#This Row],[INTEREST]]),"")</f>
        <v>1587893.6027171984</v>
      </c>
    </row>
    <row r="274" spans="2:11" x14ac:dyDescent="0.3">
      <c r="B274" s="21">
        <f>IF(LoanIsGood,IF(ROW()-ROW(PaymentSchedule34[[#Headers],[PMT NO]])&gt;ScheduledNumberOfPayments,"",ROW()-ROW(PaymentSchedule34[[#Headers],[PMT NO]])),"")</f>
        <v>263</v>
      </c>
      <c r="C274" s="20">
        <f>IF(PaymentSchedule34[[#This Row],[PMT NO]]&lt;&gt;"",EOMONTH(LoanStartDate,ROW(PaymentSchedule34[[#This Row],[PMT NO]])-ROW(PaymentSchedule34[[#Headers],[PMT NO]])-2)+DAY(LoanStartDate),"")</f>
        <v>51622</v>
      </c>
      <c r="D274" s="19">
        <f>IF(PaymentSchedule34[[#This Row],[PMT NO]]&lt;&gt;"",IF(ROW()-ROW(PaymentSchedule34[[#Headers],[BEGINNING BALANCE]])=1,LoanAmount,INDEX(PaymentSchedule34[ENDING BALANCE],ROW()-ROW(PaymentSchedule34[[#Headers],[BEGINNING BALANCE]])-1)),"")</f>
        <v>1315723.7552711179</v>
      </c>
      <c r="E274" s="19">
        <f>IF(PaymentSchedule34[[#This Row],[PMT NO]]&lt;&gt;"",ScheduledPayment,"")</f>
        <v>8672.4039978858091</v>
      </c>
      <c r="F27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7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74" s="19">
        <f>IF(PaymentSchedule34[[#This Row],[PMT NO]]&lt;&gt;"",PaymentSchedule34[[#This Row],[TOTAL PAYMENT]]-PaymentSchedule34[[#This Row],[INTEREST]],"")</f>
        <v>4012.5490313005994</v>
      </c>
      <c r="I274" s="19">
        <f>IF(PaymentSchedule34[[#This Row],[PMT NO]]&lt;&gt;"",PaymentSchedule34[[#This Row],[BEGINNING BALANCE]]*(InterestRate/PaymentsPerYear),"")</f>
        <v>4659.8549665852097</v>
      </c>
      <c r="J27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1311711.2062398172</v>
      </c>
      <c r="K274" s="19">
        <f>IF(PaymentSchedule34[[#This Row],[PMT NO]]&lt;&gt;"",SUM(INDEX(PaymentSchedule34[INTEREST],1,1):PaymentSchedule34[[#This Row],[INTEREST]]),"")</f>
        <v>1592553.4576837837</v>
      </c>
    </row>
    <row r="275" spans="2:11" x14ac:dyDescent="0.3">
      <c r="B275" s="21">
        <f>IF(LoanIsGood,IF(ROW()-ROW(PaymentSchedule34[[#Headers],[PMT NO]])&gt;ScheduledNumberOfPayments,"",ROW()-ROW(PaymentSchedule34[[#Headers],[PMT NO]])),"")</f>
        <v>264</v>
      </c>
      <c r="C275" s="20">
        <f>IF(PaymentSchedule34[[#This Row],[PMT NO]]&lt;&gt;"",EOMONTH(LoanStartDate,ROW(PaymentSchedule34[[#This Row],[PMT NO]])-ROW(PaymentSchedule34[[#Headers],[PMT NO]])-2)+DAY(LoanStartDate),"")</f>
        <v>51653</v>
      </c>
      <c r="D275" s="19">
        <f>IF(PaymentSchedule34[[#This Row],[PMT NO]]&lt;&gt;"",IF(ROW()-ROW(PaymentSchedule34[[#Headers],[BEGINNING BALANCE]])=1,LoanAmount,INDEX(PaymentSchedule34[ENDING BALANCE],ROW()-ROW(PaymentSchedule34[[#Headers],[BEGINNING BALANCE]])-1)),"")</f>
        <v>1311711.2062398172</v>
      </c>
      <c r="E275" s="19">
        <f>IF(PaymentSchedule34[[#This Row],[PMT NO]]&lt;&gt;"",ScheduledPayment,"")</f>
        <v>8672.4039978858091</v>
      </c>
      <c r="F27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7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75" s="19">
        <f>IF(PaymentSchedule34[[#This Row],[PMT NO]]&lt;&gt;"",PaymentSchedule34[[#This Row],[TOTAL PAYMENT]]-PaymentSchedule34[[#This Row],[INTEREST]],"")</f>
        <v>4026.7601424531231</v>
      </c>
      <c r="I275" s="19">
        <f>IF(PaymentSchedule34[[#This Row],[PMT NO]]&lt;&gt;"",PaymentSchedule34[[#This Row],[BEGINNING BALANCE]]*(InterestRate/PaymentsPerYear),"")</f>
        <v>4645.643855432686</v>
      </c>
      <c r="J27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1307684.4460973642</v>
      </c>
      <c r="K275" s="19">
        <f>IF(PaymentSchedule34[[#This Row],[PMT NO]]&lt;&gt;"",SUM(INDEX(PaymentSchedule34[INTEREST],1,1):PaymentSchedule34[[#This Row],[INTEREST]]),"")</f>
        <v>1597199.1015392165</v>
      </c>
    </row>
    <row r="276" spans="2:11" x14ac:dyDescent="0.3">
      <c r="B276" s="21">
        <f>IF(LoanIsGood,IF(ROW()-ROW(PaymentSchedule34[[#Headers],[PMT NO]])&gt;ScheduledNumberOfPayments,"",ROW()-ROW(PaymentSchedule34[[#Headers],[PMT NO]])),"")</f>
        <v>265</v>
      </c>
      <c r="C276" s="20">
        <f>IF(PaymentSchedule34[[#This Row],[PMT NO]]&lt;&gt;"",EOMONTH(LoanStartDate,ROW(PaymentSchedule34[[#This Row],[PMT NO]])-ROW(PaymentSchedule34[[#Headers],[PMT NO]])-2)+DAY(LoanStartDate),"")</f>
        <v>51683</v>
      </c>
      <c r="D276" s="19">
        <f>IF(PaymentSchedule34[[#This Row],[PMT NO]]&lt;&gt;"",IF(ROW()-ROW(PaymentSchedule34[[#Headers],[BEGINNING BALANCE]])=1,LoanAmount,INDEX(PaymentSchedule34[ENDING BALANCE],ROW()-ROW(PaymentSchedule34[[#Headers],[BEGINNING BALANCE]])-1)),"")</f>
        <v>1307684.4460973642</v>
      </c>
      <c r="E276" s="19">
        <f>IF(PaymentSchedule34[[#This Row],[PMT NO]]&lt;&gt;"",ScheduledPayment,"")</f>
        <v>8672.4039978858091</v>
      </c>
      <c r="F27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7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76" s="19">
        <f>IF(PaymentSchedule34[[#This Row],[PMT NO]]&lt;&gt;"",PaymentSchedule34[[#This Row],[TOTAL PAYMENT]]-PaymentSchedule34[[#This Row],[INTEREST]],"")</f>
        <v>4041.0215846243109</v>
      </c>
      <c r="I276" s="19">
        <f>IF(PaymentSchedule34[[#This Row],[PMT NO]]&lt;&gt;"",PaymentSchedule34[[#This Row],[BEGINNING BALANCE]]*(InterestRate/PaymentsPerYear),"")</f>
        <v>4631.3824132614982</v>
      </c>
      <c r="J27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1303643.4245127398</v>
      </c>
      <c r="K276" s="19">
        <f>IF(PaymentSchedule34[[#This Row],[PMT NO]]&lt;&gt;"",SUM(INDEX(PaymentSchedule34[INTEREST],1,1):PaymentSchedule34[[#This Row],[INTEREST]]),"")</f>
        <v>1601830.483952478</v>
      </c>
    </row>
    <row r="277" spans="2:11" x14ac:dyDescent="0.3">
      <c r="B277" s="21">
        <f>IF(LoanIsGood,IF(ROW()-ROW(PaymentSchedule34[[#Headers],[PMT NO]])&gt;ScheduledNumberOfPayments,"",ROW()-ROW(PaymentSchedule34[[#Headers],[PMT NO]])),"")</f>
        <v>266</v>
      </c>
      <c r="C277" s="20">
        <f>IF(PaymentSchedule34[[#This Row],[PMT NO]]&lt;&gt;"",EOMONTH(LoanStartDate,ROW(PaymentSchedule34[[#This Row],[PMT NO]])-ROW(PaymentSchedule34[[#Headers],[PMT NO]])-2)+DAY(LoanStartDate),"")</f>
        <v>51714</v>
      </c>
      <c r="D277" s="19">
        <f>IF(PaymentSchedule34[[#This Row],[PMT NO]]&lt;&gt;"",IF(ROW()-ROW(PaymentSchedule34[[#Headers],[BEGINNING BALANCE]])=1,LoanAmount,INDEX(PaymentSchedule34[ENDING BALANCE],ROW()-ROW(PaymentSchedule34[[#Headers],[BEGINNING BALANCE]])-1)),"")</f>
        <v>1303643.4245127398</v>
      </c>
      <c r="E277" s="19">
        <f>IF(PaymentSchedule34[[#This Row],[PMT NO]]&lt;&gt;"",ScheduledPayment,"")</f>
        <v>8672.4039978858091</v>
      </c>
      <c r="F27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7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77" s="19">
        <f>IF(PaymentSchedule34[[#This Row],[PMT NO]]&lt;&gt;"",PaymentSchedule34[[#This Row],[TOTAL PAYMENT]]-PaymentSchedule34[[#This Row],[INTEREST]],"")</f>
        <v>4055.3335360698557</v>
      </c>
      <c r="I277" s="19">
        <f>IF(PaymentSchedule34[[#This Row],[PMT NO]]&lt;&gt;"",PaymentSchedule34[[#This Row],[BEGINNING BALANCE]]*(InterestRate/PaymentsPerYear),"")</f>
        <v>4617.0704618159534</v>
      </c>
      <c r="J27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1299588.0909766699</v>
      </c>
      <c r="K277" s="19">
        <f>IF(PaymentSchedule34[[#This Row],[PMT NO]]&lt;&gt;"",SUM(INDEX(PaymentSchedule34[INTEREST],1,1):PaymentSchedule34[[#This Row],[INTEREST]]),"")</f>
        <v>1606447.554414294</v>
      </c>
    </row>
    <row r="278" spans="2:11" x14ac:dyDescent="0.3">
      <c r="B278" s="21">
        <f>IF(LoanIsGood,IF(ROW()-ROW(PaymentSchedule34[[#Headers],[PMT NO]])&gt;ScheduledNumberOfPayments,"",ROW()-ROW(PaymentSchedule34[[#Headers],[PMT NO]])),"")</f>
        <v>267</v>
      </c>
      <c r="C278" s="20">
        <f>IF(PaymentSchedule34[[#This Row],[PMT NO]]&lt;&gt;"",EOMONTH(LoanStartDate,ROW(PaymentSchedule34[[#This Row],[PMT NO]])-ROW(PaymentSchedule34[[#Headers],[PMT NO]])-2)+DAY(LoanStartDate),"")</f>
        <v>51745</v>
      </c>
      <c r="D278" s="19">
        <f>IF(PaymentSchedule34[[#This Row],[PMT NO]]&lt;&gt;"",IF(ROW()-ROW(PaymentSchedule34[[#Headers],[BEGINNING BALANCE]])=1,LoanAmount,INDEX(PaymentSchedule34[ENDING BALANCE],ROW()-ROW(PaymentSchedule34[[#Headers],[BEGINNING BALANCE]])-1)),"")</f>
        <v>1299588.0909766699</v>
      </c>
      <c r="E278" s="19">
        <f>IF(PaymentSchedule34[[#This Row],[PMT NO]]&lt;&gt;"",ScheduledPayment,"")</f>
        <v>8672.4039978858091</v>
      </c>
      <c r="F27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7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78" s="19">
        <f>IF(PaymentSchedule34[[#This Row],[PMT NO]]&lt;&gt;"",PaymentSchedule34[[#This Row],[TOTAL PAYMENT]]-PaymentSchedule34[[#This Row],[INTEREST]],"")</f>
        <v>4069.6961756767696</v>
      </c>
      <c r="I278" s="19">
        <f>IF(PaymentSchedule34[[#This Row],[PMT NO]]&lt;&gt;"",PaymentSchedule34[[#This Row],[BEGINNING BALANCE]]*(InterestRate/PaymentsPerYear),"")</f>
        <v>4602.7078222090395</v>
      </c>
      <c r="J27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1295518.3948009931</v>
      </c>
      <c r="K278" s="19">
        <f>IF(PaymentSchedule34[[#This Row],[PMT NO]]&lt;&gt;"",SUM(INDEX(PaymentSchedule34[INTEREST],1,1):PaymentSchedule34[[#This Row],[INTEREST]]),"")</f>
        <v>1611050.262236503</v>
      </c>
    </row>
    <row r="279" spans="2:11" x14ac:dyDescent="0.3">
      <c r="B279" s="21">
        <f>IF(LoanIsGood,IF(ROW()-ROW(PaymentSchedule34[[#Headers],[PMT NO]])&gt;ScheduledNumberOfPayments,"",ROW()-ROW(PaymentSchedule34[[#Headers],[PMT NO]])),"")</f>
        <v>268</v>
      </c>
      <c r="C279" s="20">
        <f>IF(PaymentSchedule34[[#This Row],[PMT NO]]&lt;&gt;"",EOMONTH(LoanStartDate,ROW(PaymentSchedule34[[#This Row],[PMT NO]])-ROW(PaymentSchedule34[[#Headers],[PMT NO]])-2)+DAY(LoanStartDate),"")</f>
        <v>51775</v>
      </c>
      <c r="D279" s="19">
        <f>IF(PaymentSchedule34[[#This Row],[PMT NO]]&lt;&gt;"",IF(ROW()-ROW(PaymentSchedule34[[#Headers],[BEGINNING BALANCE]])=1,LoanAmount,INDEX(PaymentSchedule34[ENDING BALANCE],ROW()-ROW(PaymentSchedule34[[#Headers],[BEGINNING BALANCE]])-1)),"")</f>
        <v>1295518.3948009931</v>
      </c>
      <c r="E279" s="19">
        <f>IF(PaymentSchedule34[[#This Row],[PMT NO]]&lt;&gt;"",ScheduledPayment,"")</f>
        <v>8672.4039978858091</v>
      </c>
      <c r="F27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7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79" s="19">
        <f>IF(PaymentSchedule34[[#This Row],[PMT NO]]&lt;&gt;"",PaymentSchedule34[[#This Row],[TOTAL PAYMENT]]-PaymentSchedule34[[#This Row],[INTEREST]],"")</f>
        <v>4084.1096829656244</v>
      </c>
      <c r="I279" s="19">
        <f>IF(PaymentSchedule34[[#This Row],[PMT NO]]&lt;&gt;"",PaymentSchedule34[[#This Row],[BEGINNING BALANCE]]*(InterestRate/PaymentsPerYear),"")</f>
        <v>4588.2943149201847</v>
      </c>
      <c r="J27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1291434.2851180276</v>
      </c>
      <c r="K279" s="19">
        <f>IF(PaymentSchedule34[[#This Row],[PMT NO]]&lt;&gt;"",SUM(INDEX(PaymentSchedule34[INTEREST],1,1):PaymentSchedule34[[#This Row],[INTEREST]]),"")</f>
        <v>1615638.5565514232</v>
      </c>
    </row>
    <row r="280" spans="2:11" x14ac:dyDescent="0.3">
      <c r="B280" s="21">
        <f>IF(LoanIsGood,IF(ROW()-ROW(PaymentSchedule34[[#Headers],[PMT NO]])&gt;ScheduledNumberOfPayments,"",ROW()-ROW(PaymentSchedule34[[#Headers],[PMT NO]])),"")</f>
        <v>269</v>
      </c>
      <c r="C280" s="20">
        <f>IF(PaymentSchedule34[[#This Row],[PMT NO]]&lt;&gt;"",EOMONTH(LoanStartDate,ROW(PaymentSchedule34[[#This Row],[PMT NO]])-ROW(PaymentSchedule34[[#Headers],[PMT NO]])-2)+DAY(LoanStartDate),"")</f>
        <v>51806</v>
      </c>
      <c r="D280" s="19">
        <f>IF(PaymentSchedule34[[#This Row],[PMT NO]]&lt;&gt;"",IF(ROW()-ROW(PaymentSchedule34[[#Headers],[BEGINNING BALANCE]])=1,LoanAmount,INDEX(PaymentSchedule34[ENDING BALANCE],ROW()-ROW(PaymentSchedule34[[#Headers],[BEGINNING BALANCE]])-1)),"")</f>
        <v>1291434.2851180276</v>
      </c>
      <c r="E280" s="19">
        <f>IF(PaymentSchedule34[[#This Row],[PMT NO]]&lt;&gt;"",ScheduledPayment,"")</f>
        <v>8672.4039978858091</v>
      </c>
      <c r="F28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8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80" s="19">
        <f>IF(PaymentSchedule34[[#This Row],[PMT NO]]&lt;&gt;"",PaymentSchedule34[[#This Row],[TOTAL PAYMENT]]-PaymentSchedule34[[#This Row],[INTEREST]],"")</f>
        <v>4098.5742380927941</v>
      </c>
      <c r="I280" s="19">
        <f>IF(PaymentSchedule34[[#This Row],[PMT NO]]&lt;&gt;"",PaymentSchedule34[[#This Row],[BEGINNING BALANCE]]*(InterestRate/PaymentsPerYear),"")</f>
        <v>4573.829759793015</v>
      </c>
      <c r="J28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1287335.7108799347</v>
      </c>
      <c r="K280" s="19">
        <f>IF(PaymentSchedule34[[#This Row],[PMT NO]]&lt;&gt;"",SUM(INDEX(PaymentSchedule34[INTEREST],1,1):PaymentSchedule34[[#This Row],[INTEREST]]),"")</f>
        <v>1620212.3863112163</v>
      </c>
    </row>
    <row r="281" spans="2:11" x14ac:dyDescent="0.3">
      <c r="B281" s="21">
        <f>IF(LoanIsGood,IF(ROW()-ROW(PaymentSchedule34[[#Headers],[PMT NO]])&gt;ScheduledNumberOfPayments,"",ROW()-ROW(PaymentSchedule34[[#Headers],[PMT NO]])),"")</f>
        <v>270</v>
      </c>
      <c r="C281" s="20">
        <f>IF(PaymentSchedule34[[#This Row],[PMT NO]]&lt;&gt;"",EOMONTH(LoanStartDate,ROW(PaymentSchedule34[[#This Row],[PMT NO]])-ROW(PaymentSchedule34[[#Headers],[PMT NO]])-2)+DAY(LoanStartDate),"")</f>
        <v>51836</v>
      </c>
      <c r="D281" s="19">
        <f>IF(PaymentSchedule34[[#This Row],[PMT NO]]&lt;&gt;"",IF(ROW()-ROW(PaymentSchedule34[[#Headers],[BEGINNING BALANCE]])=1,LoanAmount,INDEX(PaymentSchedule34[ENDING BALANCE],ROW()-ROW(PaymentSchedule34[[#Headers],[BEGINNING BALANCE]])-1)),"")</f>
        <v>1287335.7108799347</v>
      </c>
      <c r="E281" s="19">
        <f>IF(PaymentSchedule34[[#This Row],[PMT NO]]&lt;&gt;"",ScheduledPayment,"")</f>
        <v>8672.4039978858091</v>
      </c>
      <c r="F28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8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81" s="19">
        <f>IF(PaymentSchedule34[[#This Row],[PMT NO]]&lt;&gt;"",PaymentSchedule34[[#This Row],[TOTAL PAYMENT]]-PaymentSchedule34[[#This Row],[INTEREST]],"")</f>
        <v>4113.0900218527067</v>
      </c>
      <c r="I281" s="19">
        <f>IF(PaymentSchedule34[[#This Row],[PMT NO]]&lt;&gt;"",PaymentSchedule34[[#This Row],[BEGINNING BALANCE]]*(InterestRate/PaymentsPerYear),"")</f>
        <v>4559.3139760331023</v>
      </c>
      <c r="J28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1283222.6208580821</v>
      </c>
      <c r="K281" s="19">
        <f>IF(PaymentSchedule34[[#This Row],[PMT NO]]&lt;&gt;"",SUM(INDEX(PaymentSchedule34[INTEREST],1,1):PaymentSchedule34[[#This Row],[INTEREST]]),"")</f>
        <v>1624771.7002872494</v>
      </c>
    </row>
    <row r="282" spans="2:11" x14ac:dyDescent="0.3">
      <c r="B282" s="21">
        <f>IF(LoanIsGood,IF(ROW()-ROW(PaymentSchedule34[[#Headers],[PMT NO]])&gt;ScheduledNumberOfPayments,"",ROW()-ROW(PaymentSchedule34[[#Headers],[PMT NO]])),"")</f>
        <v>271</v>
      </c>
      <c r="C282" s="20">
        <f>IF(PaymentSchedule34[[#This Row],[PMT NO]]&lt;&gt;"",EOMONTH(LoanStartDate,ROW(PaymentSchedule34[[#This Row],[PMT NO]])-ROW(PaymentSchedule34[[#Headers],[PMT NO]])-2)+DAY(LoanStartDate),"")</f>
        <v>51867</v>
      </c>
      <c r="D282" s="19">
        <f>IF(PaymentSchedule34[[#This Row],[PMT NO]]&lt;&gt;"",IF(ROW()-ROW(PaymentSchedule34[[#Headers],[BEGINNING BALANCE]])=1,LoanAmount,INDEX(PaymentSchedule34[ENDING BALANCE],ROW()-ROW(PaymentSchedule34[[#Headers],[BEGINNING BALANCE]])-1)),"")</f>
        <v>1283222.6208580821</v>
      </c>
      <c r="E282" s="19">
        <f>IF(PaymentSchedule34[[#This Row],[PMT NO]]&lt;&gt;"",ScheduledPayment,"")</f>
        <v>8672.4039978858091</v>
      </c>
      <c r="F28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8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82" s="19">
        <f>IF(PaymentSchedule34[[#This Row],[PMT NO]]&lt;&gt;"",PaymentSchedule34[[#This Row],[TOTAL PAYMENT]]-PaymentSchedule34[[#This Row],[INTEREST]],"")</f>
        <v>4127.6572156801012</v>
      </c>
      <c r="I282" s="19">
        <f>IF(PaymentSchedule34[[#This Row],[PMT NO]]&lt;&gt;"",PaymentSchedule34[[#This Row],[BEGINNING BALANCE]]*(InterestRate/PaymentsPerYear),"")</f>
        <v>4544.7467822057079</v>
      </c>
      <c r="J28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1279094.9636424021</v>
      </c>
      <c r="K282" s="19">
        <f>IF(PaymentSchedule34[[#This Row],[PMT NO]]&lt;&gt;"",SUM(INDEX(PaymentSchedule34[INTEREST],1,1):PaymentSchedule34[[#This Row],[INTEREST]]),"")</f>
        <v>1629316.4470694552</v>
      </c>
    </row>
    <row r="283" spans="2:11" x14ac:dyDescent="0.3">
      <c r="B283" s="21">
        <f>IF(LoanIsGood,IF(ROW()-ROW(PaymentSchedule34[[#Headers],[PMT NO]])&gt;ScheduledNumberOfPayments,"",ROW()-ROW(PaymentSchedule34[[#Headers],[PMT NO]])),"")</f>
        <v>272</v>
      </c>
      <c r="C283" s="20">
        <f>IF(PaymentSchedule34[[#This Row],[PMT NO]]&lt;&gt;"",EOMONTH(LoanStartDate,ROW(PaymentSchedule34[[#This Row],[PMT NO]])-ROW(PaymentSchedule34[[#Headers],[PMT NO]])-2)+DAY(LoanStartDate),"")</f>
        <v>51898</v>
      </c>
      <c r="D283" s="19">
        <f>IF(PaymentSchedule34[[#This Row],[PMT NO]]&lt;&gt;"",IF(ROW()-ROW(PaymentSchedule34[[#Headers],[BEGINNING BALANCE]])=1,LoanAmount,INDEX(PaymentSchedule34[ENDING BALANCE],ROW()-ROW(PaymentSchedule34[[#Headers],[BEGINNING BALANCE]])-1)),"")</f>
        <v>1279094.9636424021</v>
      </c>
      <c r="E283" s="19">
        <f>IF(PaymentSchedule34[[#This Row],[PMT NO]]&lt;&gt;"",ScheduledPayment,"")</f>
        <v>8672.4039978858091</v>
      </c>
      <c r="F28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8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83" s="19">
        <f>IF(PaymentSchedule34[[#This Row],[PMT NO]]&lt;&gt;"",PaymentSchedule34[[#This Row],[TOTAL PAYMENT]]-PaymentSchedule34[[#This Row],[INTEREST]],"")</f>
        <v>4142.2760016523016</v>
      </c>
      <c r="I283" s="19">
        <f>IF(PaymentSchedule34[[#This Row],[PMT NO]]&lt;&gt;"",PaymentSchedule34[[#This Row],[BEGINNING BALANCE]]*(InterestRate/PaymentsPerYear),"")</f>
        <v>4530.1279962335075</v>
      </c>
      <c r="J28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1274952.6876407498</v>
      </c>
      <c r="K283" s="19">
        <f>IF(PaymentSchedule34[[#This Row],[PMT NO]]&lt;&gt;"",SUM(INDEX(PaymentSchedule34[INTEREST],1,1):PaymentSchedule34[[#This Row],[INTEREST]]),"")</f>
        <v>1633846.5750656887</v>
      </c>
    </row>
    <row r="284" spans="2:11" x14ac:dyDescent="0.3">
      <c r="B284" s="21">
        <f>IF(LoanIsGood,IF(ROW()-ROW(PaymentSchedule34[[#Headers],[PMT NO]])&gt;ScheduledNumberOfPayments,"",ROW()-ROW(PaymentSchedule34[[#Headers],[PMT NO]])),"")</f>
        <v>273</v>
      </c>
      <c r="C284" s="20">
        <f>IF(PaymentSchedule34[[#This Row],[PMT NO]]&lt;&gt;"",EOMONTH(LoanStartDate,ROW(PaymentSchedule34[[#This Row],[PMT NO]])-ROW(PaymentSchedule34[[#Headers],[PMT NO]])-2)+DAY(LoanStartDate),"")</f>
        <v>51926</v>
      </c>
      <c r="D284" s="19">
        <f>IF(PaymentSchedule34[[#This Row],[PMT NO]]&lt;&gt;"",IF(ROW()-ROW(PaymentSchedule34[[#Headers],[BEGINNING BALANCE]])=1,LoanAmount,INDEX(PaymentSchedule34[ENDING BALANCE],ROW()-ROW(PaymentSchedule34[[#Headers],[BEGINNING BALANCE]])-1)),"")</f>
        <v>1274952.6876407498</v>
      </c>
      <c r="E284" s="19">
        <f>IF(PaymentSchedule34[[#This Row],[PMT NO]]&lt;&gt;"",ScheduledPayment,"")</f>
        <v>8672.4039978858091</v>
      </c>
      <c r="F28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8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84" s="19">
        <f>IF(PaymentSchedule34[[#This Row],[PMT NO]]&lt;&gt;"",PaymentSchedule34[[#This Row],[TOTAL PAYMENT]]-PaymentSchedule34[[#This Row],[INTEREST]],"")</f>
        <v>4156.9465624914865</v>
      </c>
      <c r="I284" s="19">
        <f>IF(PaymentSchedule34[[#This Row],[PMT NO]]&lt;&gt;"",PaymentSchedule34[[#This Row],[BEGINNING BALANCE]]*(InterestRate/PaymentsPerYear),"")</f>
        <v>4515.4574353943226</v>
      </c>
      <c r="J28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1270795.7410782583</v>
      </c>
      <c r="K284" s="19">
        <f>IF(PaymentSchedule34[[#This Row],[PMT NO]]&lt;&gt;"",SUM(INDEX(PaymentSchedule34[INTEREST],1,1):PaymentSchedule34[[#This Row],[INTEREST]]),"")</f>
        <v>1638362.0325010831</v>
      </c>
    </row>
    <row r="285" spans="2:11" x14ac:dyDescent="0.3">
      <c r="B285" s="21">
        <f>IF(LoanIsGood,IF(ROW()-ROW(PaymentSchedule34[[#Headers],[PMT NO]])&gt;ScheduledNumberOfPayments,"",ROW()-ROW(PaymentSchedule34[[#Headers],[PMT NO]])),"")</f>
        <v>274</v>
      </c>
      <c r="C285" s="20">
        <f>IF(PaymentSchedule34[[#This Row],[PMT NO]]&lt;&gt;"",EOMONTH(LoanStartDate,ROW(PaymentSchedule34[[#This Row],[PMT NO]])-ROW(PaymentSchedule34[[#Headers],[PMT NO]])-2)+DAY(LoanStartDate),"")</f>
        <v>51957</v>
      </c>
      <c r="D285" s="19">
        <f>IF(PaymentSchedule34[[#This Row],[PMT NO]]&lt;&gt;"",IF(ROW()-ROW(PaymentSchedule34[[#Headers],[BEGINNING BALANCE]])=1,LoanAmount,INDEX(PaymentSchedule34[ENDING BALANCE],ROW()-ROW(PaymentSchedule34[[#Headers],[BEGINNING BALANCE]])-1)),"")</f>
        <v>1270795.7410782583</v>
      </c>
      <c r="E285" s="19">
        <f>IF(PaymentSchedule34[[#This Row],[PMT NO]]&lt;&gt;"",ScheduledPayment,"")</f>
        <v>8672.4039978858091</v>
      </c>
      <c r="F28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8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85" s="19">
        <f>IF(PaymentSchedule34[[#This Row],[PMT NO]]&lt;&gt;"",PaymentSchedule34[[#This Row],[TOTAL PAYMENT]]-PaymentSchedule34[[#This Row],[INTEREST]],"")</f>
        <v>4171.6690815669772</v>
      </c>
      <c r="I285" s="19">
        <f>IF(PaymentSchedule34[[#This Row],[PMT NO]]&lt;&gt;"",PaymentSchedule34[[#This Row],[BEGINNING BALANCE]]*(InterestRate/PaymentsPerYear),"")</f>
        <v>4500.7349163188319</v>
      </c>
      <c r="J28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1266624.0719966912</v>
      </c>
      <c r="K285" s="19">
        <f>IF(PaymentSchedule34[[#This Row],[PMT NO]]&lt;&gt;"",SUM(INDEX(PaymentSchedule34[INTEREST],1,1):PaymentSchedule34[[#This Row],[INTEREST]]),"")</f>
        <v>1642862.767417402</v>
      </c>
    </row>
    <row r="286" spans="2:11" x14ac:dyDescent="0.3">
      <c r="B286" s="21">
        <f>IF(LoanIsGood,IF(ROW()-ROW(PaymentSchedule34[[#Headers],[PMT NO]])&gt;ScheduledNumberOfPayments,"",ROW()-ROW(PaymentSchedule34[[#Headers],[PMT NO]])),"")</f>
        <v>275</v>
      </c>
      <c r="C286" s="20">
        <f>IF(PaymentSchedule34[[#This Row],[PMT NO]]&lt;&gt;"",EOMONTH(LoanStartDate,ROW(PaymentSchedule34[[#This Row],[PMT NO]])-ROW(PaymentSchedule34[[#Headers],[PMT NO]])-2)+DAY(LoanStartDate),"")</f>
        <v>51987</v>
      </c>
      <c r="D286" s="19">
        <f>IF(PaymentSchedule34[[#This Row],[PMT NO]]&lt;&gt;"",IF(ROW()-ROW(PaymentSchedule34[[#Headers],[BEGINNING BALANCE]])=1,LoanAmount,INDEX(PaymentSchedule34[ENDING BALANCE],ROW()-ROW(PaymentSchedule34[[#Headers],[BEGINNING BALANCE]])-1)),"")</f>
        <v>1266624.0719966912</v>
      </c>
      <c r="E286" s="19">
        <f>IF(PaymentSchedule34[[#This Row],[PMT NO]]&lt;&gt;"",ScheduledPayment,"")</f>
        <v>8672.4039978858091</v>
      </c>
      <c r="F28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8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86" s="19">
        <f>IF(PaymentSchedule34[[#This Row],[PMT NO]]&lt;&gt;"",PaymentSchedule34[[#This Row],[TOTAL PAYMENT]]-PaymentSchedule34[[#This Row],[INTEREST]],"")</f>
        <v>4186.443742897528</v>
      </c>
      <c r="I286" s="19">
        <f>IF(PaymentSchedule34[[#This Row],[PMT NO]]&lt;&gt;"",PaymentSchedule34[[#This Row],[BEGINNING BALANCE]]*(InterestRate/PaymentsPerYear),"")</f>
        <v>4485.9602549882811</v>
      </c>
      <c r="J28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1262437.6282537936</v>
      </c>
      <c r="K286" s="19">
        <f>IF(PaymentSchedule34[[#This Row],[PMT NO]]&lt;&gt;"",SUM(INDEX(PaymentSchedule34[INTEREST],1,1):PaymentSchedule34[[#This Row],[INTEREST]]),"")</f>
        <v>1647348.7276723902</v>
      </c>
    </row>
    <row r="287" spans="2:11" x14ac:dyDescent="0.3">
      <c r="B287" s="21">
        <f>IF(LoanIsGood,IF(ROW()-ROW(PaymentSchedule34[[#Headers],[PMT NO]])&gt;ScheduledNumberOfPayments,"",ROW()-ROW(PaymentSchedule34[[#Headers],[PMT NO]])),"")</f>
        <v>276</v>
      </c>
      <c r="C287" s="20">
        <f>IF(PaymentSchedule34[[#This Row],[PMT NO]]&lt;&gt;"",EOMONTH(LoanStartDate,ROW(PaymentSchedule34[[#This Row],[PMT NO]])-ROW(PaymentSchedule34[[#Headers],[PMT NO]])-2)+DAY(LoanStartDate),"")</f>
        <v>52018</v>
      </c>
      <c r="D287" s="19">
        <f>IF(PaymentSchedule34[[#This Row],[PMT NO]]&lt;&gt;"",IF(ROW()-ROW(PaymentSchedule34[[#Headers],[BEGINNING BALANCE]])=1,LoanAmount,INDEX(PaymentSchedule34[ENDING BALANCE],ROW()-ROW(PaymentSchedule34[[#Headers],[BEGINNING BALANCE]])-1)),"")</f>
        <v>1262437.6282537936</v>
      </c>
      <c r="E287" s="19">
        <f>IF(PaymentSchedule34[[#This Row],[PMT NO]]&lt;&gt;"",ScheduledPayment,"")</f>
        <v>8672.4039978858091</v>
      </c>
      <c r="F28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8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87" s="19">
        <f>IF(PaymentSchedule34[[#This Row],[PMT NO]]&lt;&gt;"",PaymentSchedule34[[#This Row],[TOTAL PAYMENT]]-PaymentSchedule34[[#This Row],[INTEREST]],"")</f>
        <v>4201.2707311536233</v>
      </c>
      <c r="I287" s="19">
        <f>IF(PaymentSchedule34[[#This Row],[PMT NO]]&lt;&gt;"",PaymentSchedule34[[#This Row],[BEGINNING BALANCE]]*(InterestRate/PaymentsPerYear),"")</f>
        <v>4471.1332667321858</v>
      </c>
      <c r="J28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1258236.3575226399</v>
      </c>
      <c r="K287" s="19">
        <f>IF(PaymentSchedule34[[#This Row],[PMT NO]]&lt;&gt;"",SUM(INDEX(PaymentSchedule34[INTEREST],1,1):PaymentSchedule34[[#This Row],[INTEREST]]),"")</f>
        <v>1651819.8609391223</v>
      </c>
    </row>
    <row r="288" spans="2:11" x14ac:dyDescent="0.3">
      <c r="B288" s="21">
        <f>IF(LoanIsGood,IF(ROW()-ROW(PaymentSchedule34[[#Headers],[PMT NO]])&gt;ScheduledNumberOfPayments,"",ROW()-ROW(PaymentSchedule34[[#Headers],[PMT NO]])),"")</f>
        <v>277</v>
      </c>
      <c r="C288" s="20">
        <f>IF(PaymentSchedule34[[#This Row],[PMT NO]]&lt;&gt;"",EOMONTH(LoanStartDate,ROW(PaymentSchedule34[[#This Row],[PMT NO]])-ROW(PaymentSchedule34[[#Headers],[PMT NO]])-2)+DAY(LoanStartDate),"")</f>
        <v>52048</v>
      </c>
      <c r="D288" s="19">
        <f>IF(PaymentSchedule34[[#This Row],[PMT NO]]&lt;&gt;"",IF(ROW()-ROW(PaymentSchedule34[[#Headers],[BEGINNING BALANCE]])=1,LoanAmount,INDEX(PaymentSchedule34[ENDING BALANCE],ROW()-ROW(PaymentSchedule34[[#Headers],[BEGINNING BALANCE]])-1)),"")</f>
        <v>1258236.3575226399</v>
      </c>
      <c r="E288" s="19">
        <f>IF(PaymentSchedule34[[#This Row],[PMT NO]]&lt;&gt;"",ScheduledPayment,"")</f>
        <v>8672.4039978858091</v>
      </c>
      <c r="F28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8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88" s="19">
        <f>IF(PaymentSchedule34[[#This Row],[PMT NO]]&lt;&gt;"",PaymentSchedule34[[#This Row],[TOTAL PAYMENT]]-PaymentSchedule34[[#This Row],[INTEREST]],"")</f>
        <v>4216.1502316597926</v>
      </c>
      <c r="I288" s="19">
        <f>IF(PaymentSchedule34[[#This Row],[PMT NO]]&lt;&gt;"",PaymentSchedule34[[#This Row],[BEGINNING BALANCE]]*(InterestRate/PaymentsPerYear),"")</f>
        <v>4456.2537662260165</v>
      </c>
      <c r="J28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1254020.20729098</v>
      </c>
      <c r="K288" s="19">
        <f>IF(PaymentSchedule34[[#This Row],[PMT NO]]&lt;&gt;"",SUM(INDEX(PaymentSchedule34[INTEREST],1,1):PaymentSchedule34[[#This Row],[INTEREST]]),"")</f>
        <v>1656276.1147053484</v>
      </c>
    </row>
    <row r="289" spans="2:11" x14ac:dyDescent="0.3">
      <c r="B289" s="21">
        <f>IF(LoanIsGood,IF(ROW()-ROW(PaymentSchedule34[[#Headers],[PMT NO]])&gt;ScheduledNumberOfPayments,"",ROW()-ROW(PaymentSchedule34[[#Headers],[PMT NO]])),"")</f>
        <v>278</v>
      </c>
      <c r="C289" s="20">
        <f>IF(PaymentSchedule34[[#This Row],[PMT NO]]&lt;&gt;"",EOMONTH(LoanStartDate,ROW(PaymentSchedule34[[#This Row],[PMT NO]])-ROW(PaymentSchedule34[[#Headers],[PMT NO]])-2)+DAY(LoanStartDate),"")</f>
        <v>52079</v>
      </c>
      <c r="D289" s="19">
        <f>IF(PaymentSchedule34[[#This Row],[PMT NO]]&lt;&gt;"",IF(ROW()-ROW(PaymentSchedule34[[#Headers],[BEGINNING BALANCE]])=1,LoanAmount,INDEX(PaymentSchedule34[ENDING BALANCE],ROW()-ROW(PaymentSchedule34[[#Headers],[BEGINNING BALANCE]])-1)),"")</f>
        <v>1254020.20729098</v>
      </c>
      <c r="E289" s="19">
        <f>IF(PaymentSchedule34[[#This Row],[PMT NO]]&lt;&gt;"",ScheduledPayment,"")</f>
        <v>8672.4039978858091</v>
      </c>
      <c r="F28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8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89" s="19">
        <f>IF(PaymentSchedule34[[#This Row],[PMT NO]]&lt;&gt;"",PaymentSchedule34[[#This Row],[TOTAL PAYMENT]]-PaymentSchedule34[[#This Row],[INTEREST]],"")</f>
        <v>4231.0824303969212</v>
      </c>
      <c r="I289" s="19">
        <f>IF(PaymentSchedule34[[#This Row],[PMT NO]]&lt;&gt;"",PaymentSchedule34[[#This Row],[BEGINNING BALANCE]]*(InterestRate/PaymentsPerYear),"")</f>
        <v>4441.3215674888879</v>
      </c>
      <c r="J28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1249789.1248605831</v>
      </c>
      <c r="K289" s="19">
        <f>IF(PaymentSchedule34[[#This Row],[PMT NO]]&lt;&gt;"",SUM(INDEX(PaymentSchedule34[INTEREST],1,1):PaymentSchedule34[[#This Row],[INTEREST]]),"")</f>
        <v>1660717.4362728372</v>
      </c>
    </row>
    <row r="290" spans="2:11" x14ac:dyDescent="0.3">
      <c r="B290" s="21">
        <f>IF(LoanIsGood,IF(ROW()-ROW(PaymentSchedule34[[#Headers],[PMT NO]])&gt;ScheduledNumberOfPayments,"",ROW()-ROW(PaymentSchedule34[[#Headers],[PMT NO]])),"")</f>
        <v>279</v>
      </c>
      <c r="C290" s="20">
        <f>IF(PaymentSchedule34[[#This Row],[PMT NO]]&lt;&gt;"",EOMONTH(LoanStartDate,ROW(PaymentSchedule34[[#This Row],[PMT NO]])-ROW(PaymentSchedule34[[#Headers],[PMT NO]])-2)+DAY(LoanStartDate),"")</f>
        <v>52110</v>
      </c>
      <c r="D290" s="19">
        <f>IF(PaymentSchedule34[[#This Row],[PMT NO]]&lt;&gt;"",IF(ROW()-ROW(PaymentSchedule34[[#Headers],[BEGINNING BALANCE]])=1,LoanAmount,INDEX(PaymentSchedule34[ENDING BALANCE],ROW()-ROW(PaymentSchedule34[[#Headers],[BEGINNING BALANCE]])-1)),"")</f>
        <v>1249789.1248605831</v>
      </c>
      <c r="E290" s="19">
        <f>IF(PaymentSchedule34[[#This Row],[PMT NO]]&lt;&gt;"",ScheduledPayment,"")</f>
        <v>8672.4039978858091</v>
      </c>
      <c r="F29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9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90" s="19">
        <f>IF(PaymentSchedule34[[#This Row],[PMT NO]]&lt;&gt;"",PaymentSchedule34[[#This Row],[TOTAL PAYMENT]]-PaymentSchedule34[[#This Row],[INTEREST]],"")</f>
        <v>4246.0675140045769</v>
      </c>
      <c r="I290" s="19">
        <f>IF(PaymentSchedule34[[#This Row],[PMT NO]]&lt;&gt;"",PaymentSchedule34[[#This Row],[BEGINNING BALANCE]]*(InterestRate/PaymentsPerYear),"")</f>
        <v>4426.3364838812322</v>
      </c>
      <c r="J29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1245543.0573465785</v>
      </c>
      <c r="K290" s="19">
        <f>IF(PaymentSchedule34[[#This Row],[PMT NO]]&lt;&gt;"",SUM(INDEX(PaymentSchedule34[INTEREST],1,1):PaymentSchedule34[[#This Row],[INTEREST]]),"")</f>
        <v>1665143.7727567186</v>
      </c>
    </row>
    <row r="291" spans="2:11" x14ac:dyDescent="0.3">
      <c r="B291" s="21">
        <f>IF(LoanIsGood,IF(ROW()-ROW(PaymentSchedule34[[#Headers],[PMT NO]])&gt;ScheduledNumberOfPayments,"",ROW()-ROW(PaymentSchedule34[[#Headers],[PMT NO]])),"")</f>
        <v>280</v>
      </c>
      <c r="C291" s="20">
        <f>IF(PaymentSchedule34[[#This Row],[PMT NO]]&lt;&gt;"",EOMONTH(LoanStartDate,ROW(PaymentSchedule34[[#This Row],[PMT NO]])-ROW(PaymentSchedule34[[#Headers],[PMT NO]])-2)+DAY(LoanStartDate),"")</f>
        <v>52140</v>
      </c>
      <c r="D291" s="19">
        <f>IF(PaymentSchedule34[[#This Row],[PMT NO]]&lt;&gt;"",IF(ROW()-ROW(PaymentSchedule34[[#Headers],[BEGINNING BALANCE]])=1,LoanAmount,INDEX(PaymentSchedule34[ENDING BALANCE],ROW()-ROW(PaymentSchedule34[[#Headers],[BEGINNING BALANCE]])-1)),"")</f>
        <v>1245543.0573465785</v>
      </c>
      <c r="E291" s="19">
        <f>IF(PaymentSchedule34[[#This Row],[PMT NO]]&lt;&gt;"",ScheduledPayment,"")</f>
        <v>8672.4039978858091</v>
      </c>
      <c r="F29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9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91" s="19">
        <f>IF(PaymentSchedule34[[#This Row],[PMT NO]]&lt;&gt;"",PaymentSchedule34[[#This Row],[TOTAL PAYMENT]]-PaymentSchedule34[[#This Row],[INTEREST]],"")</f>
        <v>4261.1056697833437</v>
      </c>
      <c r="I291" s="19">
        <f>IF(PaymentSchedule34[[#This Row],[PMT NO]]&lt;&gt;"",PaymentSchedule34[[#This Row],[BEGINNING BALANCE]]*(InterestRate/PaymentsPerYear),"")</f>
        <v>4411.2983281024653</v>
      </c>
      <c r="J29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1241281.951676795</v>
      </c>
      <c r="K291" s="19">
        <f>IF(PaymentSchedule34[[#This Row],[PMT NO]]&lt;&gt;"",SUM(INDEX(PaymentSchedule34[INTEREST],1,1):PaymentSchedule34[[#This Row],[INTEREST]]),"")</f>
        <v>1669555.0710848211</v>
      </c>
    </row>
    <row r="292" spans="2:11" x14ac:dyDescent="0.3">
      <c r="B292" s="21">
        <f>IF(LoanIsGood,IF(ROW()-ROW(PaymentSchedule34[[#Headers],[PMT NO]])&gt;ScheduledNumberOfPayments,"",ROW()-ROW(PaymentSchedule34[[#Headers],[PMT NO]])),"")</f>
        <v>281</v>
      </c>
      <c r="C292" s="20">
        <f>IF(PaymentSchedule34[[#This Row],[PMT NO]]&lt;&gt;"",EOMONTH(LoanStartDate,ROW(PaymentSchedule34[[#This Row],[PMT NO]])-ROW(PaymentSchedule34[[#Headers],[PMT NO]])-2)+DAY(LoanStartDate),"")</f>
        <v>52171</v>
      </c>
      <c r="D292" s="19">
        <f>IF(PaymentSchedule34[[#This Row],[PMT NO]]&lt;&gt;"",IF(ROW()-ROW(PaymentSchedule34[[#Headers],[BEGINNING BALANCE]])=1,LoanAmount,INDEX(PaymentSchedule34[ENDING BALANCE],ROW()-ROW(PaymentSchedule34[[#Headers],[BEGINNING BALANCE]])-1)),"")</f>
        <v>1241281.951676795</v>
      </c>
      <c r="E292" s="19">
        <f>IF(PaymentSchedule34[[#This Row],[PMT NO]]&lt;&gt;"",ScheduledPayment,"")</f>
        <v>8672.4039978858091</v>
      </c>
      <c r="F29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9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92" s="19">
        <f>IF(PaymentSchedule34[[#This Row],[PMT NO]]&lt;&gt;"",PaymentSchedule34[[#This Row],[TOTAL PAYMENT]]-PaymentSchedule34[[#This Row],[INTEREST]],"")</f>
        <v>4276.1970856971593</v>
      </c>
      <c r="I292" s="19">
        <f>IF(PaymentSchedule34[[#This Row],[PMT NO]]&lt;&gt;"",PaymentSchedule34[[#This Row],[BEGINNING BALANCE]]*(InterestRate/PaymentsPerYear),"")</f>
        <v>4396.2069121886498</v>
      </c>
      <c r="J29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1237005.7545910978</v>
      </c>
      <c r="K292" s="19">
        <f>IF(PaymentSchedule34[[#This Row],[PMT NO]]&lt;&gt;"",SUM(INDEX(PaymentSchedule34[INTEREST],1,1):PaymentSchedule34[[#This Row],[INTEREST]]),"")</f>
        <v>1673951.2779970097</v>
      </c>
    </row>
    <row r="293" spans="2:11" x14ac:dyDescent="0.3">
      <c r="B293" s="21">
        <f>IF(LoanIsGood,IF(ROW()-ROW(PaymentSchedule34[[#Headers],[PMT NO]])&gt;ScheduledNumberOfPayments,"",ROW()-ROW(PaymentSchedule34[[#Headers],[PMT NO]])),"")</f>
        <v>282</v>
      </c>
      <c r="C293" s="20">
        <f>IF(PaymentSchedule34[[#This Row],[PMT NO]]&lt;&gt;"",EOMONTH(LoanStartDate,ROW(PaymentSchedule34[[#This Row],[PMT NO]])-ROW(PaymentSchedule34[[#Headers],[PMT NO]])-2)+DAY(LoanStartDate),"")</f>
        <v>52201</v>
      </c>
      <c r="D293" s="19">
        <f>IF(PaymentSchedule34[[#This Row],[PMT NO]]&lt;&gt;"",IF(ROW()-ROW(PaymentSchedule34[[#Headers],[BEGINNING BALANCE]])=1,LoanAmount,INDEX(PaymentSchedule34[ENDING BALANCE],ROW()-ROW(PaymentSchedule34[[#Headers],[BEGINNING BALANCE]])-1)),"")</f>
        <v>1237005.7545910978</v>
      </c>
      <c r="E293" s="19">
        <f>IF(PaymentSchedule34[[#This Row],[PMT NO]]&lt;&gt;"",ScheduledPayment,"")</f>
        <v>8672.4039978858091</v>
      </c>
      <c r="F29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9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93" s="19">
        <f>IF(PaymentSchedule34[[#This Row],[PMT NO]]&lt;&gt;"",PaymentSchedule34[[#This Row],[TOTAL PAYMENT]]-PaymentSchedule34[[#This Row],[INTEREST]],"")</f>
        <v>4291.3419503756704</v>
      </c>
      <c r="I293" s="19">
        <f>IF(PaymentSchedule34[[#This Row],[PMT NO]]&lt;&gt;"",PaymentSchedule34[[#This Row],[BEGINNING BALANCE]]*(InterestRate/PaymentsPerYear),"")</f>
        <v>4381.0620475101387</v>
      </c>
      <c r="J29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1232714.4126407222</v>
      </c>
      <c r="K293" s="19">
        <f>IF(PaymentSchedule34[[#This Row],[PMT NO]]&lt;&gt;"",SUM(INDEX(PaymentSchedule34[INTEREST],1,1):PaymentSchedule34[[#This Row],[INTEREST]]),"")</f>
        <v>1678332.3400445199</v>
      </c>
    </row>
    <row r="294" spans="2:11" x14ac:dyDescent="0.3">
      <c r="B294" s="21">
        <f>IF(LoanIsGood,IF(ROW()-ROW(PaymentSchedule34[[#Headers],[PMT NO]])&gt;ScheduledNumberOfPayments,"",ROW()-ROW(PaymentSchedule34[[#Headers],[PMT NO]])),"")</f>
        <v>283</v>
      </c>
      <c r="C294" s="20">
        <f>IF(PaymentSchedule34[[#This Row],[PMT NO]]&lt;&gt;"",EOMONTH(LoanStartDate,ROW(PaymentSchedule34[[#This Row],[PMT NO]])-ROW(PaymentSchedule34[[#Headers],[PMT NO]])-2)+DAY(LoanStartDate),"")</f>
        <v>52232</v>
      </c>
      <c r="D294" s="19">
        <f>IF(PaymentSchedule34[[#This Row],[PMT NO]]&lt;&gt;"",IF(ROW()-ROW(PaymentSchedule34[[#Headers],[BEGINNING BALANCE]])=1,LoanAmount,INDEX(PaymentSchedule34[ENDING BALANCE],ROW()-ROW(PaymentSchedule34[[#Headers],[BEGINNING BALANCE]])-1)),"")</f>
        <v>1232714.4126407222</v>
      </c>
      <c r="E294" s="19">
        <f>IF(PaymentSchedule34[[#This Row],[PMT NO]]&lt;&gt;"",ScheduledPayment,"")</f>
        <v>8672.4039978858091</v>
      </c>
      <c r="F29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9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94" s="19">
        <f>IF(PaymentSchedule34[[#This Row],[PMT NO]]&lt;&gt;"",PaymentSchedule34[[#This Row],[TOTAL PAYMENT]]-PaymentSchedule34[[#This Row],[INTEREST]],"")</f>
        <v>4306.5404531165841</v>
      </c>
      <c r="I294" s="19">
        <f>IF(PaymentSchedule34[[#This Row],[PMT NO]]&lt;&gt;"",PaymentSchedule34[[#This Row],[BEGINNING BALANCE]]*(InterestRate/PaymentsPerYear),"")</f>
        <v>4365.863544769225</v>
      </c>
      <c r="J29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1228407.8721876056</v>
      </c>
      <c r="K294" s="19">
        <f>IF(PaymentSchedule34[[#This Row],[PMT NO]]&lt;&gt;"",SUM(INDEX(PaymentSchedule34[INTEREST],1,1):PaymentSchedule34[[#This Row],[INTEREST]]),"")</f>
        <v>1682698.203589289</v>
      </c>
    </row>
    <row r="295" spans="2:11" x14ac:dyDescent="0.3">
      <c r="B295" s="21">
        <f>IF(LoanIsGood,IF(ROW()-ROW(PaymentSchedule34[[#Headers],[PMT NO]])&gt;ScheduledNumberOfPayments,"",ROW()-ROW(PaymentSchedule34[[#Headers],[PMT NO]])),"")</f>
        <v>284</v>
      </c>
      <c r="C295" s="20">
        <f>IF(PaymentSchedule34[[#This Row],[PMT NO]]&lt;&gt;"",EOMONTH(LoanStartDate,ROW(PaymentSchedule34[[#This Row],[PMT NO]])-ROW(PaymentSchedule34[[#Headers],[PMT NO]])-2)+DAY(LoanStartDate),"")</f>
        <v>52263</v>
      </c>
      <c r="D295" s="19">
        <f>IF(PaymentSchedule34[[#This Row],[PMT NO]]&lt;&gt;"",IF(ROW()-ROW(PaymentSchedule34[[#Headers],[BEGINNING BALANCE]])=1,LoanAmount,INDEX(PaymentSchedule34[ENDING BALANCE],ROW()-ROW(PaymentSchedule34[[#Headers],[BEGINNING BALANCE]])-1)),"")</f>
        <v>1228407.8721876056</v>
      </c>
      <c r="E295" s="19">
        <f>IF(PaymentSchedule34[[#This Row],[PMT NO]]&lt;&gt;"",ScheduledPayment,"")</f>
        <v>8672.4039978858091</v>
      </c>
      <c r="F29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9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95" s="19">
        <f>IF(PaymentSchedule34[[#This Row],[PMT NO]]&lt;&gt;"",PaymentSchedule34[[#This Row],[TOTAL PAYMENT]]-PaymentSchedule34[[#This Row],[INTEREST]],"")</f>
        <v>4321.7927838880387</v>
      </c>
      <c r="I295" s="19">
        <f>IF(PaymentSchedule34[[#This Row],[PMT NO]]&lt;&gt;"",PaymentSchedule34[[#This Row],[BEGINNING BALANCE]]*(InterestRate/PaymentsPerYear),"")</f>
        <v>4350.6112139977704</v>
      </c>
      <c r="J29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1224086.0794037175</v>
      </c>
      <c r="K295" s="19">
        <f>IF(PaymentSchedule34[[#This Row],[PMT NO]]&lt;&gt;"",SUM(INDEX(PaymentSchedule34[INTEREST],1,1):PaymentSchedule34[[#This Row],[INTEREST]]),"")</f>
        <v>1687048.8148032867</v>
      </c>
    </row>
    <row r="296" spans="2:11" x14ac:dyDescent="0.3">
      <c r="B296" s="21">
        <f>IF(LoanIsGood,IF(ROW()-ROW(PaymentSchedule34[[#Headers],[PMT NO]])&gt;ScheduledNumberOfPayments,"",ROW()-ROW(PaymentSchedule34[[#Headers],[PMT NO]])),"")</f>
        <v>285</v>
      </c>
      <c r="C296" s="20">
        <f>IF(PaymentSchedule34[[#This Row],[PMT NO]]&lt;&gt;"",EOMONTH(LoanStartDate,ROW(PaymentSchedule34[[#This Row],[PMT NO]])-ROW(PaymentSchedule34[[#Headers],[PMT NO]])-2)+DAY(LoanStartDate),"")</f>
        <v>52291</v>
      </c>
      <c r="D296" s="19">
        <f>IF(PaymentSchedule34[[#This Row],[PMT NO]]&lt;&gt;"",IF(ROW()-ROW(PaymentSchedule34[[#Headers],[BEGINNING BALANCE]])=1,LoanAmount,INDEX(PaymentSchedule34[ENDING BALANCE],ROW()-ROW(PaymentSchedule34[[#Headers],[BEGINNING BALANCE]])-1)),"")</f>
        <v>1224086.0794037175</v>
      </c>
      <c r="E296" s="19">
        <f>IF(PaymentSchedule34[[#This Row],[PMT NO]]&lt;&gt;"",ScheduledPayment,"")</f>
        <v>8672.4039978858091</v>
      </c>
      <c r="F29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9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96" s="19">
        <f>IF(PaymentSchedule34[[#This Row],[PMT NO]]&lt;&gt;"",PaymentSchedule34[[#This Row],[TOTAL PAYMENT]]-PaymentSchedule34[[#This Row],[INTEREST]],"")</f>
        <v>4337.0991333309757</v>
      </c>
      <c r="I296" s="19">
        <f>IF(PaymentSchedule34[[#This Row],[PMT NO]]&lt;&gt;"",PaymentSchedule34[[#This Row],[BEGINNING BALANCE]]*(InterestRate/PaymentsPerYear),"")</f>
        <v>4335.3048645548333</v>
      </c>
      <c r="J29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1219748.9802703867</v>
      </c>
      <c r="K296" s="19">
        <f>IF(PaymentSchedule34[[#This Row],[PMT NO]]&lt;&gt;"",SUM(INDEX(PaymentSchedule34[INTEREST],1,1):PaymentSchedule34[[#This Row],[INTEREST]]),"")</f>
        <v>1691384.1196678416</v>
      </c>
    </row>
    <row r="297" spans="2:11" x14ac:dyDescent="0.3">
      <c r="B297" s="21">
        <f>IF(LoanIsGood,IF(ROW()-ROW(PaymentSchedule34[[#Headers],[PMT NO]])&gt;ScheduledNumberOfPayments,"",ROW()-ROW(PaymentSchedule34[[#Headers],[PMT NO]])),"")</f>
        <v>286</v>
      </c>
      <c r="C297" s="20">
        <f>IF(PaymentSchedule34[[#This Row],[PMT NO]]&lt;&gt;"",EOMONTH(LoanStartDate,ROW(PaymentSchedule34[[#This Row],[PMT NO]])-ROW(PaymentSchedule34[[#Headers],[PMT NO]])-2)+DAY(LoanStartDate),"")</f>
        <v>52322</v>
      </c>
      <c r="D297" s="19">
        <f>IF(PaymentSchedule34[[#This Row],[PMT NO]]&lt;&gt;"",IF(ROW()-ROW(PaymentSchedule34[[#Headers],[BEGINNING BALANCE]])=1,LoanAmount,INDEX(PaymentSchedule34[ENDING BALANCE],ROW()-ROW(PaymentSchedule34[[#Headers],[BEGINNING BALANCE]])-1)),"")</f>
        <v>1219748.9802703867</v>
      </c>
      <c r="E297" s="19">
        <f>IF(PaymentSchedule34[[#This Row],[PMT NO]]&lt;&gt;"",ScheduledPayment,"")</f>
        <v>8672.4039978858091</v>
      </c>
      <c r="F29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9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97" s="19">
        <f>IF(PaymentSchedule34[[#This Row],[PMT NO]]&lt;&gt;"",PaymentSchedule34[[#This Row],[TOTAL PAYMENT]]-PaymentSchedule34[[#This Row],[INTEREST]],"")</f>
        <v>4352.459692761523</v>
      </c>
      <c r="I297" s="19">
        <f>IF(PaymentSchedule34[[#This Row],[PMT NO]]&lt;&gt;"",PaymentSchedule34[[#This Row],[BEGINNING BALANCE]]*(InterestRate/PaymentsPerYear),"")</f>
        <v>4319.9443051242861</v>
      </c>
      <c r="J29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1215396.5205776251</v>
      </c>
      <c r="K297" s="19">
        <f>IF(PaymentSchedule34[[#This Row],[PMT NO]]&lt;&gt;"",SUM(INDEX(PaymentSchedule34[INTEREST],1,1):PaymentSchedule34[[#This Row],[INTEREST]]),"")</f>
        <v>1695704.0639729658</v>
      </c>
    </row>
    <row r="298" spans="2:11" x14ac:dyDescent="0.3">
      <c r="B298" s="21">
        <f>IF(LoanIsGood,IF(ROW()-ROW(PaymentSchedule34[[#Headers],[PMT NO]])&gt;ScheduledNumberOfPayments,"",ROW()-ROW(PaymentSchedule34[[#Headers],[PMT NO]])),"")</f>
        <v>287</v>
      </c>
      <c r="C298" s="20">
        <f>IF(PaymentSchedule34[[#This Row],[PMT NO]]&lt;&gt;"",EOMONTH(LoanStartDate,ROW(PaymentSchedule34[[#This Row],[PMT NO]])-ROW(PaymentSchedule34[[#Headers],[PMT NO]])-2)+DAY(LoanStartDate),"")</f>
        <v>52352</v>
      </c>
      <c r="D298" s="19">
        <f>IF(PaymentSchedule34[[#This Row],[PMT NO]]&lt;&gt;"",IF(ROW()-ROW(PaymentSchedule34[[#Headers],[BEGINNING BALANCE]])=1,LoanAmount,INDEX(PaymentSchedule34[ENDING BALANCE],ROW()-ROW(PaymentSchedule34[[#Headers],[BEGINNING BALANCE]])-1)),"")</f>
        <v>1215396.5205776251</v>
      </c>
      <c r="E298" s="19">
        <f>IF(PaymentSchedule34[[#This Row],[PMT NO]]&lt;&gt;"",ScheduledPayment,"")</f>
        <v>8672.4039978858091</v>
      </c>
      <c r="F29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9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98" s="19">
        <f>IF(PaymentSchedule34[[#This Row],[PMT NO]]&lt;&gt;"",PaymentSchedule34[[#This Row],[TOTAL PAYMENT]]-PaymentSchedule34[[#This Row],[INTEREST]],"")</f>
        <v>4367.8746541733863</v>
      </c>
      <c r="I298" s="19">
        <f>IF(PaymentSchedule34[[#This Row],[PMT NO]]&lt;&gt;"",PaymentSchedule34[[#This Row],[BEGINNING BALANCE]]*(InterestRate/PaymentsPerYear),"")</f>
        <v>4304.5293437124228</v>
      </c>
      <c r="J29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1211028.6459234518</v>
      </c>
      <c r="K298" s="19">
        <f>IF(PaymentSchedule34[[#This Row],[PMT NO]]&lt;&gt;"",SUM(INDEX(PaymentSchedule34[INTEREST],1,1):PaymentSchedule34[[#This Row],[INTEREST]]),"")</f>
        <v>1700008.5933166782</v>
      </c>
    </row>
    <row r="299" spans="2:11" x14ac:dyDescent="0.3">
      <c r="B299" s="21">
        <f>IF(LoanIsGood,IF(ROW()-ROW(PaymentSchedule34[[#Headers],[PMT NO]])&gt;ScheduledNumberOfPayments,"",ROW()-ROW(PaymentSchedule34[[#Headers],[PMT NO]])),"")</f>
        <v>288</v>
      </c>
      <c r="C299" s="20">
        <f>IF(PaymentSchedule34[[#This Row],[PMT NO]]&lt;&gt;"",EOMONTH(LoanStartDate,ROW(PaymentSchedule34[[#This Row],[PMT NO]])-ROW(PaymentSchedule34[[#Headers],[PMT NO]])-2)+DAY(LoanStartDate),"")</f>
        <v>52383</v>
      </c>
      <c r="D299" s="19">
        <f>IF(PaymentSchedule34[[#This Row],[PMT NO]]&lt;&gt;"",IF(ROW()-ROW(PaymentSchedule34[[#Headers],[BEGINNING BALANCE]])=1,LoanAmount,INDEX(PaymentSchedule34[ENDING BALANCE],ROW()-ROW(PaymentSchedule34[[#Headers],[BEGINNING BALANCE]])-1)),"")</f>
        <v>1211028.6459234518</v>
      </c>
      <c r="E299" s="19">
        <f>IF(PaymentSchedule34[[#This Row],[PMT NO]]&lt;&gt;"",ScheduledPayment,"")</f>
        <v>8672.4039978858091</v>
      </c>
      <c r="F29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29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299" s="19">
        <f>IF(PaymentSchedule34[[#This Row],[PMT NO]]&lt;&gt;"",PaymentSchedule34[[#This Row],[TOTAL PAYMENT]]-PaymentSchedule34[[#This Row],[INTEREST]],"")</f>
        <v>4383.3442102402505</v>
      </c>
      <c r="I299" s="19">
        <f>IF(PaymentSchedule34[[#This Row],[PMT NO]]&lt;&gt;"",PaymentSchedule34[[#This Row],[BEGINNING BALANCE]]*(InterestRate/PaymentsPerYear),"")</f>
        <v>4289.0597876455586</v>
      </c>
      <c r="J29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1206645.3017132115</v>
      </c>
      <c r="K299" s="19">
        <f>IF(PaymentSchedule34[[#This Row],[PMT NO]]&lt;&gt;"",SUM(INDEX(PaymentSchedule34[INTEREST],1,1):PaymentSchedule34[[#This Row],[INTEREST]]),"")</f>
        <v>1704297.6531043237</v>
      </c>
    </row>
    <row r="300" spans="2:11" x14ac:dyDescent="0.3">
      <c r="B300" s="21">
        <f>IF(LoanIsGood,IF(ROW()-ROW(PaymentSchedule34[[#Headers],[PMT NO]])&gt;ScheduledNumberOfPayments,"",ROW()-ROW(PaymentSchedule34[[#Headers],[PMT NO]])),"")</f>
        <v>289</v>
      </c>
      <c r="C300" s="20">
        <f>IF(PaymentSchedule34[[#This Row],[PMT NO]]&lt;&gt;"",EOMONTH(LoanStartDate,ROW(PaymentSchedule34[[#This Row],[PMT NO]])-ROW(PaymentSchedule34[[#Headers],[PMT NO]])-2)+DAY(LoanStartDate),"")</f>
        <v>52413</v>
      </c>
      <c r="D300" s="19">
        <f>IF(PaymentSchedule34[[#This Row],[PMT NO]]&lt;&gt;"",IF(ROW()-ROW(PaymentSchedule34[[#Headers],[BEGINNING BALANCE]])=1,LoanAmount,INDEX(PaymentSchedule34[ENDING BALANCE],ROW()-ROW(PaymentSchedule34[[#Headers],[BEGINNING BALANCE]])-1)),"")</f>
        <v>1206645.3017132115</v>
      </c>
      <c r="E300" s="19">
        <f>IF(PaymentSchedule34[[#This Row],[PMT NO]]&lt;&gt;"",ScheduledPayment,"")</f>
        <v>8672.4039978858091</v>
      </c>
      <c r="F30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0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00" s="19">
        <f>IF(PaymentSchedule34[[#This Row],[PMT NO]]&lt;&gt;"",PaymentSchedule34[[#This Row],[TOTAL PAYMENT]]-PaymentSchedule34[[#This Row],[INTEREST]],"")</f>
        <v>4398.8685543181846</v>
      </c>
      <c r="I300" s="19">
        <f>IF(PaymentSchedule34[[#This Row],[PMT NO]]&lt;&gt;"",PaymentSchedule34[[#This Row],[BEGINNING BALANCE]]*(InterestRate/PaymentsPerYear),"")</f>
        <v>4273.5354435676245</v>
      </c>
      <c r="J30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1202246.4331588934</v>
      </c>
      <c r="K300" s="19">
        <f>IF(PaymentSchedule34[[#This Row],[PMT NO]]&lt;&gt;"",SUM(INDEX(PaymentSchedule34[INTEREST],1,1):PaymentSchedule34[[#This Row],[INTEREST]]),"")</f>
        <v>1708571.1885478913</v>
      </c>
    </row>
    <row r="301" spans="2:11" x14ac:dyDescent="0.3">
      <c r="B301" s="21">
        <f>IF(LoanIsGood,IF(ROW()-ROW(PaymentSchedule34[[#Headers],[PMT NO]])&gt;ScheduledNumberOfPayments,"",ROW()-ROW(PaymentSchedule34[[#Headers],[PMT NO]])),"")</f>
        <v>290</v>
      </c>
      <c r="C301" s="20">
        <f>IF(PaymentSchedule34[[#This Row],[PMT NO]]&lt;&gt;"",EOMONTH(LoanStartDate,ROW(PaymentSchedule34[[#This Row],[PMT NO]])-ROW(PaymentSchedule34[[#Headers],[PMT NO]])-2)+DAY(LoanStartDate),"")</f>
        <v>52444</v>
      </c>
      <c r="D301" s="19">
        <f>IF(PaymentSchedule34[[#This Row],[PMT NO]]&lt;&gt;"",IF(ROW()-ROW(PaymentSchedule34[[#Headers],[BEGINNING BALANCE]])=1,LoanAmount,INDEX(PaymentSchedule34[ENDING BALANCE],ROW()-ROW(PaymentSchedule34[[#Headers],[BEGINNING BALANCE]])-1)),"")</f>
        <v>1202246.4331588934</v>
      </c>
      <c r="E301" s="19">
        <f>IF(PaymentSchedule34[[#This Row],[PMT NO]]&lt;&gt;"",ScheduledPayment,"")</f>
        <v>8672.4039978858091</v>
      </c>
      <c r="F30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0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01" s="19">
        <f>IF(PaymentSchedule34[[#This Row],[PMT NO]]&lt;&gt;"",PaymentSchedule34[[#This Row],[TOTAL PAYMENT]]-PaymentSchedule34[[#This Row],[INTEREST]],"")</f>
        <v>4414.4478804480614</v>
      </c>
      <c r="I301" s="19">
        <f>IF(PaymentSchedule34[[#This Row],[PMT NO]]&lt;&gt;"",PaymentSchedule34[[#This Row],[BEGINNING BALANCE]]*(InterestRate/PaymentsPerYear),"")</f>
        <v>4257.9561174377477</v>
      </c>
      <c r="J30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1197831.9852784453</v>
      </c>
      <c r="K301" s="19">
        <f>IF(PaymentSchedule34[[#This Row],[PMT NO]]&lt;&gt;"",SUM(INDEX(PaymentSchedule34[INTEREST],1,1):PaymentSchedule34[[#This Row],[INTEREST]]),"")</f>
        <v>1712829.144665329</v>
      </c>
    </row>
    <row r="302" spans="2:11" x14ac:dyDescent="0.3">
      <c r="B302" s="21">
        <f>IF(LoanIsGood,IF(ROW()-ROW(PaymentSchedule34[[#Headers],[PMT NO]])&gt;ScheduledNumberOfPayments,"",ROW()-ROW(PaymentSchedule34[[#Headers],[PMT NO]])),"")</f>
        <v>291</v>
      </c>
      <c r="C302" s="20">
        <f>IF(PaymentSchedule34[[#This Row],[PMT NO]]&lt;&gt;"",EOMONTH(LoanStartDate,ROW(PaymentSchedule34[[#This Row],[PMT NO]])-ROW(PaymentSchedule34[[#Headers],[PMT NO]])-2)+DAY(LoanStartDate),"")</f>
        <v>52475</v>
      </c>
      <c r="D302" s="19">
        <f>IF(PaymentSchedule34[[#This Row],[PMT NO]]&lt;&gt;"",IF(ROW()-ROW(PaymentSchedule34[[#Headers],[BEGINNING BALANCE]])=1,LoanAmount,INDEX(PaymentSchedule34[ENDING BALANCE],ROW()-ROW(PaymentSchedule34[[#Headers],[BEGINNING BALANCE]])-1)),"")</f>
        <v>1197831.9852784453</v>
      </c>
      <c r="E302" s="19">
        <f>IF(PaymentSchedule34[[#This Row],[PMT NO]]&lt;&gt;"",ScheduledPayment,"")</f>
        <v>8672.4039978858091</v>
      </c>
      <c r="F30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0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02" s="19">
        <f>IF(PaymentSchedule34[[#This Row],[PMT NO]]&lt;&gt;"",PaymentSchedule34[[#This Row],[TOTAL PAYMENT]]-PaymentSchedule34[[#This Row],[INTEREST]],"")</f>
        <v>4430.0823833579816</v>
      </c>
      <c r="I302" s="19">
        <f>IF(PaymentSchedule34[[#This Row],[PMT NO]]&lt;&gt;"",PaymentSchedule34[[#This Row],[BEGINNING BALANCE]]*(InterestRate/PaymentsPerYear),"")</f>
        <v>4242.3216145278275</v>
      </c>
      <c r="J30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1193401.9028950874</v>
      </c>
      <c r="K302" s="19">
        <f>IF(PaymentSchedule34[[#This Row],[PMT NO]]&lt;&gt;"",SUM(INDEX(PaymentSchedule34[INTEREST],1,1):PaymentSchedule34[[#This Row],[INTEREST]]),"")</f>
        <v>1717071.4662798569</v>
      </c>
    </row>
    <row r="303" spans="2:11" x14ac:dyDescent="0.3">
      <c r="B303" s="21">
        <f>IF(LoanIsGood,IF(ROW()-ROW(PaymentSchedule34[[#Headers],[PMT NO]])&gt;ScheduledNumberOfPayments,"",ROW()-ROW(PaymentSchedule34[[#Headers],[PMT NO]])),"")</f>
        <v>292</v>
      </c>
      <c r="C303" s="20">
        <f>IF(PaymentSchedule34[[#This Row],[PMT NO]]&lt;&gt;"",EOMONTH(LoanStartDate,ROW(PaymentSchedule34[[#This Row],[PMT NO]])-ROW(PaymentSchedule34[[#Headers],[PMT NO]])-2)+DAY(LoanStartDate),"")</f>
        <v>52505</v>
      </c>
      <c r="D303" s="19">
        <f>IF(PaymentSchedule34[[#This Row],[PMT NO]]&lt;&gt;"",IF(ROW()-ROW(PaymentSchedule34[[#Headers],[BEGINNING BALANCE]])=1,LoanAmount,INDEX(PaymentSchedule34[ENDING BALANCE],ROW()-ROW(PaymentSchedule34[[#Headers],[BEGINNING BALANCE]])-1)),"")</f>
        <v>1193401.9028950874</v>
      </c>
      <c r="E303" s="19">
        <f>IF(PaymentSchedule34[[#This Row],[PMT NO]]&lt;&gt;"",ScheduledPayment,"")</f>
        <v>8672.4039978858091</v>
      </c>
      <c r="F30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0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03" s="19">
        <f>IF(PaymentSchedule34[[#This Row],[PMT NO]]&lt;&gt;"",PaymentSchedule34[[#This Row],[TOTAL PAYMENT]]-PaymentSchedule34[[#This Row],[INTEREST]],"")</f>
        <v>4445.7722584657076</v>
      </c>
      <c r="I303" s="19">
        <f>IF(PaymentSchedule34[[#This Row],[PMT NO]]&lt;&gt;"",PaymentSchedule34[[#This Row],[BEGINNING BALANCE]]*(InterestRate/PaymentsPerYear),"")</f>
        <v>4226.6317394201014</v>
      </c>
      <c r="J30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1188956.1306366217</v>
      </c>
      <c r="K303" s="19">
        <f>IF(PaymentSchedule34[[#This Row],[PMT NO]]&lt;&gt;"",SUM(INDEX(PaymentSchedule34[INTEREST],1,1):PaymentSchedule34[[#This Row],[INTEREST]]),"")</f>
        <v>1721298.098019277</v>
      </c>
    </row>
    <row r="304" spans="2:11" x14ac:dyDescent="0.3">
      <c r="B304" s="21">
        <f>IF(LoanIsGood,IF(ROW()-ROW(PaymentSchedule34[[#Headers],[PMT NO]])&gt;ScheduledNumberOfPayments,"",ROW()-ROW(PaymentSchedule34[[#Headers],[PMT NO]])),"")</f>
        <v>293</v>
      </c>
      <c r="C304" s="20">
        <f>IF(PaymentSchedule34[[#This Row],[PMT NO]]&lt;&gt;"",EOMONTH(LoanStartDate,ROW(PaymentSchedule34[[#This Row],[PMT NO]])-ROW(PaymentSchedule34[[#Headers],[PMT NO]])-2)+DAY(LoanStartDate),"")</f>
        <v>52536</v>
      </c>
      <c r="D304" s="19">
        <f>IF(PaymentSchedule34[[#This Row],[PMT NO]]&lt;&gt;"",IF(ROW()-ROW(PaymentSchedule34[[#Headers],[BEGINNING BALANCE]])=1,LoanAmount,INDEX(PaymentSchedule34[ENDING BALANCE],ROW()-ROW(PaymentSchedule34[[#Headers],[BEGINNING BALANCE]])-1)),"")</f>
        <v>1188956.1306366217</v>
      </c>
      <c r="E304" s="19">
        <f>IF(PaymentSchedule34[[#This Row],[PMT NO]]&lt;&gt;"",ScheduledPayment,"")</f>
        <v>8672.4039978858091</v>
      </c>
      <c r="F30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0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04" s="19">
        <f>IF(PaymentSchedule34[[#This Row],[PMT NO]]&lt;&gt;"",PaymentSchedule34[[#This Row],[TOTAL PAYMENT]]-PaymentSchedule34[[#This Row],[INTEREST]],"")</f>
        <v>4461.5177018811064</v>
      </c>
      <c r="I304" s="19">
        <f>IF(PaymentSchedule34[[#This Row],[PMT NO]]&lt;&gt;"",PaymentSchedule34[[#This Row],[BEGINNING BALANCE]]*(InterestRate/PaymentsPerYear),"")</f>
        <v>4210.8862960047027</v>
      </c>
      <c r="J30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1184494.6129347407</v>
      </c>
      <c r="K304" s="19">
        <f>IF(PaymentSchedule34[[#This Row],[PMT NO]]&lt;&gt;"",SUM(INDEX(PaymentSchedule34[INTEREST],1,1):PaymentSchedule34[[#This Row],[INTEREST]]),"")</f>
        <v>1725508.9843152817</v>
      </c>
    </row>
    <row r="305" spans="2:11" x14ac:dyDescent="0.3">
      <c r="B305" s="21">
        <f>IF(LoanIsGood,IF(ROW()-ROW(PaymentSchedule34[[#Headers],[PMT NO]])&gt;ScheduledNumberOfPayments,"",ROW()-ROW(PaymentSchedule34[[#Headers],[PMT NO]])),"")</f>
        <v>294</v>
      </c>
      <c r="C305" s="20">
        <f>IF(PaymentSchedule34[[#This Row],[PMT NO]]&lt;&gt;"",EOMONTH(LoanStartDate,ROW(PaymentSchedule34[[#This Row],[PMT NO]])-ROW(PaymentSchedule34[[#Headers],[PMT NO]])-2)+DAY(LoanStartDate),"")</f>
        <v>52566</v>
      </c>
      <c r="D305" s="19">
        <f>IF(PaymentSchedule34[[#This Row],[PMT NO]]&lt;&gt;"",IF(ROW()-ROW(PaymentSchedule34[[#Headers],[BEGINNING BALANCE]])=1,LoanAmount,INDEX(PaymentSchedule34[ENDING BALANCE],ROW()-ROW(PaymentSchedule34[[#Headers],[BEGINNING BALANCE]])-1)),"")</f>
        <v>1184494.6129347407</v>
      </c>
      <c r="E305" s="19">
        <f>IF(PaymentSchedule34[[#This Row],[PMT NO]]&lt;&gt;"",ScheduledPayment,"")</f>
        <v>8672.4039978858091</v>
      </c>
      <c r="F30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0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05" s="19">
        <f>IF(PaymentSchedule34[[#This Row],[PMT NO]]&lt;&gt;"",PaymentSchedule34[[#This Row],[TOTAL PAYMENT]]-PaymentSchedule34[[#This Row],[INTEREST]],"")</f>
        <v>4477.3189104086023</v>
      </c>
      <c r="I305" s="19">
        <f>IF(PaymentSchedule34[[#This Row],[PMT NO]]&lt;&gt;"",PaymentSchedule34[[#This Row],[BEGINNING BALANCE]]*(InterestRate/PaymentsPerYear),"")</f>
        <v>4195.0850874772068</v>
      </c>
      <c r="J30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1180017.2940243322</v>
      </c>
      <c r="K305" s="19">
        <f>IF(PaymentSchedule34[[#This Row],[PMT NO]]&lt;&gt;"",SUM(INDEX(PaymentSchedule34[INTEREST],1,1):PaymentSchedule34[[#This Row],[INTEREST]]),"")</f>
        <v>1729704.069402759</v>
      </c>
    </row>
    <row r="306" spans="2:11" x14ac:dyDescent="0.3">
      <c r="B306" s="21">
        <f>IF(LoanIsGood,IF(ROW()-ROW(PaymentSchedule34[[#Headers],[PMT NO]])&gt;ScheduledNumberOfPayments,"",ROW()-ROW(PaymentSchedule34[[#Headers],[PMT NO]])),"")</f>
        <v>295</v>
      </c>
      <c r="C306" s="20">
        <f>IF(PaymentSchedule34[[#This Row],[PMT NO]]&lt;&gt;"",EOMONTH(LoanStartDate,ROW(PaymentSchedule34[[#This Row],[PMT NO]])-ROW(PaymentSchedule34[[#Headers],[PMT NO]])-2)+DAY(LoanStartDate),"")</f>
        <v>52597</v>
      </c>
      <c r="D306" s="19">
        <f>IF(PaymentSchedule34[[#This Row],[PMT NO]]&lt;&gt;"",IF(ROW()-ROW(PaymentSchedule34[[#Headers],[BEGINNING BALANCE]])=1,LoanAmount,INDEX(PaymentSchedule34[ENDING BALANCE],ROW()-ROW(PaymentSchedule34[[#Headers],[BEGINNING BALANCE]])-1)),"")</f>
        <v>1180017.2940243322</v>
      </c>
      <c r="E306" s="19">
        <f>IF(PaymentSchedule34[[#This Row],[PMT NO]]&lt;&gt;"",ScheduledPayment,"")</f>
        <v>8672.4039978858091</v>
      </c>
      <c r="F30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0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06" s="19">
        <f>IF(PaymentSchedule34[[#This Row],[PMT NO]]&lt;&gt;"",PaymentSchedule34[[#This Row],[TOTAL PAYMENT]]-PaymentSchedule34[[#This Row],[INTEREST]],"")</f>
        <v>4493.1760815496318</v>
      </c>
      <c r="I306" s="19">
        <f>IF(PaymentSchedule34[[#This Row],[PMT NO]]&lt;&gt;"",PaymentSchedule34[[#This Row],[BEGINNING BALANCE]]*(InterestRate/PaymentsPerYear),"")</f>
        <v>4179.2279163361773</v>
      </c>
      <c r="J30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1175524.1179427826</v>
      </c>
      <c r="K306" s="19">
        <f>IF(PaymentSchedule34[[#This Row],[PMT NO]]&lt;&gt;"",SUM(INDEX(PaymentSchedule34[INTEREST],1,1):PaymentSchedule34[[#This Row],[INTEREST]]),"")</f>
        <v>1733883.2973190951</v>
      </c>
    </row>
    <row r="307" spans="2:11" x14ac:dyDescent="0.3">
      <c r="B307" s="21">
        <f>IF(LoanIsGood,IF(ROW()-ROW(PaymentSchedule34[[#Headers],[PMT NO]])&gt;ScheduledNumberOfPayments,"",ROW()-ROW(PaymentSchedule34[[#Headers],[PMT NO]])),"")</f>
        <v>296</v>
      </c>
      <c r="C307" s="20">
        <f>IF(PaymentSchedule34[[#This Row],[PMT NO]]&lt;&gt;"",EOMONTH(LoanStartDate,ROW(PaymentSchedule34[[#This Row],[PMT NO]])-ROW(PaymentSchedule34[[#Headers],[PMT NO]])-2)+DAY(LoanStartDate),"")</f>
        <v>52628</v>
      </c>
      <c r="D307" s="19">
        <f>IF(PaymentSchedule34[[#This Row],[PMT NO]]&lt;&gt;"",IF(ROW()-ROW(PaymentSchedule34[[#Headers],[BEGINNING BALANCE]])=1,LoanAmount,INDEX(PaymentSchedule34[ENDING BALANCE],ROW()-ROW(PaymentSchedule34[[#Headers],[BEGINNING BALANCE]])-1)),"")</f>
        <v>1175524.1179427826</v>
      </c>
      <c r="E307" s="19">
        <f>IF(PaymentSchedule34[[#This Row],[PMT NO]]&lt;&gt;"",ScheduledPayment,"")</f>
        <v>8672.4039978858091</v>
      </c>
      <c r="F30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0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07" s="19">
        <f>IF(PaymentSchedule34[[#This Row],[PMT NO]]&lt;&gt;"",PaymentSchedule34[[#This Row],[TOTAL PAYMENT]]-PaymentSchedule34[[#This Row],[INTEREST]],"")</f>
        <v>4509.0894135051203</v>
      </c>
      <c r="I307" s="19">
        <f>IF(PaymentSchedule34[[#This Row],[PMT NO]]&lt;&gt;"",PaymentSchedule34[[#This Row],[BEGINNING BALANCE]]*(InterestRate/PaymentsPerYear),"")</f>
        <v>4163.3145843806888</v>
      </c>
      <c r="J30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1171015.0285292775</v>
      </c>
      <c r="K307" s="19">
        <f>IF(PaymentSchedule34[[#This Row],[PMT NO]]&lt;&gt;"",SUM(INDEX(PaymentSchedule34[INTEREST],1,1):PaymentSchedule34[[#This Row],[INTEREST]]),"")</f>
        <v>1738046.6119034758</v>
      </c>
    </row>
    <row r="308" spans="2:11" x14ac:dyDescent="0.3">
      <c r="B308" s="21">
        <f>IF(LoanIsGood,IF(ROW()-ROW(PaymentSchedule34[[#Headers],[PMT NO]])&gt;ScheduledNumberOfPayments,"",ROW()-ROW(PaymentSchedule34[[#Headers],[PMT NO]])),"")</f>
        <v>297</v>
      </c>
      <c r="C308" s="20">
        <f>IF(PaymentSchedule34[[#This Row],[PMT NO]]&lt;&gt;"",EOMONTH(LoanStartDate,ROW(PaymentSchedule34[[#This Row],[PMT NO]])-ROW(PaymentSchedule34[[#Headers],[PMT NO]])-2)+DAY(LoanStartDate),"")</f>
        <v>52657</v>
      </c>
      <c r="D308" s="19">
        <f>IF(PaymentSchedule34[[#This Row],[PMT NO]]&lt;&gt;"",IF(ROW()-ROW(PaymentSchedule34[[#Headers],[BEGINNING BALANCE]])=1,LoanAmount,INDEX(PaymentSchedule34[ENDING BALANCE],ROW()-ROW(PaymentSchedule34[[#Headers],[BEGINNING BALANCE]])-1)),"")</f>
        <v>1171015.0285292775</v>
      </c>
      <c r="E308" s="19">
        <f>IF(PaymentSchedule34[[#This Row],[PMT NO]]&lt;&gt;"",ScheduledPayment,"")</f>
        <v>8672.4039978858091</v>
      </c>
      <c r="F30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0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08" s="19">
        <f>IF(PaymentSchedule34[[#This Row],[PMT NO]]&lt;&gt;"",PaymentSchedule34[[#This Row],[TOTAL PAYMENT]]-PaymentSchedule34[[#This Row],[INTEREST]],"")</f>
        <v>4525.0591051779511</v>
      </c>
      <c r="I308" s="19">
        <f>IF(PaymentSchedule34[[#This Row],[PMT NO]]&lt;&gt;"",PaymentSchedule34[[#This Row],[BEGINNING BALANCE]]*(InterestRate/PaymentsPerYear),"")</f>
        <v>4147.344892707858</v>
      </c>
      <c r="J30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1166489.9694240997</v>
      </c>
      <c r="K308" s="19">
        <f>IF(PaymentSchedule34[[#This Row],[PMT NO]]&lt;&gt;"",SUM(INDEX(PaymentSchedule34[INTEREST],1,1):PaymentSchedule34[[#This Row],[INTEREST]]),"")</f>
        <v>1742193.9567961837</v>
      </c>
    </row>
    <row r="309" spans="2:11" x14ac:dyDescent="0.3">
      <c r="B309" s="21">
        <f>IF(LoanIsGood,IF(ROW()-ROW(PaymentSchedule34[[#Headers],[PMT NO]])&gt;ScheduledNumberOfPayments,"",ROW()-ROW(PaymentSchedule34[[#Headers],[PMT NO]])),"")</f>
        <v>298</v>
      </c>
      <c r="C309" s="20">
        <f>IF(PaymentSchedule34[[#This Row],[PMT NO]]&lt;&gt;"",EOMONTH(LoanStartDate,ROW(PaymentSchedule34[[#This Row],[PMT NO]])-ROW(PaymentSchedule34[[#Headers],[PMT NO]])-2)+DAY(LoanStartDate),"")</f>
        <v>52688</v>
      </c>
      <c r="D309" s="19">
        <f>IF(PaymentSchedule34[[#This Row],[PMT NO]]&lt;&gt;"",IF(ROW()-ROW(PaymentSchedule34[[#Headers],[BEGINNING BALANCE]])=1,LoanAmount,INDEX(PaymentSchedule34[ENDING BALANCE],ROW()-ROW(PaymentSchedule34[[#Headers],[BEGINNING BALANCE]])-1)),"")</f>
        <v>1166489.9694240997</v>
      </c>
      <c r="E309" s="19">
        <f>IF(PaymentSchedule34[[#This Row],[PMT NO]]&lt;&gt;"",ScheduledPayment,"")</f>
        <v>8672.4039978858091</v>
      </c>
      <c r="F30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0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09" s="19">
        <f>IF(PaymentSchedule34[[#This Row],[PMT NO]]&lt;&gt;"",PaymentSchedule34[[#This Row],[TOTAL PAYMENT]]-PaymentSchedule34[[#This Row],[INTEREST]],"")</f>
        <v>4541.0853561754557</v>
      </c>
      <c r="I309" s="19">
        <f>IF(PaymentSchedule34[[#This Row],[PMT NO]]&lt;&gt;"",PaymentSchedule34[[#This Row],[BEGINNING BALANCE]]*(InterestRate/PaymentsPerYear),"")</f>
        <v>4131.3186417103534</v>
      </c>
      <c r="J30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1161948.8840679242</v>
      </c>
      <c r="K309" s="19">
        <f>IF(PaymentSchedule34[[#This Row],[PMT NO]]&lt;&gt;"",SUM(INDEX(PaymentSchedule34[INTEREST],1,1):PaymentSchedule34[[#This Row],[INTEREST]]),"")</f>
        <v>1746325.275437894</v>
      </c>
    </row>
    <row r="310" spans="2:11" x14ac:dyDescent="0.3">
      <c r="B310" s="21">
        <f>IF(LoanIsGood,IF(ROW()-ROW(PaymentSchedule34[[#Headers],[PMT NO]])&gt;ScheduledNumberOfPayments,"",ROW()-ROW(PaymentSchedule34[[#Headers],[PMT NO]])),"")</f>
        <v>299</v>
      </c>
      <c r="C310" s="20">
        <f>IF(PaymentSchedule34[[#This Row],[PMT NO]]&lt;&gt;"",EOMONTH(LoanStartDate,ROW(PaymentSchedule34[[#This Row],[PMT NO]])-ROW(PaymentSchedule34[[#Headers],[PMT NO]])-2)+DAY(LoanStartDate),"")</f>
        <v>52718</v>
      </c>
      <c r="D310" s="19">
        <f>IF(PaymentSchedule34[[#This Row],[PMT NO]]&lt;&gt;"",IF(ROW()-ROW(PaymentSchedule34[[#Headers],[BEGINNING BALANCE]])=1,LoanAmount,INDEX(PaymentSchedule34[ENDING BALANCE],ROW()-ROW(PaymentSchedule34[[#Headers],[BEGINNING BALANCE]])-1)),"")</f>
        <v>1161948.8840679242</v>
      </c>
      <c r="E310" s="19">
        <f>IF(PaymentSchedule34[[#This Row],[PMT NO]]&lt;&gt;"",ScheduledPayment,"")</f>
        <v>8672.4039978858091</v>
      </c>
      <c r="F31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1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10" s="19">
        <f>IF(PaymentSchedule34[[#This Row],[PMT NO]]&lt;&gt;"",PaymentSchedule34[[#This Row],[TOTAL PAYMENT]]-PaymentSchedule34[[#This Row],[INTEREST]],"")</f>
        <v>4557.1683668119103</v>
      </c>
      <c r="I310" s="19">
        <f>IF(PaymentSchedule34[[#This Row],[PMT NO]]&lt;&gt;"",PaymentSchedule34[[#This Row],[BEGINNING BALANCE]]*(InterestRate/PaymentsPerYear),"")</f>
        <v>4115.2356310738987</v>
      </c>
      <c r="J31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1157391.7157011123</v>
      </c>
      <c r="K310" s="19">
        <f>IF(PaymentSchedule34[[#This Row],[PMT NO]]&lt;&gt;"",SUM(INDEX(PaymentSchedule34[INTEREST],1,1):PaymentSchedule34[[#This Row],[INTEREST]]),"")</f>
        <v>1750440.5110689679</v>
      </c>
    </row>
    <row r="311" spans="2:11" x14ac:dyDescent="0.3">
      <c r="B311" s="21">
        <f>IF(LoanIsGood,IF(ROW()-ROW(PaymentSchedule34[[#Headers],[PMT NO]])&gt;ScheduledNumberOfPayments,"",ROW()-ROW(PaymentSchedule34[[#Headers],[PMT NO]])),"")</f>
        <v>300</v>
      </c>
      <c r="C311" s="20">
        <f>IF(PaymentSchedule34[[#This Row],[PMT NO]]&lt;&gt;"",EOMONTH(LoanStartDate,ROW(PaymentSchedule34[[#This Row],[PMT NO]])-ROW(PaymentSchedule34[[#Headers],[PMT NO]])-2)+DAY(LoanStartDate),"")</f>
        <v>52749</v>
      </c>
      <c r="D311" s="19">
        <f>IF(PaymentSchedule34[[#This Row],[PMT NO]]&lt;&gt;"",IF(ROW()-ROW(PaymentSchedule34[[#Headers],[BEGINNING BALANCE]])=1,LoanAmount,INDEX(PaymentSchedule34[ENDING BALANCE],ROW()-ROW(PaymentSchedule34[[#Headers],[BEGINNING BALANCE]])-1)),"")</f>
        <v>1157391.7157011123</v>
      </c>
      <c r="E311" s="19">
        <f>IF(PaymentSchedule34[[#This Row],[PMT NO]]&lt;&gt;"",ScheduledPayment,"")</f>
        <v>8672.4039978858091</v>
      </c>
      <c r="F31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1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11" s="19">
        <f>IF(PaymentSchedule34[[#This Row],[PMT NO]]&lt;&gt;"",PaymentSchedule34[[#This Row],[TOTAL PAYMENT]]-PaymentSchedule34[[#This Row],[INTEREST]],"")</f>
        <v>4573.3083381110364</v>
      </c>
      <c r="I311" s="19">
        <f>IF(PaymentSchedule34[[#This Row],[PMT NO]]&lt;&gt;"",PaymentSchedule34[[#This Row],[BEGINNING BALANCE]]*(InterestRate/PaymentsPerYear),"")</f>
        <v>4099.0956597747727</v>
      </c>
      <c r="J31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1152818.4073630013</v>
      </c>
      <c r="K311" s="19">
        <f>IF(PaymentSchedule34[[#This Row],[PMT NO]]&lt;&gt;"",SUM(INDEX(PaymentSchedule34[INTEREST],1,1):PaymentSchedule34[[#This Row],[INTEREST]]),"")</f>
        <v>1754539.6067287426</v>
      </c>
    </row>
    <row r="312" spans="2:11" x14ac:dyDescent="0.3">
      <c r="B312" s="21">
        <f>IF(LoanIsGood,IF(ROW()-ROW(PaymentSchedule34[[#Headers],[PMT NO]])&gt;ScheduledNumberOfPayments,"",ROW()-ROW(PaymentSchedule34[[#Headers],[PMT NO]])),"")</f>
        <v>301</v>
      </c>
      <c r="C312" s="20">
        <f>IF(PaymentSchedule34[[#This Row],[PMT NO]]&lt;&gt;"",EOMONTH(LoanStartDate,ROW(PaymentSchedule34[[#This Row],[PMT NO]])-ROW(PaymentSchedule34[[#Headers],[PMT NO]])-2)+DAY(LoanStartDate),"")</f>
        <v>52779</v>
      </c>
      <c r="D312" s="19">
        <f>IF(PaymentSchedule34[[#This Row],[PMT NO]]&lt;&gt;"",IF(ROW()-ROW(PaymentSchedule34[[#Headers],[BEGINNING BALANCE]])=1,LoanAmount,INDEX(PaymentSchedule34[ENDING BALANCE],ROW()-ROW(PaymentSchedule34[[#Headers],[BEGINNING BALANCE]])-1)),"")</f>
        <v>1152818.4073630013</v>
      </c>
      <c r="E312" s="19">
        <f>IF(PaymentSchedule34[[#This Row],[PMT NO]]&lt;&gt;"",ScheduledPayment,"")</f>
        <v>8672.4039978858091</v>
      </c>
      <c r="F31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1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12" s="19">
        <f>IF(PaymentSchedule34[[#This Row],[PMT NO]]&lt;&gt;"",PaymentSchedule34[[#This Row],[TOTAL PAYMENT]]-PaymentSchedule34[[#This Row],[INTEREST]],"")</f>
        <v>4589.5054718085121</v>
      </c>
      <c r="I312" s="19">
        <f>IF(PaymentSchedule34[[#This Row],[PMT NO]]&lt;&gt;"",PaymentSchedule34[[#This Row],[BEGINNING BALANCE]]*(InterestRate/PaymentsPerYear),"")</f>
        <v>4082.8985260772965</v>
      </c>
      <c r="J31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1148228.9018911927</v>
      </c>
      <c r="K312" s="19">
        <f>IF(PaymentSchedule34[[#This Row],[PMT NO]]&lt;&gt;"",SUM(INDEX(PaymentSchedule34[INTEREST],1,1):PaymentSchedule34[[#This Row],[INTEREST]]),"")</f>
        <v>1758622.50525482</v>
      </c>
    </row>
    <row r="313" spans="2:11" x14ac:dyDescent="0.3">
      <c r="B313" s="21">
        <f>IF(LoanIsGood,IF(ROW()-ROW(PaymentSchedule34[[#Headers],[PMT NO]])&gt;ScheduledNumberOfPayments,"",ROW()-ROW(PaymentSchedule34[[#Headers],[PMT NO]])),"")</f>
        <v>302</v>
      </c>
      <c r="C313" s="20">
        <f>IF(PaymentSchedule34[[#This Row],[PMT NO]]&lt;&gt;"",EOMONTH(LoanStartDate,ROW(PaymentSchedule34[[#This Row],[PMT NO]])-ROW(PaymentSchedule34[[#Headers],[PMT NO]])-2)+DAY(LoanStartDate),"")</f>
        <v>52810</v>
      </c>
      <c r="D313" s="19">
        <f>IF(PaymentSchedule34[[#This Row],[PMT NO]]&lt;&gt;"",IF(ROW()-ROW(PaymentSchedule34[[#Headers],[BEGINNING BALANCE]])=1,LoanAmount,INDEX(PaymentSchedule34[ENDING BALANCE],ROW()-ROW(PaymentSchedule34[[#Headers],[BEGINNING BALANCE]])-1)),"")</f>
        <v>1148228.9018911927</v>
      </c>
      <c r="E313" s="19">
        <f>IF(PaymentSchedule34[[#This Row],[PMT NO]]&lt;&gt;"",ScheduledPayment,"")</f>
        <v>8672.4039978858091</v>
      </c>
      <c r="F31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1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13" s="19">
        <f>IF(PaymentSchedule34[[#This Row],[PMT NO]]&lt;&gt;"",PaymentSchedule34[[#This Row],[TOTAL PAYMENT]]-PaymentSchedule34[[#This Row],[INTEREST]],"")</f>
        <v>4605.759970354502</v>
      </c>
      <c r="I313" s="19">
        <f>IF(PaymentSchedule34[[#This Row],[PMT NO]]&lt;&gt;"",PaymentSchedule34[[#This Row],[BEGINNING BALANCE]]*(InterestRate/PaymentsPerYear),"")</f>
        <v>4066.6440275313075</v>
      </c>
      <c r="J31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1143623.141920838</v>
      </c>
      <c r="K313" s="19">
        <f>IF(PaymentSchedule34[[#This Row],[PMT NO]]&lt;&gt;"",SUM(INDEX(PaymentSchedule34[INTEREST],1,1):PaymentSchedule34[[#This Row],[INTEREST]]),"")</f>
        <v>1762689.1492823514</v>
      </c>
    </row>
    <row r="314" spans="2:11" x14ac:dyDescent="0.3">
      <c r="B314" s="21">
        <f>IF(LoanIsGood,IF(ROW()-ROW(PaymentSchedule34[[#Headers],[PMT NO]])&gt;ScheduledNumberOfPayments,"",ROW()-ROW(PaymentSchedule34[[#Headers],[PMT NO]])),"")</f>
        <v>303</v>
      </c>
      <c r="C314" s="20">
        <f>IF(PaymentSchedule34[[#This Row],[PMT NO]]&lt;&gt;"",EOMONTH(LoanStartDate,ROW(PaymentSchedule34[[#This Row],[PMT NO]])-ROW(PaymentSchedule34[[#Headers],[PMT NO]])-2)+DAY(LoanStartDate),"")</f>
        <v>52841</v>
      </c>
      <c r="D314" s="19">
        <f>IF(PaymentSchedule34[[#This Row],[PMT NO]]&lt;&gt;"",IF(ROW()-ROW(PaymentSchedule34[[#Headers],[BEGINNING BALANCE]])=1,LoanAmount,INDEX(PaymentSchedule34[ENDING BALANCE],ROW()-ROW(PaymentSchedule34[[#Headers],[BEGINNING BALANCE]])-1)),"")</f>
        <v>1143623.141920838</v>
      </c>
      <c r="E314" s="19">
        <f>IF(PaymentSchedule34[[#This Row],[PMT NO]]&lt;&gt;"",ScheduledPayment,"")</f>
        <v>8672.4039978858091</v>
      </c>
      <c r="F31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1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14" s="19">
        <f>IF(PaymentSchedule34[[#This Row],[PMT NO]]&lt;&gt;"",PaymentSchedule34[[#This Row],[TOTAL PAYMENT]]-PaymentSchedule34[[#This Row],[INTEREST]],"")</f>
        <v>4622.0720369161736</v>
      </c>
      <c r="I314" s="19">
        <f>IF(PaymentSchedule34[[#This Row],[PMT NO]]&lt;&gt;"",PaymentSchedule34[[#This Row],[BEGINNING BALANCE]]*(InterestRate/PaymentsPerYear),"")</f>
        <v>4050.331960969635</v>
      </c>
      <c r="J31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1139001.0698839219</v>
      </c>
      <c r="K314" s="19">
        <f>IF(PaymentSchedule34[[#This Row],[PMT NO]]&lt;&gt;"",SUM(INDEX(PaymentSchedule34[INTEREST],1,1):PaymentSchedule34[[#This Row],[INTEREST]]),"")</f>
        <v>1766739.481243321</v>
      </c>
    </row>
    <row r="315" spans="2:11" x14ac:dyDescent="0.3">
      <c r="B315" s="21">
        <f>IF(LoanIsGood,IF(ROW()-ROW(PaymentSchedule34[[#Headers],[PMT NO]])&gt;ScheduledNumberOfPayments,"",ROW()-ROW(PaymentSchedule34[[#Headers],[PMT NO]])),"")</f>
        <v>304</v>
      </c>
      <c r="C315" s="20">
        <f>IF(PaymentSchedule34[[#This Row],[PMT NO]]&lt;&gt;"",EOMONTH(LoanStartDate,ROW(PaymentSchedule34[[#This Row],[PMT NO]])-ROW(PaymentSchedule34[[#Headers],[PMT NO]])-2)+DAY(LoanStartDate),"")</f>
        <v>52871</v>
      </c>
      <c r="D315" s="19">
        <f>IF(PaymentSchedule34[[#This Row],[PMT NO]]&lt;&gt;"",IF(ROW()-ROW(PaymentSchedule34[[#Headers],[BEGINNING BALANCE]])=1,LoanAmount,INDEX(PaymentSchedule34[ENDING BALANCE],ROW()-ROW(PaymentSchedule34[[#Headers],[BEGINNING BALANCE]])-1)),"")</f>
        <v>1139001.0698839219</v>
      </c>
      <c r="E315" s="19">
        <f>IF(PaymentSchedule34[[#This Row],[PMT NO]]&lt;&gt;"",ScheduledPayment,"")</f>
        <v>8672.4039978858091</v>
      </c>
      <c r="F31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1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15" s="19">
        <f>IF(PaymentSchedule34[[#This Row],[PMT NO]]&lt;&gt;"",PaymentSchedule34[[#This Row],[TOTAL PAYMENT]]-PaymentSchedule34[[#This Row],[INTEREST]],"")</f>
        <v>4638.441875380252</v>
      </c>
      <c r="I315" s="19">
        <f>IF(PaymentSchedule34[[#This Row],[PMT NO]]&lt;&gt;"",PaymentSchedule34[[#This Row],[BEGINNING BALANCE]]*(InterestRate/PaymentsPerYear),"")</f>
        <v>4033.9621225055571</v>
      </c>
      <c r="J31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1134362.6280085417</v>
      </c>
      <c r="K315" s="19">
        <f>IF(PaymentSchedule34[[#This Row],[PMT NO]]&lt;&gt;"",SUM(INDEX(PaymentSchedule34[INTEREST],1,1):PaymentSchedule34[[#This Row],[INTEREST]]),"")</f>
        <v>1770773.4433658265</v>
      </c>
    </row>
    <row r="316" spans="2:11" x14ac:dyDescent="0.3">
      <c r="B316" s="21">
        <f>IF(LoanIsGood,IF(ROW()-ROW(PaymentSchedule34[[#Headers],[PMT NO]])&gt;ScheduledNumberOfPayments,"",ROW()-ROW(PaymentSchedule34[[#Headers],[PMT NO]])),"")</f>
        <v>305</v>
      </c>
      <c r="C316" s="20">
        <f>IF(PaymentSchedule34[[#This Row],[PMT NO]]&lt;&gt;"",EOMONTH(LoanStartDate,ROW(PaymentSchedule34[[#This Row],[PMT NO]])-ROW(PaymentSchedule34[[#Headers],[PMT NO]])-2)+DAY(LoanStartDate),"")</f>
        <v>52902</v>
      </c>
      <c r="D316" s="19">
        <f>IF(PaymentSchedule34[[#This Row],[PMT NO]]&lt;&gt;"",IF(ROW()-ROW(PaymentSchedule34[[#Headers],[BEGINNING BALANCE]])=1,LoanAmount,INDEX(PaymentSchedule34[ENDING BALANCE],ROW()-ROW(PaymentSchedule34[[#Headers],[BEGINNING BALANCE]])-1)),"")</f>
        <v>1134362.6280085417</v>
      </c>
      <c r="E316" s="19">
        <f>IF(PaymentSchedule34[[#This Row],[PMT NO]]&lt;&gt;"",ScheduledPayment,"")</f>
        <v>8672.4039978858091</v>
      </c>
      <c r="F31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1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16" s="19">
        <f>IF(PaymentSchedule34[[#This Row],[PMT NO]]&lt;&gt;"",PaymentSchedule34[[#This Row],[TOTAL PAYMENT]]-PaymentSchedule34[[#This Row],[INTEREST]],"")</f>
        <v>4654.8696903555574</v>
      </c>
      <c r="I316" s="19">
        <f>IF(PaymentSchedule34[[#This Row],[PMT NO]]&lt;&gt;"",PaymentSchedule34[[#This Row],[BEGINNING BALANCE]]*(InterestRate/PaymentsPerYear),"")</f>
        <v>4017.5343075302521</v>
      </c>
      <c r="J31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1129707.758318186</v>
      </c>
      <c r="K316" s="19">
        <f>IF(PaymentSchedule34[[#This Row],[PMT NO]]&lt;&gt;"",SUM(INDEX(PaymentSchedule34[INTEREST],1,1):PaymentSchedule34[[#This Row],[INTEREST]]),"")</f>
        <v>1774790.9776733567</v>
      </c>
    </row>
    <row r="317" spans="2:11" x14ac:dyDescent="0.3">
      <c r="B317" s="21">
        <f>IF(LoanIsGood,IF(ROW()-ROW(PaymentSchedule34[[#Headers],[PMT NO]])&gt;ScheduledNumberOfPayments,"",ROW()-ROW(PaymentSchedule34[[#Headers],[PMT NO]])),"")</f>
        <v>306</v>
      </c>
      <c r="C317" s="20">
        <f>IF(PaymentSchedule34[[#This Row],[PMT NO]]&lt;&gt;"",EOMONTH(LoanStartDate,ROW(PaymentSchedule34[[#This Row],[PMT NO]])-ROW(PaymentSchedule34[[#Headers],[PMT NO]])-2)+DAY(LoanStartDate),"")</f>
        <v>52932</v>
      </c>
      <c r="D317" s="19">
        <f>IF(PaymentSchedule34[[#This Row],[PMT NO]]&lt;&gt;"",IF(ROW()-ROW(PaymentSchedule34[[#Headers],[BEGINNING BALANCE]])=1,LoanAmount,INDEX(PaymentSchedule34[ENDING BALANCE],ROW()-ROW(PaymentSchedule34[[#Headers],[BEGINNING BALANCE]])-1)),"")</f>
        <v>1129707.758318186</v>
      </c>
      <c r="E317" s="19">
        <f>IF(PaymentSchedule34[[#This Row],[PMT NO]]&lt;&gt;"",ScheduledPayment,"")</f>
        <v>8672.4039978858091</v>
      </c>
      <c r="F31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1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17" s="19">
        <f>IF(PaymentSchedule34[[#This Row],[PMT NO]]&lt;&gt;"",PaymentSchedule34[[#This Row],[TOTAL PAYMENT]]-PaymentSchedule34[[#This Row],[INTEREST]],"")</f>
        <v>4671.3556871755663</v>
      </c>
      <c r="I317" s="19">
        <f>IF(PaymentSchedule34[[#This Row],[PMT NO]]&lt;&gt;"",PaymentSchedule34[[#This Row],[BEGINNING BALANCE]]*(InterestRate/PaymentsPerYear),"")</f>
        <v>4001.0483107102427</v>
      </c>
      <c r="J31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1125036.4026310104</v>
      </c>
      <c r="K317" s="19">
        <f>IF(PaymentSchedule34[[#This Row],[PMT NO]]&lt;&gt;"",SUM(INDEX(PaymentSchedule34[INTEREST],1,1):PaymentSchedule34[[#This Row],[INTEREST]]),"")</f>
        <v>1778792.025984067</v>
      </c>
    </row>
    <row r="318" spans="2:11" x14ac:dyDescent="0.3">
      <c r="B318" s="21">
        <f>IF(LoanIsGood,IF(ROW()-ROW(PaymentSchedule34[[#Headers],[PMT NO]])&gt;ScheduledNumberOfPayments,"",ROW()-ROW(PaymentSchedule34[[#Headers],[PMT NO]])),"")</f>
        <v>307</v>
      </c>
      <c r="C318" s="20">
        <f>IF(PaymentSchedule34[[#This Row],[PMT NO]]&lt;&gt;"",EOMONTH(LoanStartDate,ROW(PaymentSchedule34[[#This Row],[PMT NO]])-ROW(PaymentSchedule34[[#Headers],[PMT NO]])-2)+DAY(LoanStartDate),"")</f>
        <v>52963</v>
      </c>
      <c r="D318" s="19">
        <f>IF(PaymentSchedule34[[#This Row],[PMT NO]]&lt;&gt;"",IF(ROW()-ROW(PaymentSchedule34[[#Headers],[BEGINNING BALANCE]])=1,LoanAmount,INDEX(PaymentSchedule34[ENDING BALANCE],ROW()-ROW(PaymentSchedule34[[#Headers],[BEGINNING BALANCE]])-1)),"")</f>
        <v>1125036.4026310104</v>
      </c>
      <c r="E318" s="19">
        <f>IF(PaymentSchedule34[[#This Row],[PMT NO]]&lt;&gt;"",ScheduledPayment,"")</f>
        <v>8672.4039978858091</v>
      </c>
      <c r="F31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1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18" s="19">
        <f>IF(PaymentSchedule34[[#This Row],[PMT NO]]&lt;&gt;"",PaymentSchedule34[[#This Row],[TOTAL PAYMENT]]-PaymentSchedule34[[#This Row],[INTEREST]],"")</f>
        <v>4687.90007190098</v>
      </c>
      <c r="I318" s="19">
        <f>IF(PaymentSchedule34[[#This Row],[PMT NO]]&lt;&gt;"",PaymentSchedule34[[#This Row],[BEGINNING BALANCE]]*(InterestRate/PaymentsPerYear),"")</f>
        <v>3984.5039259848286</v>
      </c>
      <c r="J31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1120348.5025591094</v>
      </c>
      <c r="K318" s="19">
        <f>IF(PaymentSchedule34[[#This Row],[PMT NO]]&lt;&gt;"",SUM(INDEX(PaymentSchedule34[INTEREST],1,1):PaymentSchedule34[[#This Row],[INTEREST]]),"")</f>
        <v>1782776.5299100517</v>
      </c>
    </row>
    <row r="319" spans="2:11" x14ac:dyDescent="0.3">
      <c r="B319" s="21">
        <f>IF(LoanIsGood,IF(ROW()-ROW(PaymentSchedule34[[#Headers],[PMT NO]])&gt;ScheduledNumberOfPayments,"",ROW()-ROW(PaymentSchedule34[[#Headers],[PMT NO]])),"")</f>
        <v>308</v>
      </c>
      <c r="C319" s="20">
        <f>IF(PaymentSchedule34[[#This Row],[PMT NO]]&lt;&gt;"",EOMONTH(LoanStartDate,ROW(PaymentSchedule34[[#This Row],[PMT NO]])-ROW(PaymentSchedule34[[#Headers],[PMT NO]])-2)+DAY(LoanStartDate),"")</f>
        <v>52994</v>
      </c>
      <c r="D319" s="19">
        <f>IF(PaymentSchedule34[[#This Row],[PMT NO]]&lt;&gt;"",IF(ROW()-ROW(PaymentSchedule34[[#Headers],[BEGINNING BALANCE]])=1,LoanAmount,INDEX(PaymentSchedule34[ENDING BALANCE],ROW()-ROW(PaymentSchedule34[[#Headers],[BEGINNING BALANCE]])-1)),"")</f>
        <v>1120348.5025591094</v>
      </c>
      <c r="E319" s="19">
        <f>IF(PaymentSchedule34[[#This Row],[PMT NO]]&lt;&gt;"",ScheduledPayment,"")</f>
        <v>8672.4039978858091</v>
      </c>
      <c r="F31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1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19" s="19">
        <f>IF(PaymentSchedule34[[#This Row],[PMT NO]]&lt;&gt;"",PaymentSchedule34[[#This Row],[TOTAL PAYMENT]]-PaymentSchedule34[[#This Row],[INTEREST]],"")</f>
        <v>4704.5030513222964</v>
      </c>
      <c r="I319" s="19">
        <f>IF(PaymentSchedule34[[#This Row],[PMT NO]]&lt;&gt;"",PaymentSchedule34[[#This Row],[BEGINNING BALANCE]]*(InterestRate/PaymentsPerYear),"")</f>
        <v>3967.9009465635127</v>
      </c>
      <c r="J31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1115643.9995077872</v>
      </c>
      <c r="K319" s="19">
        <f>IF(PaymentSchedule34[[#This Row],[PMT NO]]&lt;&gt;"",SUM(INDEX(PaymentSchedule34[INTEREST],1,1):PaymentSchedule34[[#This Row],[INTEREST]]),"")</f>
        <v>1786744.4308566153</v>
      </c>
    </row>
    <row r="320" spans="2:11" x14ac:dyDescent="0.3">
      <c r="B320" s="21">
        <f>IF(LoanIsGood,IF(ROW()-ROW(PaymentSchedule34[[#Headers],[PMT NO]])&gt;ScheduledNumberOfPayments,"",ROW()-ROW(PaymentSchedule34[[#Headers],[PMT NO]])),"")</f>
        <v>309</v>
      </c>
      <c r="C320" s="20">
        <f>IF(PaymentSchedule34[[#This Row],[PMT NO]]&lt;&gt;"",EOMONTH(LoanStartDate,ROW(PaymentSchedule34[[#This Row],[PMT NO]])-ROW(PaymentSchedule34[[#Headers],[PMT NO]])-2)+DAY(LoanStartDate),"")</f>
        <v>53022</v>
      </c>
      <c r="D320" s="19">
        <f>IF(PaymentSchedule34[[#This Row],[PMT NO]]&lt;&gt;"",IF(ROW()-ROW(PaymentSchedule34[[#Headers],[BEGINNING BALANCE]])=1,LoanAmount,INDEX(PaymentSchedule34[ENDING BALANCE],ROW()-ROW(PaymentSchedule34[[#Headers],[BEGINNING BALANCE]])-1)),"")</f>
        <v>1115643.9995077872</v>
      </c>
      <c r="E320" s="19">
        <f>IF(PaymentSchedule34[[#This Row],[PMT NO]]&lt;&gt;"",ScheduledPayment,"")</f>
        <v>8672.4039978858091</v>
      </c>
      <c r="F32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2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20" s="19">
        <f>IF(PaymentSchedule34[[#This Row],[PMT NO]]&lt;&gt;"",PaymentSchedule34[[#This Row],[TOTAL PAYMENT]]-PaymentSchedule34[[#This Row],[INTEREST]],"")</f>
        <v>4721.1648329623958</v>
      </c>
      <c r="I320" s="19">
        <f>IF(PaymentSchedule34[[#This Row],[PMT NO]]&lt;&gt;"",PaymentSchedule34[[#This Row],[BEGINNING BALANCE]]*(InterestRate/PaymentsPerYear),"")</f>
        <v>3951.2391649234132</v>
      </c>
      <c r="J32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1110922.8346748247</v>
      </c>
      <c r="K320" s="19">
        <f>IF(PaymentSchedule34[[#This Row],[PMT NO]]&lt;&gt;"",SUM(INDEX(PaymentSchedule34[INTEREST],1,1):PaymentSchedule34[[#This Row],[INTEREST]]),"")</f>
        <v>1790695.6700215386</v>
      </c>
    </row>
    <row r="321" spans="2:11" x14ac:dyDescent="0.3">
      <c r="B321" s="21">
        <f>IF(LoanIsGood,IF(ROW()-ROW(PaymentSchedule34[[#Headers],[PMT NO]])&gt;ScheduledNumberOfPayments,"",ROW()-ROW(PaymentSchedule34[[#Headers],[PMT NO]])),"")</f>
        <v>310</v>
      </c>
      <c r="C321" s="20">
        <f>IF(PaymentSchedule34[[#This Row],[PMT NO]]&lt;&gt;"",EOMONTH(LoanStartDate,ROW(PaymentSchedule34[[#This Row],[PMT NO]])-ROW(PaymentSchedule34[[#Headers],[PMT NO]])-2)+DAY(LoanStartDate),"")</f>
        <v>53053</v>
      </c>
      <c r="D321" s="19">
        <f>IF(PaymentSchedule34[[#This Row],[PMT NO]]&lt;&gt;"",IF(ROW()-ROW(PaymentSchedule34[[#Headers],[BEGINNING BALANCE]])=1,LoanAmount,INDEX(PaymentSchedule34[ENDING BALANCE],ROW()-ROW(PaymentSchedule34[[#Headers],[BEGINNING BALANCE]])-1)),"")</f>
        <v>1110922.8346748247</v>
      </c>
      <c r="E321" s="19">
        <f>IF(PaymentSchedule34[[#This Row],[PMT NO]]&lt;&gt;"",ScheduledPayment,"")</f>
        <v>8672.4039978858091</v>
      </c>
      <c r="F32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2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21" s="19">
        <f>IF(PaymentSchedule34[[#This Row],[PMT NO]]&lt;&gt;"",PaymentSchedule34[[#This Row],[TOTAL PAYMENT]]-PaymentSchedule34[[#This Row],[INTEREST]],"")</f>
        <v>4737.8856250791378</v>
      </c>
      <c r="I321" s="19">
        <f>IF(PaymentSchedule34[[#This Row],[PMT NO]]&lt;&gt;"",PaymentSchedule34[[#This Row],[BEGINNING BALANCE]]*(InterestRate/PaymentsPerYear),"")</f>
        <v>3934.5183728066713</v>
      </c>
      <c r="J32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1106184.9490497457</v>
      </c>
      <c r="K321" s="19">
        <f>IF(PaymentSchedule34[[#This Row],[PMT NO]]&lt;&gt;"",SUM(INDEX(PaymentSchedule34[INTEREST],1,1):PaymentSchedule34[[#This Row],[INTEREST]]),"")</f>
        <v>1794630.1883943453</v>
      </c>
    </row>
    <row r="322" spans="2:11" x14ac:dyDescent="0.3">
      <c r="B322" s="21">
        <f>IF(LoanIsGood,IF(ROW()-ROW(PaymentSchedule34[[#Headers],[PMT NO]])&gt;ScheduledNumberOfPayments,"",ROW()-ROW(PaymentSchedule34[[#Headers],[PMT NO]])),"")</f>
        <v>311</v>
      </c>
      <c r="C322" s="20">
        <f>IF(PaymentSchedule34[[#This Row],[PMT NO]]&lt;&gt;"",EOMONTH(LoanStartDate,ROW(PaymentSchedule34[[#This Row],[PMT NO]])-ROW(PaymentSchedule34[[#Headers],[PMT NO]])-2)+DAY(LoanStartDate),"")</f>
        <v>53083</v>
      </c>
      <c r="D322" s="19">
        <f>IF(PaymentSchedule34[[#This Row],[PMT NO]]&lt;&gt;"",IF(ROW()-ROW(PaymentSchedule34[[#Headers],[BEGINNING BALANCE]])=1,LoanAmount,INDEX(PaymentSchedule34[ENDING BALANCE],ROW()-ROW(PaymentSchedule34[[#Headers],[BEGINNING BALANCE]])-1)),"")</f>
        <v>1106184.9490497457</v>
      </c>
      <c r="E322" s="19">
        <f>IF(PaymentSchedule34[[#This Row],[PMT NO]]&lt;&gt;"",ScheduledPayment,"")</f>
        <v>8672.4039978858091</v>
      </c>
      <c r="F32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2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22" s="19">
        <f>IF(PaymentSchedule34[[#This Row],[PMT NO]]&lt;&gt;"",PaymentSchedule34[[#This Row],[TOTAL PAYMENT]]-PaymentSchedule34[[#This Row],[INTEREST]],"")</f>
        <v>4754.6656366679599</v>
      </c>
      <c r="I322" s="19">
        <f>IF(PaymentSchedule34[[#This Row],[PMT NO]]&lt;&gt;"",PaymentSchedule34[[#This Row],[BEGINNING BALANCE]]*(InterestRate/PaymentsPerYear),"")</f>
        <v>3917.7383612178496</v>
      </c>
      <c r="J32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1101430.2834130777</v>
      </c>
      <c r="K322" s="19">
        <f>IF(PaymentSchedule34[[#This Row],[PMT NO]]&lt;&gt;"",SUM(INDEX(PaymentSchedule34[INTEREST],1,1):PaymentSchedule34[[#This Row],[INTEREST]]),"")</f>
        <v>1798547.9267555631</v>
      </c>
    </row>
    <row r="323" spans="2:11" x14ac:dyDescent="0.3">
      <c r="B323" s="21">
        <f>IF(LoanIsGood,IF(ROW()-ROW(PaymentSchedule34[[#Headers],[PMT NO]])&gt;ScheduledNumberOfPayments,"",ROW()-ROW(PaymentSchedule34[[#Headers],[PMT NO]])),"")</f>
        <v>312</v>
      </c>
      <c r="C323" s="20">
        <f>IF(PaymentSchedule34[[#This Row],[PMT NO]]&lt;&gt;"",EOMONTH(LoanStartDate,ROW(PaymentSchedule34[[#This Row],[PMT NO]])-ROW(PaymentSchedule34[[#Headers],[PMT NO]])-2)+DAY(LoanStartDate),"")</f>
        <v>53114</v>
      </c>
      <c r="D323" s="19">
        <f>IF(PaymentSchedule34[[#This Row],[PMT NO]]&lt;&gt;"",IF(ROW()-ROW(PaymentSchedule34[[#Headers],[BEGINNING BALANCE]])=1,LoanAmount,INDEX(PaymentSchedule34[ENDING BALANCE],ROW()-ROW(PaymentSchedule34[[#Headers],[BEGINNING BALANCE]])-1)),"")</f>
        <v>1101430.2834130777</v>
      </c>
      <c r="E323" s="19">
        <f>IF(PaymentSchedule34[[#This Row],[PMT NO]]&lt;&gt;"",ScheduledPayment,"")</f>
        <v>8672.4039978858091</v>
      </c>
      <c r="F32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2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23" s="19">
        <f>IF(PaymentSchedule34[[#This Row],[PMT NO]]&lt;&gt;"",PaymentSchedule34[[#This Row],[TOTAL PAYMENT]]-PaymentSchedule34[[#This Row],[INTEREST]],"")</f>
        <v>4771.5050774644915</v>
      </c>
      <c r="I323" s="19">
        <f>IF(PaymentSchedule34[[#This Row],[PMT NO]]&lt;&gt;"",PaymentSchedule34[[#This Row],[BEGINNING BALANCE]]*(InterestRate/PaymentsPerYear),"")</f>
        <v>3900.8989204213171</v>
      </c>
      <c r="J32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1096658.7783356132</v>
      </c>
      <c r="K323" s="19">
        <f>IF(PaymentSchedule34[[#This Row],[PMT NO]]&lt;&gt;"",SUM(INDEX(PaymentSchedule34[INTEREST],1,1):PaymentSchedule34[[#This Row],[INTEREST]]),"")</f>
        <v>1802448.8256759844</v>
      </c>
    </row>
    <row r="324" spans="2:11" x14ac:dyDescent="0.3">
      <c r="B324" s="21">
        <f>IF(LoanIsGood,IF(ROW()-ROW(PaymentSchedule34[[#Headers],[PMT NO]])&gt;ScheduledNumberOfPayments,"",ROW()-ROW(PaymentSchedule34[[#Headers],[PMT NO]])),"")</f>
        <v>313</v>
      </c>
      <c r="C324" s="20">
        <f>IF(PaymentSchedule34[[#This Row],[PMT NO]]&lt;&gt;"",EOMONTH(LoanStartDate,ROW(PaymentSchedule34[[#This Row],[PMT NO]])-ROW(PaymentSchedule34[[#Headers],[PMT NO]])-2)+DAY(LoanStartDate),"")</f>
        <v>53144</v>
      </c>
      <c r="D324" s="19">
        <f>IF(PaymentSchedule34[[#This Row],[PMT NO]]&lt;&gt;"",IF(ROW()-ROW(PaymentSchedule34[[#Headers],[BEGINNING BALANCE]])=1,LoanAmount,INDEX(PaymentSchedule34[ENDING BALANCE],ROW()-ROW(PaymentSchedule34[[#Headers],[BEGINNING BALANCE]])-1)),"")</f>
        <v>1096658.7783356132</v>
      </c>
      <c r="E324" s="19">
        <f>IF(PaymentSchedule34[[#This Row],[PMT NO]]&lt;&gt;"",ScheduledPayment,"")</f>
        <v>8672.4039978858091</v>
      </c>
      <c r="F32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2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24" s="19">
        <f>IF(PaymentSchedule34[[#This Row],[PMT NO]]&lt;&gt;"",PaymentSchedule34[[#This Row],[TOTAL PAYMENT]]-PaymentSchedule34[[#This Row],[INTEREST]],"")</f>
        <v>4788.4041579471786</v>
      </c>
      <c r="I324" s="19">
        <f>IF(PaymentSchedule34[[#This Row],[PMT NO]]&lt;&gt;"",PaymentSchedule34[[#This Row],[BEGINNING BALANCE]]*(InterestRate/PaymentsPerYear),"")</f>
        <v>3883.9998399386304</v>
      </c>
      <c r="J32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1091870.3741776659</v>
      </c>
      <c r="K324" s="19">
        <f>IF(PaymentSchedule34[[#This Row],[PMT NO]]&lt;&gt;"",SUM(INDEX(PaymentSchedule34[INTEREST],1,1):PaymentSchedule34[[#This Row],[INTEREST]]),"")</f>
        <v>1806332.8255159231</v>
      </c>
    </row>
    <row r="325" spans="2:11" x14ac:dyDescent="0.3">
      <c r="B325" s="21">
        <f>IF(LoanIsGood,IF(ROW()-ROW(PaymentSchedule34[[#Headers],[PMT NO]])&gt;ScheduledNumberOfPayments,"",ROW()-ROW(PaymentSchedule34[[#Headers],[PMT NO]])),"")</f>
        <v>314</v>
      </c>
      <c r="C325" s="20">
        <f>IF(PaymentSchedule34[[#This Row],[PMT NO]]&lt;&gt;"",EOMONTH(LoanStartDate,ROW(PaymentSchedule34[[#This Row],[PMT NO]])-ROW(PaymentSchedule34[[#Headers],[PMT NO]])-2)+DAY(LoanStartDate),"")</f>
        <v>53175</v>
      </c>
      <c r="D325" s="19">
        <f>IF(PaymentSchedule34[[#This Row],[PMT NO]]&lt;&gt;"",IF(ROW()-ROW(PaymentSchedule34[[#Headers],[BEGINNING BALANCE]])=1,LoanAmount,INDEX(PaymentSchedule34[ENDING BALANCE],ROW()-ROW(PaymentSchedule34[[#Headers],[BEGINNING BALANCE]])-1)),"")</f>
        <v>1091870.3741776659</v>
      </c>
      <c r="E325" s="19">
        <f>IF(PaymentSchedule34[[#This Row],[PMT NO]]&lt;&gt;"",ScheduledPayment,"")</f>
        <v>8672.4039978858091</v>
      </c>
      <c r="F32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2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25" s="19">
        <f>IF(PaymentSchedule34[[#This Row],[PMT NO]]&lt;&gt;"",PaymentSchedule34[[#This Row],[TOTAL PAYMENT]]-PaymentSchedule34[[#This Row],[INTEREST]],"")</f>
        <v>4805.3630893399086</v>
      </c>
      <c r="I325" s="19">
        <f>IF(PaymentSchedule34[[#This Row],[PMT NO]]&lt;&gt;"",PaymentSchedule34[[#This Row],[BEGINNING BALANCE]]*(InterestRate/PaymentsPerYear),"")</f>
        <v>3867.0409085459005</v>
      </c>
      <c r="J32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1087065.0110883261</v>
      </c>
      <c r="K325" s="19">
        <f>IF(PaymentSchedule34[[#This Row],[PMT NO]]&lt;&gt;"",SUM(INDEX(PaymentSchedule34[INTEREST],1,1):PaymentSchedule34[[#This Row],[INTEREST]]),"")</f>
        <v>1810199.866424469</v>
      </c>
    </row>
    <row r="326" spans="2:11" x14ac:dyDescent="0.3">
      <c r="B326" s="21">
        <f>IF(LoanIsGood,IF(ROW()-ROW(PaymentSchedule34[[#Headers],[PMT NO]])&gt;ScheduledNumberOfPayments,"",ROW()-ROW(PaymentSchedule34[[#Headers],[PMT NO]])),"")</f>
        <v>315</v>
      </c>
      <c r="C326" s="20">
        <f>IF(PaymentSchedule34[[#This Row],[PMT NO]]&lt;&gt;"",EOMONTH(LoanStartDate,ROW(PaymentSchedule34[[#This Row],[PMT NO]])-ROW(PaymentSchedule34[[#Headers],[PMT NO]])-2)+DAY(LoanStartDate),"")</f>
        <v>53206</v>
      </c>
      <c r="D326" s="19">
        <f>IF(PaymentSchedule34[[#This Row],[PMT NO]]&lt;&gt;"",IF(ROW()-ROW(PaymentSchedule34[[#Headers],[BEGINNING BALANCE]])=1,LoanAmount,INDEX(PaymentSchedule34[ENDING BALANCE],ROW()-ROW(PaymentSchedule34[[#Headers],[BEGINNING BALANCE]])-1)),"")</f>
        <v>1087065.0110883261</v>
      </c>
      <c r="E326" s="19">
        <f>IF(PaymentSchedule34[[#This Row],[PMT NO]]&lt;&gt;"",ScheduledPayment,"")</f>
        <v>8672.4039978858091</v>
      </c>
      <c r="F32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2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26" s="19">
        <f>IF(PaymentSchedule34[[#This Row],[PMT NO]]&lt;&gt;"",PaymentSchedule34[[#This Row],[TOTAL PAYMENT]]-PaymentSchedule34[[#This Row],[INTEREST]],"")</f>
        <v>4822.3820836146533</v>
      </c>
      <c r="I326" s="19">
        <f>IF(PaymentSchedule34[[#This Row],[PMT NO]]&lt;&gt;"",PaymentSchedule34[[#This Row],[BEGINNING BALANCE]]*(InterestRate/PaymentsPerYear),"")</f>
        <v>3850.0219142711553</v>
      </c>
      <c r="J32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1082242.6290047115</v>
      </c>
      <c r="K326" s="19">
        <f>IF(PaymentSchedule34[[#This Row],[PMT NO]]&lt;&gt;"",SUM(INDEX(PaymentSchedule34[INTEREST],1,1):PaymentSchedule34[[#This Row],[INTEREST]]),"")</f>
        <v>1814049.8883387402</v>
      </c>
    </row>
    <row r="327" spans="2:11" x14ac:dyDescent="0.3">
      <c r="B327" s="21">
        <f>IF(LoanIsGood,IF(ROW()-ROW(PaymentSchedule34[[#Headers],[PMT NO]])&gt;ScheduledNumberOfPayments,"",ROW()-ROW(PaymentSchedule34[[#Headers],[PMT NO]])),"")</f>
        <v>316</v>
      </c>
      <c r="C327" s="20">
        <f>IF(PaymentSchedule34[[#This Row],[PMT NO]]&lt;&gt;"",EOMONTH(LoanStartDate,ROW(PaymentSchedule34[[#This Row],[PMT NO]])-ROW(PaymentSchedule34[[#Headers],[PMT NO]])-2)+DAY(LoanStartDate),"")</f>
        <v>53236</v>
      </c>
      <c r="D327" s="19">
        <f>IF(PaymentSchedule34[[#This Row],[PMT NO]]&lt;&gt;"",IF(ROW()-ROW(PaymentSchedule34[[#Headers],[BEGINNING BALANCE]])=1,LoanAmount,INDEX(PaymentSchedule34[ENDING BALANCE],ROW()-ROW(PaymentSchedule34[[#Headers],[BEGINNING BALANCE]])-1)),"")</f>
        <v>1082242.6290047115</v>
      </c>
      <c r="E327" s="19">
        <f>IF(PaymentSchedule34[[#This Row],[PMT NO]]&lt;&gt;"",ScheduledPayment,"")</f>
        <v>8672.4039978858091</v>
      </c>
      <c r="F32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2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27" s="19">
        <f>IF(PaymentSchedule34[[#This Row],[PMT NO]]&lt;&gt;"",PaymentSchedule34[[#This Row],[TOTAL PAYMENT]]-PaymentSchedule34[[#This Row],[INTEREST]],"")</f>
        <v>4839.4613534941218</v>
      </c>
      <c r="I327" s="19">
        <f>IF(PaymentSchedule34[[#This Row],[PMT NO]]&lt;&gt;"",PaymentSchedule34[[#This Row],[BEGINNING BALANCE]]*(InterestRate/PaymentsPerYear),"")</f>
        <v>3832.9426443916868</v>
      </c>
      <c r="J32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1077403.1676512174</v>
      </c>
      <c r="K327" s="19">
        <f>IF(PaymentSchedule34[[#This Row],[PMT NO]]&lt;&gt;"",SUM(INDEX(PaymentSchedule34[INTEREST],1,1):PaymentSchedule34[[#This Row],[INTEREST]]),"")</f>
        <v>1817882.8309831319</v>
      </c>
    </row>
    <row r="328" spans="2:11" x14ac:dyDescent="0.3">
      <c r="B328" s="21">
        <f>IF(LoanIsGood,IF(ROW()-ROW(PaymentSchedule34[[#Headers],[PMT NO]])&gt;ScheduledNumberOfPayments,"",ROW()-ROW(PaymentSchedule34[[#Headers],[PMT NO]])),"")</f>
        <v>317</v>
      </c>
      <c r="C328" s="20">
        <f>IF(PaymentSchedule34[[#This Row],[PMT NO]]&lt;&gt;"",EOMONTH(LoanStartDate,ROW(PaymentSchedule34[[#This Row],[PMT NO]])-ROW(PaymentSchedule34[[#Headers],[PMT NO]])-2)+DAY(LoanStartDate),"")</f>
        <v>53267</v>
      </c>
      <c r="D328" s="19">
        <f>IF(PaymentSchedule34[[#This Row],[PMT NO]]&lt;&gt;"",IF(ROW()-ROW(PaymentSchedule34[[#Headers],[BEGINNING BALANCE]])=1,LoanAmount,INDEX(PaymentSchedule34[ENDING BALANCE],ROW()-ROW(PaymentSchedule34[[#Headers],[BEGINNING BALANCE]])-1)),"")</f>
        <v>1077403.1676512174</v>
      </c>
      <c r="E328" s="19">
        <f>IF(PaymentSchedule34[[#This Row],[PMT NO]]&lt;&gt;"",ScheduledPayment,"")</f>
        <v>8672.4039978858091</v>
      </c>
      <c r="F32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2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28" s="19">
        <f>IF(PaymentSchedule34[[#This Row],[PMT NO]]&lt;&gt;"",PaymentSchedule34[[#This Row],[TOTAL PAYMENT]]-PaymentSchedule34[[#This Row],[INTEREST]],"")</f>
        <v>4856.6011124544139</v>
      </c>
      <c r="I328" s="19">
        <f>IF(PaymentSchedule34[[#This Row],[PMT NO]]&lt;&gt;"",PaymentSchedule34[[#This Row],[BEGINNING BALANCE]]*(InterestRate/PaymentsPerYear),"")</f>
        <v>3815.8028854313952</v>
      </c>
      <c r="J32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1072546.566538763</v>
      </c>
      <c r="K328" s="19">
        <f>IF(PaymentSchedule34[[#This Row],[PMT NO]]&lt;&gt;"",SUM(INDEX(PaymentSchedule34[INTEREST],1,1):PaymentSchedule34[[#This Row],[INTEREST]]),"")</f>
        <v>1821698.6338685632</v>
      </c>
    </row>
    <row r="329" spans="2:11" x14ac:dyDescent="0.3">
      <c r="B329" s="21">
        <f>IF(LoanIsGood,IF(ROW()-ROW(PaymentSchedule34[[#Headers],[PMT NO]])&gt;ScheduledNumberOfPayments,"",ROW()-ROW(PaymentSchedule34[[#Headers],[PMT NO]])),"")</f>
        <v>318</v>
      </c>
      <c r="C329" s="20">
        <f>IF(PaymentSchedule34[[#This Row],[PMT NO]]&lt;&gt;"",EOMONTH(LoanStartDate,ROW(PaymentSchedule34[[#This Row],[PMT NO]])-ROW(PaymentSchedule34[[#Headers],[PMT NO]])-2)+DAY(LoanStartDate),"")</f>
        <v>53297</v>
      </c>
      <c r="D329" s="19">
        <f>IF(PaymentSchedule34[[#This Row],[PMT NO]]&lt;&gt;"",IF(ROW()-ROW(PaymentSchedule34[[#Headers],[BEGINNING BALANCE]])=1,LoanAmount,INDEX(PaymentSchedule34[ENDING BALANCE],ROW()-ROW(PaymentSchedule34[[#Headers],[BEGINNING BALANCE]])-1)),"")</f>
        <v>1072546.566538763</v>
      </c>
      <c r="E329" s="19">
        <f>IF(PaymentSchedule34[[#This Row],[PMT NO]]&lt;&gt;"",ScheduledPayment,"")</f>
        <v>8672.4039978858091</v>
      </c>
      <c r="F32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2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29" s="19">
        <f>IF(PaymentSchedule34[[#This Row],[PMT NO]]&lt;&gt;"",PaymentSchedule34[[#This Row],[TOTAL PAYMENT]]-PaymentSchedule34[[#This Row],[INTEREST]],"")</f>
        <v>4873.8015747276895</v>
      </c>
      <c r="I329" s="19">
        <f>IF(PaymentSchedule34[[#This Row],[PMT NO]]&lt;&gt;"",PaymentSchedule34[[#This Row],[BEGINNING BALANCE]]*(InterestRate/PaymentsPerYear),"")</f>
        <v>3798.6024231581191</v>
      </c>
      <c r="J32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1067672.7649640352</v>
      </c>
      <c r="K329" s="19">
        <f>IF(PaymentSchedule34[[#This Row],[PMT NO]]&lt;&gt;"",SUM(INDEX(PaymentSchedule34[INTEREST],1,1):PaymentSchedule34[[#This Row],[INTEREST]]),"")</f>
        <v>1825497.2362917212</v>
      </c>
    </row>
    <row r="330" spans="2:11" x14ac:dyDescent="0.3">
      <c r="B330" s="21">
        <f>IF(LoanIsGood,IF(ROW()-ROW(PaymentSchedule34[[#Headers],[PMT NO]])&gt;ScheduledNumberOfPayments,"",ROW()-ROW(PaymentSchedule34[[#Headers],[PMT NO]])),"")</f>
        <v>319</v>
      </c>
      <c r="C330" s="20">
        <f>IF(PaymentSchedule34[[#This Row],[PMT NO]]&lt;&gt;"",EOMONTH(LoanStartDate,ROW(PaymentSchedule34[[#This Row],[PMT NO]])-ROW(PaymentSchedule34[[#Headers],[PMT NO]])-2)+DAY(LoanStartDate),"")</f>
        <v>53328</v>
      </c>
      <c r="D330" s="19">
        <f>IF(PaymentSchedule34[[#This Row],[PMT NO]]&lt;&gt;"",IF(ROW()-ROW(PaymentSchedule34[[#Headers],[BEGINNING BALANCE]])=1,LoanAmount,INDEX(PaymentSchedule34[ENDING BALANCE],ROW()-ROW(PaymentSchedule34[[#Headers],[BEGINNING BALANCE]])-1)),"")</f>
        <v>1067672.7649640352</v>
      </c>
      <c r="E330" s="19">
        <f>IF(PaymentSchedule34[[#This Row],[PMT NO]]&lt;&gt;"",ScheduledPayment,"")</f>
        <v>8672.4039978858091</v>
      </c>
      <c r="F33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3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30" s="19">
        <f>IF(PaymentSchedule34[[#This Row],[PMT NO]]&lt;&gt;"",PaymentSchedule34[[#This Row],[TOTAL PAYMENT]]-PaymentSchedule34[[#This Row],[INTEREST]],"")</f>
        <v>4891.0629553048511</v>
      </c>
      <c r="I330" s="19">
        <f>IF(PaymentSchedule34[[#This Row],[PMT NO]]&lt;&gt;"",PaymentSchedule34[[#This Row],[BEGINNING BALANCE]]*(InterestRate/PaymentsPerYear),"")</f>
        <v>3781.3410425809584</v>
      </c>
      <c r="J33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1062781.7020087305</v>
      </c>
      <c r="K330" s="19">
        <f>IF(PaymentSchedule34[[#This Row],[PMT NO]]&lt;&gt;"",SUM(INDEX(PaymentSchedule34[INTEREST],1,1):PaymentSchedule34[[#This Row],[INTEREST]]),"")</f>
        <v>1829278.5773343022</v>
      </c>
    </row>
    <row r="331" spans="2:11" x14ac:dyDescent="0.3">
      <c r="B331" s="21">
        <f>IF(LoanIsGood,IF(ROW()-ROW(PaymentSchedule34[[#Headers],[PMT NO]])&gt;ScheduledNumberOfPayments,"",ROW()-ROW(PaymentSchedule34[[#Headers],[PMT NO]])),"")</f>
        <v>320</v>
      </c>
      <c r="C331" s="20">
        <f>IF(PaymentSchedule34[[#This Row],[PMT NO]]&lt;&gt;"",EOMONTH(LoanStartDate,ROW(PaymentSchedule34[[#This Row],[PMT NO]])-ROW(PaymentSchedule34[[#Headers],[PMT NO]])-2)+DAY(LoanStartDate),"")</f>
        <v>53359</v>
      </c>
      <c r="D331" s="19">
        <f>IF(PaymentSchedule34[[#This Row],[PMT NO]]&lt;&gt;"",IF(ROW()-ROW(PaymentSchedule34[[#Headers],[BEGINNING BALANCE]])=1,LoanAmount,INDEX(PaymentSchedule34[ENDING BALANCE],ROW()-ROW(PaymentSchedule34[[#Headers],[BEGINNING BALANCE]])-1)),"")</f>
        <v>1062781.7020087305</v>
      </c>
      <c r="E331" s="19">
        <f>IF(PaymentSchedule34[[#This Row],[PMT NO]]&lt;&gt;"",ScheduledPayment,"")</f>
        <v>8672.4039978858091</v>
      </c>
      <c r="F33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3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31" s="19">
        <f>IF(PaymentSchedule34[[#This Row],[PMT NO]]&lt;&gt;"",PaymentSchedule34[[#This Row],[TOTAL PAYMENT]]-PaymentSchedule34[[#This Row],[INTEREST]],"")</f>
        <v>4908.3854699382218</v>
      </c>
      <c r="I331" s="19">
        <f>IF(PaymentSchedule34[[#This Row],[PMT NO]]&lt;&gt;"",PaymentSchedule34[[#This Row],[BEGINNING BALANCE]]*(InterestRate/PaymentsPerYear),"")</f>
        <v>3764.0185279475872</v>
      </c>
      <c r="J33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1057873.3165387923</v>
      </c>
      <c r="K331" s="19">
        <f>IF(PaymentSchedule34[[#This Row],[PMT NO]]&lt;&gt;"",SUM(INDEX(PaymentSchedule34[INTEREST],1,1):PaymentSchedule34[[#This Row],[INTEREST]]),"")</f>
        <v>1833042.5958622498</v>
      </c>
    </row>
    <row r="332" spans="2:11" x14ac:dyDescent="0.3">
      <c r="B332" s="21">
        <f>IF(LoanIsGood,IF(ROW()-ROW(PaymentSchedule34[[#Headers],[PMT NO]])&gt;ScheduledNumberOfPayments,"",ROW()-ROW(PaymentSchedule34[[#Headers],[PMT NO]])),"")</f>
        <v>321</v>
      </c>
      <c r="C332" s="20">
        <f>IF(PaymentSchedule34[[#This Row],[PMT NO]]&lt;&gt;"",EOMONTH(LoanStartDate,ROW(PaymentSchedule34[[#This Row],[PMT NO]])-ROW(PaymentSchedule34[[#Headers],[PMT NO]])-2)+DAY(LoanStartDate),"")</f>
        <v>53387</v>
      </c>
      <c r="D332" s="19">
        <f>IF(PaymentSchedule34[[#This Row],[PMT NO]]&lt;&gt;"",IF(ROW()-ROW(PaymentSchedule34[[#Headers],[BEGINNING BALANCE]])=1,LoanAmount,INDEX(PaymentSchedule34[ENDING BALANCE],ROW()-ROW(PaymentSchedule34[[#Headers],[BEGINNING BALANCE]])-1)),"")</f>
        <v>1057873.3165387923</v>
      </c>
      <c r="E332" s="19">
        <f>IF(PaymentSchedule34[[#This Row],[PMT NO]]&lt;&gt;"",ScheduledPayment,"")</f>
        <v>8672.4039978858091</v>
      </c>
      <c r="F33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3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32" s="19">
        <f>IF(PaymentSchedule34[[#This Row],[PMT NO]]&lt;&gt;"",PaymentSchedule34[[#This Row],[TOTAL PAYMENT]]-PaymentSchedule34[[#This Row],[INTEREST]],"")</f>
        <v>4925.7693351442522</v>
      </c>
      <c r="I332" s="19">
        <f>IF(PaymentSchedule34[[#This Row],[PMT NO]]&lt;&gt;"",PaymentSchedule34[[#This Row],[BEGINNING BALANCE]]*(InterestRate/PaymentsPerYear),"")</f>
        <v>3746.6346627415564</v>
      </c>
      <c r="J33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1052947.5472036481</v>
      </c>
      <c r="K332" s="19">
        <f>IF(PaymentSchedule34[[#This Row],[PMT NO]]&lt;&gt;"",SUM(INDEX(PaymentSchedule34[INTEREST],1,1):PaymentSchedule34[[#This Row],[INTEREST]]),"")</f>
        <v>1836789.2305249914</v>
      </c>
    </row>
    <row r="333" spans="2:11" x14ac:dyDescent="0.3">
      <c r="B333" s="21">
        <f>IF(LoanIsGood,IF(ROW()-ROW(PaymentSchedule34[[#Headers],[PMT NO]])&gt;ScheduledNumberOfPayments,"",ROW()-ROW(PaymentSchedule34[[#Headers],[PMT NO]])),"")</f>
        <v>322</v>
      </c>
      <c r="C333" s="20">
        <f>IF(PaymentSchedule34[[#This Row],[PMT NO]]&lt;&gt;"",EOMONTH(LoanStartDate,ROW(PaymentSchedule34[[#This Row],[PMT NO]])-ROW(PaymentSchedule34[[#Headers],[PMT NO]])-2)+DAY(LoanStartDate),"")</f>
        <v>53418</v>
      </c>
      <c r="D333" s="19">
        <f>IF(PaymentSchedule34[[#This Row],[PMT NO]]&lt;&gt;"",IF(ROW()-ROW(PaymentSchedule34[[#Headers],[BEGINNING BALANCE]])=1,LoanAmount,INDEX(PaymentSchedule34[ENDING BALANCE],ROW()-ROW(PaymentSchedule34[[#Headers],[BEGINNING BALANCE]])-1)),"")</f>
        <v>1052947.5472036481</v>
      </c>
      <c r="E333" s="19">
        <f>IF(PaymentSchedule34[[#This Row],[PMT NO]]&lt;&gt;"",ScheduledPayment,"")</f>
        <v>8672.4039978858091</v>
      </c>
      <c r="F33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3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33" s="19">
        <f>IF(PaymentSchedule34[[#This Row],[PMT NO]]&lt;&gt;"",PaymentSchedule34[[#This Row],[TOTAL PAYMENT]]-PaymentSchedule34[[#This Row],[INTEREST]],"")</f>
        <v>4943.2147682062223</v>
      </c>
      <c r="I333" s="19">
        <f>IF(PaymentSchedule34[[#This Row],[PMT NO]]&lt;&gt;"",PaymentSchedule34[[#This Row],[BEGINNING BALANCE]]*(InterestRate/PaymentsPerYear),"")</f>
        <v>3729.1892296795872</v>
      </c>
      <c r="J33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1048004.3324354419</v>
      </c>
      <c r="K333" s="19">
        <f>IF(PaymentSchedule34[[#This Row],[PMT NO]]&lt;&gt;"",SUM(INDEX(PaymentSchedule34[INTEREST],1,1):PaymentSchedule34[[#This Row],[INTEREST]]),"")</f>
        <v>1840518.4197546709</v>
      </c>
    </row>
    <row r="334" spans="2:11" x14ac:dyDescent="0.3">
      <c r="B334" s="21">
        <f>IF(LoanIsGood,IF(ROW()-ROW(PaymentSchedule34[[#Headers],[PMT NO]])&gt;ScheduledNumberOfPayments,"",ROW()-ROW(PaymentSchedule34[[#Headers],[PMT NO]])),"")</f>
        <v>323</v>
      </c>
      <c r="C334" s="20">
        <f>IF(PaymentSchedule34[[#This Row],[PMT NO]]&lt;&gt;"",EOMONTH(LoanStartDate,ROW(PaymentSchedule34[[#This Row],[PMT NO]])-ROW(PaymentSchedule34[[#Headers],[PMT NO]])-2)+DAY(LoanStartDate),"")</f>
        <v>53448</v>
      </c>
      <c r="D334" s="19">
        <f>IF(PaymentSchedule34[[#This Row],[PMT NO]]&lt;&gt;"",IF(ROW()-ROW(PaymentSchedule34[[#Headers],[BEGINNING BALANCE]])=1,LoanAmount,INDEX(PaymentSchedule34[ENDING BALANCE],ROW()-ROW(PaymentSchedule34[[#Headers],[BEGINNING BALANCE]])-1)),"")</f>
        <v>1048004.3324354419</v>
      </c>
      <c r="E334" s="19">
        <f>IF(PaymentSchedule34[[#This Row],[PMT NO]]&lt;&gt;"",ScheduledPayment,"")</f>
        <v>8672.4039978858091</v>
      </c>
      <c r="F33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3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34" s="19">
        <f>IF(PaymentSchedule34[[#This Row],[PMT NO]]&lt;&gt;"",PaymentSchedule34[[#This Row],[TOTAL PAYMENT]]-PaymentSchedule34[[#This Row],[INTEREST]],"")</f>
        <v>4960.7219871769521</v>
      </c>
      <c r="I334" s="19">
        <f>IF(PaymentSchedule34[[#This Row],[PMT NO]]&lt;&gt;"",PaymentSchedule34[[#This Row],[BEGINNING BALANCE]]*(InterestRate/PaymentsPerYear),"")</f>
        <v>3711.682010708857</v>
      </c>
      <c r="J33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1043043.610448265</v>
      </c>
      <c r="K334" s="19">
        <f>IF(PaymentSchedule34[[#This Row],[PMT NO]]&lt;&gt;"",SUM(INDEX(PaymentSchedule34[INTEREST],1,1):PaymentSchedule34[[#This Row],[INTEREST]]),"")</f>
        <v>1844230.1017653798</v>
      </c>
    </row>
    <row r="335" spans="2:11" x14ac:dyDescent="0.3">
      <c r="B335" s="21">
        <f>IF(LoanIsGood,IF(ROW()-ROW(PaymentSchedule34[[#Headers],[PMT NO]])&gt;ScheduledNumberOfPayments,"",ROW()-ROW(PaymentSchedule34[[#Headers],[PMT NO]])),"")</f>
        <v>324</v>
      </c>
      <c r="C335" s="20">
        <f>IF(PaymentSchedule34[[#This Row],[PMT NO]]&lt;&gt;"",EOMONTH(LoanStartDate,ROW(PaymentSchedule34[[#This Row],[PMT NO]])-ROW(PaymentSchedule34[[#Headers],[PMT NO]])-2)+DAY(LoanStartDate),"")</f>
        <v>53479</v>
      </c>
      <c r="D335" s="19">
        <f>IF(PaymentSchedule34[[#This Row],[PMT NO]]&lt;&gt;"",IF(ROW()-ROW(PaymentSchedule34[[#Headers],[BEGINNING BALANCE]])=1,LoanAmount,INDEX(PaymentSchedule34[ENDING BALANCE],ROW()-ROW(PaymentSchedule34[[#Headers],[BEGINNING BALANCE]])-1)),"")</f>
        <v>1043043.610448265</v>
      </c>
      <c r="E335" s="19">
        <f>IF(PaymentSchedule34[[#This Row],[PMT NO]]&lt;&gt;"",ScheduledPayment,"")</f>
        <v>8672.4039978858091</v>
      </c>
      <c r="F33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3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35" s="19">
        <f>IF(PaymentSchedule34[[#This Row],[PMT NO]]&lt;&gt;"",PaymentSchedule34[[#This Row],[TOTAL PAYMENT]]-PaymentSchedule34[[#This Row],[INTEREST]],"")</f>
        <v>4978.2912108815372</v>
      </c>
      <c r="I335" s="19">
        <f>IF(PaymentSchedule34[[#This Row],[PMT NO]]&lt;&gt;"",PaymentSchedule34[[#This Row],[BEGINNING BALANCE]]*(InterestRate/PaymentsPerYear),"")</f>
        <v>3694.1127870042719</v>
      </c>
      <c r="J33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1038065.3192373834</v>
      </c>
      <c r="K335" s="19">
        <f>IF(PaymentSchedule34[[#This Row],[PMT NO]]&lt;&gt;"",SUM(INDEX(PaymentSchedule34[INTEREST],1,1):PaymentSchedule34[[#This Row],[INTEREST]]),"")</f>
        <v>1847924.2145523841</v>
      </c>
    </row>
    <row r="336" spans="2:11" x14ac:dyDescent="0.3">
      <c r="B336" s="21">
        <f>IF(LoanIsGood,IF(ROW()-ROW(PaymentSchedule34[[#Headers],[PMT NO]])&gt;ScheduledNumberOfPayments,"",ROW()-ROW(PaymentSchedule34[[#Headers],[PMT NO]])),"")</f>
        <v>325</v>
      </c>
      <c r="C336" s="20">
        <f>IF(PaymentSchedule34[[#This Row],[PMT NO]]&lt;&gt;"",EOMONTH(LoanStartDate,ROW(PaymentSchedule34[[#This Row],[PMT NO]])-ROW(PaymentSchedule34[[#Headers],[PMT NO]])-2)+DAY(LoanStartDate),"")</f>
        <v>53509</v>
      </c>
      <c r="D336" s="19">
        <f>IF(PaymentSchedule34[[#This Row],[PMT NO]]&lt;&gt;"",IF(ROW()-ROW(PaymentSchedule34[[#Headers],[BEGINNING BALANCE]])=1,LoanAmount,INDEX(PaymentSchedule34[ENDING BALANCE],ROW()-ROW(PaymentSchedule34[[#Headers],[BEGINNING BALANCE]])-1)),"")</f>
        <v>1038065.3192373834</v>
      </c>
      <c r="E336" s="19">
        <f>IF(PaymentSchedule34[[#This Row],[PMT NO]]&lt;&gt;"",ScheduledPayment,"")</f>
        <v>8672.4039978858091</v>
      </c>
      <c r="F33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3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36" s="19">
        <f>IF(PaymentSchedule34[[#This Row],[PMT NO]]&lt;&gt;"",PaymentSchedule34[[#This Row],[TOTAL PAYMENT]]-PaymentSchedule34[[#This Row],[INTEREST]],"")</f>
        <v>4995.9226589200753</v>
      </c>
      <c r="I336" s="19">
        <f>IF(PaymentSchedule34[[#This Row],[PMT NO]]&lt;&gt;"",PaymentSchedule34[[#This Row],[BEGINNING BALANCE]]*(InterestRate/PaymentsPerYear),"")</f>
        <v>3676.4813389657334</v>
      </c>
      <c r="J33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1033069.3965784634</v>
      </c>
      <c r="K336" s="19">
        <f>IF(PaymentSchedule34[[#This Row],[PMT NO]]&lt;&gt;"",SUM(INDEX(PaymentSchedule34[INTEREST],1,1):PaymentSchedule34[[#This Row],[INTEREST]]),"")</f>
        <v>1851600.6958913498</v>
      </c>
    </row>
    <row r="337" spans="2:11" x14ac:dyDescent="0.3">
      <c r="B337" s="21">
        <f>IF(LoanIsGood,IF(ROW()-ROW(PaymentSchedule34[[#Headers],[PMT NO]])&gt;ScheduledNumberOfPayments,"",ROW()-ROW(PaymentSchedule34[[#Headers],[PMT NO]])),"")</f>
        <v>326</v>
      </c>
      <c r="C337" s="20">
        <f>IF(PaymentSchedule34[[#This Row],[PMT NO]]&lt;&gt;"",EOMONTH(LoanStartDate,ROW(PaymentSchedule34[[#This Row],[PMT NO]])-ROW(PaymentSchedule34[[#Headers],[PMT NO]])-2)+DAY(LoanStartDate),"")</f>
        <v>53540</v>
      </c>
      <c r="D337" s="19">
        <f>IF(PaymentSchedule34[[#This Row],[PMT NO]]&lt;&gt;"",IF(ROW()-ROW(PaymentSchedule34[[#Headers],[BEGINNING BALANCE]])=1,LoanAmount,INDEX(PaymentSchedule34[ENDING BALANCE],ROW()-ROW(PaymentSchedule34[[#Headers],[BEGINNING BALANCE]])-1)),"")</f>
        <v>1033069.3965784634</v>
      </c>
      <c r="E337" s="19">
        <f>IF(PaymentSchedule34[[#This Row],[PMT NO]]&lt;&gt;"",ScheduledPayment,"")</f>
        <v>8672.4039978858091</v>
      </c>
      <c r="F33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3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37" s="19">
        <f>IF(PaymentSchedule34[[#This Row],[PMT NO]]&lt;&gt;"",PaymentSchedule34[[#This Row],[TOTAL PAYMENT]]-PaymentSchedule34[[#This Row],[INTEREST]],"")</f>
        <v>5013.6165516704177</v>
      </c>
      <c r="I337" s="19">
        <f>IF(PaymentSchedule34[[#This Row],[PMT NO]]&lt;&gt;"",PaymentSchedule34[[#This Row],[BEGINNING BALANCE]]*(InterestRate/PaymentsPerYear),"")</f>
        <v>3658.7874462153914</v>
      </c>
      <c r="J33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1028055.780026793</v>
      </c>
      <c r="K337" s="19">
        <f>IF(PaymentSchedule34[[#This Row],[PMT NO]]&lt;&gt;"",SUM(INDEX(PaymentSchedule34[INTEREST],1,1):PaymentSchedule34[[#This Row],[INTEREST]]),"")</f>
        <v>1855259.4833375651</v>
      </c>
    </row>
    <row r="338" spans="2:11" x14ac:dyDescent="0.3">
      <c r="B338" s="21">
        <f>IF(LoanIsGood,IF(ROW()-ROW(PaymentSchedule34[[#Headers],[PMT NO]])&gt;ScheduledNumberOfPayments,"",ROW()-ROW(PaymentSchedule34[[#Headers],[PMT NO]])),"")</f>
        <v>327</v>
      </c>
      <c r="C338" s="20">
        <f>IF(PaymentSchedule34[[#This Row],[PMT NO]]&lt;&gt;"",EOMONTH(LoanStartDate,ROW(PaymentSchedule34[[#This Row],[PMT NO]])-ROW(PaymentSchedule34[[#Headers],[PMT NO]])-2)+DAY(LoanStartDate),"")</f>
        <v>53571</v>
      </c>
      <c r="D338" s="19">
        <f>IF(PaymentSchedule34[[#This Row],[PMT NO]]&lt;&gt;"",IF(ROW()-ROW(PaymentSchedule34[[#Headers],[BEGINNING BALANCE]])=1,LoanAmount,INDEX(PaymentSchedule34[ENDING BALANCE],ROW()-ROW(PaymentSchedule34[[#Headers],[BEGINNING BALANCE]])-1)),"")</f>
        <v>1028055.780026793</v>
      </c>
      <c r="E338" s="19">
        <f>IF(PaymentSchedule34[[#This Row],[PMT NO]]&lt;&gt;"",ScheduledPayment,"")</f>
        <v>8672.4039978858091</v>
      </c>
      <c r="F33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3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38" s="19">
        <f>IF(PaymentSchedule34[[#This Row],[PMT NO]]&lt;&gt;"",PaymentSchedule34[[#This Row],[TOTAL PAYMENT]]-PaymentSchedule34[[#This Row],[INTEREST]],"")</f>
        <v>5031.3731102909169</v>
      </c>
      <c r="I338" s="19">
        <f>IF(PaymentSchedule34[[#This Row],[PMT NO]]&lt;&gt;"",PaymentSchedule34[[#This Row],[BEGINNING BALANCE]]*(InterestRate/PaymentsPerYear),"")</f>
        <v>3641.0308875948922</v>
      </c>
      <c r="J33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1023024.406916502</v>
      </c>
      <c r="K338" s="19">
        <f>IF(PaymentSchedule34[[#This Row],[PMT NO]]&lt;&gt;"",SUM(INDEX(PaymentSchedule34[INTEREST],1,1):PaymentSchedule34[[#This Row],[INTEREST]]),"")</f>
        <v>1858900.51422516</v>
      </c>
    </row>
    <row r="339" spans="2:11" x14ac:dyDescent="0.3">
      <c r="B339" s="21">
        <f>IF(LoanIsGood,IF(ROW()-ROW(PaymentSchedule34[[#Headers],[PMT NO]])&gt;ScheduledNumberOfPayments,"",ROW()-ROW(PaymentSchedule34[[#Headers],[PMT NO]])),"")</f>
        <v>328</v>
      </c>
      <c r="C339" s="20">
        <f>IF(PaymentSchedule34[[#This Row],[PMT NO]]&lt;&gt;"",EOMONTH(LoanStartDate,ROW(PaymentSchedule34[[#This Row],[PMT NO]])-ROW(PaymentSchedule34[[#Headers],[PMT NO]])-2)+DAY(LoanStartDate),"")</f>
        <v>53601</v>
      </c>
      <c r="D339" s="19">
        <f>IF(PaymentSchedule34[[#This Row],[PMT NO]]&lt;&gt;"",IF(ROW()-ROW(PaymentSchedule34[[#Headers],[BEGINNING BALANCE]])=1,LoanAmount,INDEX(PaymentSchedule34[ENDING BALANCE],ROW()-ROW(PaymentSchedule34[[#Headers],[BEGINNING BALANCE]])-1)),"")</f>
        <v>1023024.406916502</v>
      </c>
      <c r="E339" s="19">
        <f>IF(PaymentSchedule34[[#This Row],[PMT NO]]&lt;&gt;"",ScheduledPayment,"")</f>
        <v>8672.4039978858091</v>
      </c>
      <c r="F33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3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39" s="19">
        <f>IF(PaymentSchedule34[[#This Row],[PMT NO]]&lt;&gt;"",PaymentSchedule34[[#This Row],[TOTAL PAYMENT]]-PaymentSchedule34[[#This Row],[INTEREST]],"")</f>
        <v>5049.1925567231974</v>
      </c>
      <c r="I339" s="19">
        <f>IF(PaymentSchedule34[[#This Row],[PMT NO]]&lt;&gt;"",PaymentSchedule34[[#This Row],[BEGINNING BALANCE]]*(InterestRate/PaymentsPerYear),"")</f>
        <v>3623.2114411626117</v>
      </c>
      <c r="J33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1017975.2143597788</v>
      </c>
      <c r="K339" s="19">
        <f>IF(PaymentSchedule34[[#This Row],[PMT NO]]&lt;&gt;"",SUM(INDEX(PaymentSchedule34[INTEREST],1,1):PaymentSchedule34[[#This Row],[INTEREST]]),"")</f>
        <v>1862523.7256663225</v>
      </c>
    </row>
    <row r="340" spans="2:11" x14ac:dyDescent="0.3">
      <c r="B340" s="21">
        <f>IF(LoanIsGood,IF(ROW()-ROW(PaymentSchedule34[[#Headers],[PMT NO]])&gt;ScheduledNumberOfPayments,"",ROW()-ROW(PaymentSchedule34[[#Headers],[PMT NO]])),"")</f>
        <v>329</v>
      </c>
      <c r="C340" s="20">
        <f>IF(PaymentSchedule34[[#This Row],[PMT NO]]&lt;&gt;"",EOMONTH(LoanStartDate,ROW(PaymentSchedule34[[#This Row],[PMT NO]])-ROW(PaymentSchedule34[[#Headers],[PMT NO]])-2)+DAY(LoanStartDate),"")</f>
        <v>53632</v>
      </c>
      <c r="D340" s="19">
        <f>IF(PaymentSchedule34[[#This Row],[PMT NO]]&lt;&gt;"",IF(ROW()-ROW(PaymentSchedule34[[#Headers],[BEGINNING BALANCE]])=1,LoanAmount,INDEX(PaymentSchedule34[ENDING BALANCE],ROW()-ROW(PaymentSchedule34[[#Headers],[BEGINNING BALANCE]])-1)),"")</f>
        <v>1017975.2143597788</v>
      </c>
      <c r="E340" s="19">
        <f>IF(PaymentSchedule34[[#This Row],[PMT NO]]&lt;&gt;"",ScheduledPayment,"")</f>
        <v>8672.4039978858091</v>
      </c>
      <c r="F34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4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40" s="19">
        <f>IF(PaymentSchedule34[[#This Row],[PMT NO]]&lt;&gt;"",PaymentSchedule34[[#This Row],[TOTAL PAYMENT]]-PaymentSchedule34[[#This Row],[INTEREST]],"")</f>
        <v>5067.0751136949257</v>
      </c>
      <c r="I340" s="19">
        <f>IF(PaymentSchedule34[[#This Row],[PMT NO]]&lt;&gt;"",PaymentSchedule34[[#This Row],[BEGINNING BALANCE]]*(InterestRate/PaymentsPerYear),"")</f>
        <v>3605.3288841908834</v>
      </c>
      <c r="J34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1012908.1392460839</v>
      </c>
      <c r="K340" s="19">
        <f>IF(PaymentSchedule34[[#This Row],[PMT NO]]&lt;&gt;"",SUM(INDEX(PaymentSchedule34[INTEREST],1,1):PaymentSchedule34[[#This Row],[INTEREST]]),"")</f>
        <v>1866129.0545505134</v>
      </c>
    </row>
    <row r="341" spans="2:11" x14ac:dyDescent="0.3">
      <c r="B341" s="21">
        <f>IF(LoanIsGood,IF(ROW()-ROW(PaymentSchedule34[[#Headers],[PMT NO]])&gt;ScheduledNumberOfPayments,"",ROW()-ROW(PaymentSchedule34[[#Headers],[PMT NO]])),"")</f>
        <v>330</v>
      </c>
      <c r="C341" s="20">
        <f>IF(PaymentSchedule34[[#This Row],[PMT NO]]&lt;&gt;"",EOMONTH(LoanStartDate,ROW(PaymentSchedule34[[#This Row],[PMT NO]])-ROW(PaymentSchedule34[[#Headers],[PMT NO]])-2)+DAY(LoanStartDate),"")</f>
        <v>53662</v>
      </c>
      <c r="D341" s="19">
        <f>IF(PaymentSchedule34[[#This Row],[PMT NO]]&lt;&gt;"",IF(ROW()-ROW(PaymentSchedule34[[#Headers],[BEGINNING BALANCE]])=1,LoanAmount,INDEX(PaymentSchedule34[ENDING BALANCE],ROW()-ROW(PaymentSchedule34[[#Headers],[BEGINNING BALANCE]])-1)),"")</f>
        <v>1012908.1392460839</v>
      </c>
      <c r="E341" s="19">
        <f>IF(PaymentSchedule34[[#This Row],[PMT NO]]&lt;&gt;"",ScheduledPayment,"")</f>
        <v>8672.4039978858091</v>
      </c>
      <c r="F34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4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41" s="19">
        <f>IF(PaymentSchedule34[[#This Row],[PMT NO]]&lt;&gt;"",PaymentSchedule34[[#This Row],[TOTAL PAYMENT]]-PaymentSchedule34[[#This Row],[INTEREST]],"")</f>
        <v>5085.0210047225955</v>
      </c>
      <c r="I341" s="19">
        <f>IF(PaymentSchedule34[[#This Row],[PMT NO]]&lt;&gt;"",PaymentSchedule34[[#This Row],[BEGINNING BALANCE]]*(InterestRate/PaymentsPerYear),"")</f>
        <v>3587.382993163214</v>
      </c>
      <c r="J34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1007823.1182413613</v>
      </c>
      <c r="K341" s="19">
        <f>IF(PaymentSchedule34[[#This Row],[PMT NO]]&lt;&gt;"",SUM(INDEX(PaymentSchedule34[INTEREST],1,1):PaymentSchedule34[[#This Row],[INTEREST]]),"")</f>
        <v>1869716.4375436767</v>
      </c>
    </row>
    <row r="342" spans="2:11" x14ac:dyDescent="0.3">
      <c r="B342" s="21">
        <f>IF(LoanIsGood,IF(ROW()-ROW(PaymentSchedule34[[#Headers],[PMT NO]])&gt;ScheduledNumberOfPayments,"",ROW()-ROW(PaymentSchedule34[[#Headers],[PMT NO]])),"")</f>
        <v>331</v>
      </c>
      <c r="C342" s="20">
        <f>IF(PaymentSchedule34[[#This Row],[PMT NO]]&lt;&gt;"",EOMONTH(LoanStartDate,ROW(PaymentSchedule34[[#This Row],[PMT NO]])-ROW(PaymentSchedule34[[#Headers],[PMT NO]])-2)+DAY(LoanStartDate),"")</f>
        <v>53693</v>
      </c>
      <c r="D342" s="19">
        <f>IF(PaymentSchedule34[[#This Row],[PMT NO]]&lt;&gt;"",IF(ROW()-ROW(PaymentSchedule34[[#Headers],[BEGINNING BALANCE]])=1,LoanAmount,INDEX(PaymentSchedule34[ENDING BALANCE],ROW()-ROW(PaymentSchedule34[[#Headers],[BEGINNING BALANCE]])-1)),"")</f>
        <v>1007823.1182413613</v>
      </c>
      <c r="E342" s="19">
        <f>IF(PaymentSchedule34[[#This Row],[PMT NO]]&lt;&gt;"",ScheduledPayment,"")</f>
        <v>8672.4039978858091</v>
      </c>
      <c r="F34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4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42" s="19">
        <f>IF(PaymentSchedule34[[#This Row],[PMT NO]]&lt;&gt;"",PaymentSchedule34[[#This Row],[TOTAL PAYMENT]]-PaymentSchedule34[[#This Row],[INTEREST]],"")</f>
        <v>5103.0304541143214</v>
      </c>
      <c r="I342" s="19">
        <f>IF(PaymentSchedule34[[#This Row],[PMT NO]]&lt;&gt;"",PaymentSchedule34[[#This Row],[BEGINNING BALANCE]]*(InterestRate/PaymentsPerYear),"")</f>
        <v>3569.3735437714881</v>
      </c>
      <c r="J34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1002720.087787247</v>
      </c>
      <c r="K342" s="19">
        <f>IF(PaymentSchedule34[[#This Row],[PMT NO]]&lt;&gt;"",SUM(INDEX(PaymentSchedule34[INTEREST],1,1):PaymentSchedule34[[#This Row],[INTEREST]]),"")</f>
        <v>1873285.8110874481</v>
      </c>
    </row>
    <row r="343" spans="2:11" x14ac:dyDescent="0.3">
      <c r="B343" s="21">
        <f>IF(LoanIsGood,IF(ROW()-ROW(PaymentSchedule34[[#Headers],[PMT NO]])&gt;ScheduledNumberOfPayments,"",ROW()-ROW(PaymentSchedule34[[#Headers],[PMT NO]])),"")</f>
        <v>332</v>
      </c>
      <c r="C343" s="20">
        <f>IF(PaymentSchedule34[[#This Row],[PMT NO]]&lt;&gt;"",EOMONTH(LoanStartDate,ROW(PaymentSchedule34[[#This Row],[PMT NO]])-ROW(PaymentSchedule34[[#Headers],[PMT NO]])-2)+DAY(LoanStartDate),"")</f>
        <v>53724</v>
      </c>
      <c r="D343" s="19">
        <f>IF(PaymentSchedule34[[#This Row],[PMT NO]]&lt;&gt;"",IF(ROW()-ROW(PaymentSchedule34[[#Headers],[BEGINNING BALANCE]])=1,LoanAmount,INDEX(PaymentSchedule34[ENDING BALANCE],ROW()-ROW(PaymentSchedule34[[#Headers],[BEGINNING BALANCE]])-1)),"")</f>
        <v>1002720.087787247</v>
      </c>
      <c r="E343" s="19">
        <f>IF(PaymentSchedule34[[#This Row],[PMT NO]]&lt;&gt;"",ScheduledPayment,"")</f>
        <v>8672.4039978858091</v>
      </c>
      <c r="F34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4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43" s="19">
        <f>IF(PaymentSchedule34[[#This Row],[PMT NO]]&lt;&gt;"",PaymentSchedule34[[#This Row],[TOTAL PAYMENT]]-PaymentSchedule34[[#This Row],[INTEREST]],"")</f>
        <v>5121.1036869726422</v>
      </c>
      <c r="I343" s="19">
        <f>IF(PaymentSchedule34[[#This Row],[PMT NO]]&lt;&gt;"",PaymentSchedule34[[#This Row],[BEGINNING BALANCE]]*(InterestRate/PaymentsPerYear),"")</f>
        <v>3551.3003109131669</v>
      </c>
      <c r="J34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997598.98410027439</v>
      </c>
      <c r="K343" s="19">
        <f>IF(PaymentSchedule34[[#This Row],[PMT NO]]&lt;&gt;"",SUM(INDEX(PaymentSchedule34[INTEREST],1,1):PaymentSchedule34[[#This Row],[INTEREST]]),"")</f>
        <v>1876837.1113983614</v>
      </c>
    </row>
    <row r="344" spans="2:11" x14ac:dyDescent="0.3">
      <c r="B344" s="21">
        <f>IF(LoanIsGood,IF(ROW()-ROW(PaymentSchedule34[[#Headers],[PMT NO]])&gt;ScheduledNumberOfPayments,"",ROW()-ROW(PaymentSchedule34[[#Headers],[PMT NO]])),"")</f>
        <v>333</v>
      </c>
      <c r="C344" s="20">
        <f>IF(PaymentSchedule34[[#This Row],[PMT NO]]&lt;&gt;"",EOMONTH(LoanStartDate,ROW(PaymentSchedule34[[#This Row],[PMT NO]])-ROW(PaymentSchedule34[[#Headers],[PMT NO]])-2)+DAY(LoanStartDate),"")</f>
        <v>53752</v>
      </c>
      <c r="D344" s="19">
        <f>IF(PaymentSchedule34[[#This Row],[PMT NO]]&lt;&gt;"",IF(ROW()-ROW(PaymentSchedule34[[#Headers],[BEGINNING BALANCE]])=1,LoanAmount,INDEX(PaymentSchedule34[ENDING BALANCE],ROW()-ROW(PaymentSchedule34[[#Headers],[BEGINNING BALANCE]])-1)),"")</f>
        <v>997598.98410027439</v>
      </c>
      <c r="E344" s="19">
        <f>IF(PaymentSchedule34[[#This Row],[PMT NO]]&lt;&gt;"",ScheduledPayment,"")</f>
        <v>8672.4039978858091</v>
      </c>
      <c r="F34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4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44" s="19">
        <f>IF(PaymentSchedule34[[#This Row],[PMT NO]]&lt;&gt;"",PaymentSchedule34[[#This Row],[TOTAL PAYMENT]]-PaymentSchedule34[[#This Row],[INTEREST]],"")</f>
        <v>5139.2409291973372</v>
      </c>
      <c r="I344" s="19">
        <f>IF(PaymentSchedule34[[#This Row],[PMT NO]]&lt;&gt;"",PaymentSchedule34[[#This Row],[BEGINNING BALANCE]]*(InterestRate/PaymentsPerYear),"")</f>
        <v>3533.1630686884719</v>
      </c>
      <c r="J34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992459.74317107711</v>
      </c>
      <c r="K344" s="19">
        <f>IF(PaymentSchedule34[[#This Row],[PMT NO]]&lt;&gt;"",SUM(INDEX(PaymentSchedule34[INTEREST],1,1):PaymentSchedule34[[#This Row],[INTEREST]]),"")</f>
        <v>1880370.2744670499</v>
      </c>
    </row>
    <row r="345" spans="2:11" x14ac:dyDescent="0.3">
      <c r="B345" s="21">
        <f>IF(LoanIsGood,IF(ROW()-ROW(PaymentSchedule34[[#Headers],[PMT NO]])&gt;ScheduledNumberOfPayments,"",ROW()-ROW(PaymentSchedule34[[#Headers],[PMT NO]])),"")</f>
        <v>334</v>
      </c>
      <c r="C345" s="20">
        <f>IF(PaymentSchedule34[[#This Row],[PMT NO]]&lt;&gt;"",EOMONTH(LoanStartDate,ROW(PaymentSchedule34[[#This Row],[PMT NO]])-ROW(PaymentSchedule34[[#Headers],[PMT NO]])-2)+DAY(LoanStartDate),"")</f>
        <v>53783</v>
      </c>
      <c r="D345" s="19">
        <f>IF(PaymentSchedule34[[#This Row],[PMT NO]]&lt;&gt;"",IF(ROW()-ROW(PaymentSchedule34[[#Headers],[BEGINNING BALANCE]])=1,LoanAmount,INDEX(PaymentSchedule34[ENDING BALANCE],ROW()-ROW(PaymentSchedule34[[#Headers],[BEGINNING BALANCE]])-1)),"")</f>
        <v>992459.74317107711</v>
      </c>
      <c r="E345" s="19">
        <f>IF(PaymentSchedule34[[#This Row],[PMT NO]]&lt;&gt;"",ScheduledPayment,"")</f>
        <v>8672.4039978858091</v>
      </c>
      <c r="F34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4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45" s="19">
        <f>IF(PaymentSchedule34[[#This Row],[PMT NO]]&lt;&gt;"",PaymentSchedule34[[#This Row],[TOTAL PAYMENT]]-PaymentSchedule34[[#This Row],[INTEREST]],"")</f>
        <v>5157.4424074882445</v>
      </c>
      <c r="I345" s="19">
        <f>IF(PaymentSchedule34[[#This Row],[PMT NO]]&lt;&gt;"",PaymentSchedule34[[#This Row],[BEGINNING BALANCE]]*(InterestRate/PaymentsPerYear),"")</f>
        <v>3514.961590397565</v>
      </c>
      <c r="J34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987302.30076358886</v>
      </c>
      <c r="K345" s="19">
        <f>IF(PaymentSchedule34[[#This Row],[PMT NO]]&lt;&gt;"",SUM(INDEX(PaymentSchedule34[INTEREST],1,1):PaymentSchedule34[[#This Row],[INTEREST]]),"")</f>
        <v>1883885.2360574475</v>
      </c>
    </row>
    <row r="346" spans="2:11" x14ac:dyDescent="0.3">
      <c r="B346" s="21">
        <f>IF(LoanIsGood,IF(ROW()-ROW(PaymentSchedule34[[#Headers],[PMT NO]])&gt;ScheduledNumberOfPayments,"",ROW()-ROW(PaymentSchedule34[[#Headers],[PMT NO]])),"")</f>
        <v>335</v>
      </c>
      <c r="C346" s="20">
        <f>IF(PaymentSchedule34[[#This Row],[PMT NO]]&lt;&gt;"",EOMONTH(LoanStartDate,ROW(PaymentSchedule34[[#This Row],[PMT NO]])-ROW(PaymentSchedule34[[#Headers],[PMT NO]])-2)+DAY(LoanStartDate),"")</f>
        <v>53813</v>
      </c>
      <c r="D346" s="19">
        <f>IF(PaymentSchedule34[[#This Row],[PMT NO]]&lt;&gt;"",IF(ROW()-ROW(PaymentSchedule34[[#Headers],[BEGINNING BALANCE]])=1,LoanAmount,INDEX(PaymentSchedule34[ENDING BALANCE],ROW()-ROW(PaymentSchedule34[[#Headers],[BEGINNING BALANCE]])-1)),"")</f>
        <v>987302.30076358886</v>
      </c>
      <c r="E346" s="19">
        <f>IF(PaymentSchedule34[[#This Row],[PMT NO]]&lt;&gt;"",ScheduledPayment,"")</f>
        <v>8672.4039978858091</v>
      </c>
      <c r="F34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4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46" s="19">
        <f>IF(PaymentSchedule34[[#This Row],[PMT NO]]&lt;&gt;"",PaymentSchedule34[[#This Row],[TOTAL PAYMENT]]-PaymentSchedule34[[#This Row],[INTEREST]],"")</f>
        <v>5175.7083493480986</v>
      </c>
      <c r="I346" s="19">
        <f>IF(PaymentSchedule34[[#This Row],[PMT NO]]&lt;&gt;"",PaymentSchedule34[[#This Row],[BEGINNING BALANCE]]*(InterestRate/PaymentsPerYear),"")</f>
        <v>3496.6956485377109</v>
      </c>
      <c r="J34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982126.59241424082</v>
      </c>
      <c r="K346" s="19">
        <f>IF(PaymentSchedule34[[#This Row],[PMT NO]]&lt;&gt;"",SUM(INDEX(PaymentSchedule34[INTEREST],1,1):PaymentSchedule34[[#This Row],[INTEREST]]),"")</f>
        <v>1887381.9317059852</v>
      </c>
    </row>
    <row r="347" spans="2:11" x14ac:dyDescent="0.3">
      <c r="B347" s="21">
        <f>IF(LoanIsGood,IF(ROW()-ROW(PaymentSchedule34[[#Headers],[PMT NO]])&gt;ScheduledNumberOfPayments,"",ROW()-ROW(PaymentSchedule34[[#Headers],[PMT NO]])),"")</f>
        <v>336</v>
      </c>
      <c r="C347" s="20">
        <f>IF(PaymentSchedule34[[#This Row],[PMT NO]]&lt;&gt;"",EOMONTH(LoanStartDate,ROW(PaymentSchedule34[[#This Row],[PMT NO]])-ROW(PaymentSchedule34[[#Headers],[PMT NO]])-2)+DAY(LoanStartDate),"")</f>
        <v>53844</v>
      </c>
      <c r="D347" s="19">
        <f>IF(PaymentSchedule34[[#This Row],[PMT NO]]&lt;&gt;"",IF(ROW()-ROW(PaymentSchedule34[[#Headers],[BEGINNING BALANCE]])=1,LoanAmount,INDEX(PaymentSchedule34[ENDING BALANCE],ROW()-ROW(PaymentSchedule34[[#Headers],[BEGINNING BALANCE]])-1)),"")</f>
        <v>982126.59241424082</v>
      </c>
      <c r="E347" s="19">
        <f>IF(PaymentSchedule34[[#This Row],[PMT NO]]&lt;&gt;"",ScheduledPayment,"")</f>
        <v>8672.4039978858091</v>
      </c>
      <c r="F34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4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47" s="19">
        <f>IF(PaymentSchedule34[[#This Row],[PMT NO]]&lt;&gt;"",PaymentSchedule34[[#This Row],[TOTAL PAYMENT]]-PaymentSchedule34[[#This Row],[INTEREST]],"")</f>
        <v>5194.0389830853728</v>
      </c>
      <c r="I347" s="19">
        <f>IF(PaymentSchedule34[[#This Row],[PMT NO]]&lt;&gt;"",PaymentSchedule34[[#This Row],[BEGINNING BALANCE]]*(InterestRate/PaymentsPerYear),"")</f>
        <v>3478.3650148004363</v>
      </c>
      <c r="J34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976932.55343115539</v>
      </c>
      <c r="K347" s="19">
        <f>IF(PaymentSchedule34[[#This Row],[PMT NO]]&lt;&gt;"",SUM(INDEX(PaymentSchedule34[INTEREST],1,1):PaymentSchedule34[[#This Row],[INTEREST]]),"")</f>
        <v>1890860.2967207856</v>
      </c>
    </row>
    <row r="348" spans="2:11" x14ac:dyDescent="0.3">
      <c r="B348" s="21">
        <f>IF(LoanIsGood,IF(ROW()-ROW(PaymentSchedule34[[#Headers],[PMT NO]])&gt;ScheduledNumberOfPayments,"",ROW()-ROW(PaymentSchedule34[[#Headers],[PMT NO]])),"")</f>
        <v>337</v>
      </c>
      <c r="C348" s="20">
        <f>IF(PaymentSchedule34[[#This Row],[PMT NO]]&lt;&gt;"",EOMONTH(LoanStartDate,ROW(PaymentSchedule34[[#This Row],[PMT NO]])-ROW(PaymentSchedule34[[#Headers],[PMT NO]])-2)+DAY(LoanStartDate),"")</f>
        <v>53874</v>
      </c>
      <c r="D348" s="19">
        <f>IF(PaymentSchedule34[[#This Row],[PMT NO]]&lt;&gt;"",IF(ROW()-ROW(PaymentSchedule34[[#Headers],[BEGINNING BALANCE]])=1,LoanAmount,INDEX(PaymentSchedule34[ENDING BALANCE],ROW()-ROW(PaymentSchedule34[[#Headers],[BEGINNING BALANCE]])-1)),"")</f>
        <v>976932.55343115539</v>
      </c>
      <c r="E348" s="19">
        <f>IF(PaymentSchedule34[[#This Row],[PMT NO]]&lt;&gt;"",ScheduledPayment,"")</f>
        <v>8672.4039978858091</v>
      </c>
      <c r="F34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4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48" s="19">
        <f>IF(PaymentSchedule34[[#This Row],[PMT NO]]&lt;&gt;"",PaymentSchedule34[[#This Row],[TOTAL PAYMENT]]-PaymentSchedule34[[#This Row],[INTEREST]],"")</f>
        <v>5212.4345378171329</v>
      </c>
      <c r="I348" s="19">
        <f>IF(PaymentSchedule34[[#This Row],[PMT NO]]&lt;&gt;"",PaymentSchedule34[[#This Row],[BEGINNING BALANCE]]*(InterestRate/PaymentsPerYear),"")</f>
        <v>3459.9694600686757</v>
      </c>
      <c r="J34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971720.11889333825</v>
      </c>
      <c r="K348" s="19">
        <f>IF(PaymentSchedule34[[#This Row],[PMT NO]]&lt;&gt;"",SUM(INDEX(PaymentSchedule34[INTEREST],1,1):PaymentSchedule34[[#This Row],[INTEREST]]),"")</f>
        <v>1894320.2661808543</v>
      </c>
    </row>
    <row r="349" spans="2:11" x14ac:dyDescent="0.3">
      <c r="B349" s="21">
        <f>IF(LoanIsGood,IF(ROW()-ROW(PaymentSchedule34[[#Headers],[PMT NO]])&gt;ScheduledNumberOfPayments,"",ROW()-ROW(PaymentSchedule34[[#Headers],[PMT NO]])),"")</f>
        <v>338</v>
      </c>
      <c r="C349" s="20">
        <f>IF(PaymentSchedule34[[#This Row],[PMT NO]]&lt;&gt;"",EOMONTH(LoanStartDate,ROW(PaymentSchedule34[[#This Row],[PMT NO]])-ROW(PaymentSchedule34[[#Headers],[PMT NO]])-2)+DAY(LoanStartDate),"")</f>
        <v>53905</v>
      </c>
      <c r="D349" s="19">
        <f>IF(PaymentSchedule34[[#This Row],[PMT NO]]&lt;&gt;"",IF(ROW()-ROW(PaymentSchedule34[[#Headers],[BEGINNING BALANCE]])=1,LoanAmount,INDEX(PaymentSchedule34[ENDING BALANCE],ROW()-ROW(PaymentSchedule34[[#Headers],[BEGINNING BALANCE]])-1)),"")</f>
        <v>971720.11889333825</v>
      </c>
      <c r="E349" s="19">
        <f>IF(PaymentSchedule34[[#This Row],[PMT NO]]&lt;&gt;"",ScheduledPayment,"")</f>
        <v>8672.4039978858091</v>
      </c>
      <c r="F34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4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49" s="19">
        <f>IF(PaymentSchedule34[[#This Row],[PMT NO]]&lt;&gt;"",PaymentSchedule34[[#This Row],[TOTAL PAYMENT]]-PaymentSchedule34[[#This Row],[INTEREST]],"")</f>
        <v>5230.8952434719031</v>
      </c>
      <c r="I349" s="19">
        <f>IF(PaymentSchedule34[[#This Row],[PMT NO]]&lt;&gt;"",PaymentSchedule34[[#This Row],[BEGINNING BALANCE]]*(InterestRate/PaymentsPerYear),"")</f>
        <v>3441.5087544139064</v>
      </c>
      <c r="J34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966489.2236498663</v>
      </c>
      <c r="K349" s="19">
        <f>IF(PaymentSchedule34[[#This Row],[PMT NO]]&lt;&gt;"",SUM(INDEX(PaymentSchedule34[INTEREST],1,1):PaymentSchedule34[[#This Row],[INTEREST]]),"")</f>
        <v>1897761.7749352681</v>
      </c>
    </row>
    <row r="350" spans="2:11" x14ac:dyDescent="0.3">
      <c r="B350" s="21">
        <f>IF(LoanIsGood,IF(ROW()-ROW(PaymentSchedule34[[#Headers],[PMT NO]])&gt;ScheduledNumberOfPayments,"",ROW()-ROW(PaymentSchedule34[[#Headers],[PMT NO]])),"")</f>
        <v>339</v>
      </c>
      <c r="C350" s="20">
        <f>IF(PaymentSchedule34[[#This Row],[PMT NO]]&lt;&gt;"",EOMONTH(LoanStartDate,ROW(PaymentSchedule34[[#This Row],[PMT NO]])-ROW(PaymentSchedule34[[#Headers],[PMT NO]])-2)+DAY(LoanStartDate),"")</f>
        <v>53936</v>
      </c>
      <c r="D350" s="19">
        <f>IF(PaymentSchedule34[[#This Row],[PMT NO]]&lt;&gt;"",IF(ROW()-ROW(PaymentSchedule34[[#Headers],[BEGINNING BALANCE]])=1,LoanAmount,INDEX(PaymentSchedule34[ENDING BALANCE],ROW()-ROW(PaymentSchedule34[[#Headers],[BEGINNING BALANCE]])-1)),"")</f>
        <v>966489.2236498663</v>
      </c>
      <c r="E350" s="19">
        <f>IF(PaymentSchedule34[[#This Row],[PMT NO]]&lt;&gt;"",ScheduledPayment,"")</f>
        <v>8672.4039978858091</v>
      </c>
      <c r="F35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5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50" s="19">
        <f>IF(PaymentSchedule34[[#This Row],[PMT NO]]&lt;&gt;"",PaymentSchedule34[[#This Row],[TOTAL PAYMENT]]-PaymentSchedule34[[#This Row],[INTEREST]],"")</f>
        <v>5249.4213307925329</v>
      </c>
      <c r="I350" s="19">
        <f>IF(PaymentSchedule34[[#This Row],[PMT NO]]&lt;&gt;"",PaymentSchedule34[[#This Row],[BEGINNING BALANCE]]*(InterestRate/PaymentsPerYear),"")</f>
        <v>3422.9826670932766</v>
      </c>
      <c r="J35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961239.80231907382</v>
      </c>
      <c r="K350" s="19">
        <f>IF(PaymentSchedule34[[#This Row],[PMT NO]]&lt;&gt;"",SUM(INDEX(PaymentSchedule34[INTEREST],1,1):PaymentSchedule34[[#This Row],[INTEREST]]),"")</f>
        <v>1901184.7576023613</v>
      </c>
    </row>
    <row r="351" spans="2:11" x14ac:dyDescent="0.3">
      <c r="B351" s="21">
        <f>IF(LoanIsGood,IF(ROW()-ROW(PaymentSchedule34[[#Headers],[PMT NO]])&gt;ScheduledNumberOfPayments,"",ROW()-ROW(PaymentSchedule34[[#Headers],[PMT NO]])),"")</f>
        <v>340</v>
      </c>
      <c r="C351" s="20">
        <f>IF(PaymentSchedule34[[#This Row],[PMT NO]]&lt;&gt;"",EOMONTH(LoanStartDate,ROW(PaymentSchedule34[[#This Row],[PMT NO]])-ROW(PaymentSchedule34[[#Headers],[PMT NO]])-2)+DAY(LoanStartDate),"")</f>
        <v>53966</v>
      </c>
      <c r="D351" s="19">
        <f>IF(PaymentSchedule34[[#This Row],[PMT NO]]&lt;&gt;"",IF(ROW()-ROW(PaymentSchedule34[[#Headers],[BEGINNING BALANCE]])=1,LoanAmount,INDEX(PaymentSchedule34[ENDING BALANCE],ROW()-ROW(PaymentSchedule34[[#Headers],[BEGINNING BALANCE]])-1)),"")</f>
        <v>961239.80231907382</v>
      </c>
      <c r="E351" s="19">
        <f>IF(PaymentSchedule34[[#This Row],[PMT NO]]&lt;&gt;"",ScheduledPayment,"")</f>
        <v>8672.4039978858091</v>
      </c>
      <c r="F35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5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51" s="19">
        <f>IF(PaymentSchedule34[[#This Row],[PMT NO]]&lt;&gt;"",PaymentSchedule34[[#This Row],[TOTAL PAYMENT]]-PaymentSchedule34[[#This Row],[INTEREST]],"")</f>
        <v>5268.0130313390891</v>
      </c>
      <c r="I351" s="19">
        <f>IF(PaymentSchedule34[[#This Row],[PMT NO]]&lt;&gt;"",PaymentSchedule34[[#This Row],[BEGINNING BALANCE]]*(InterestRate/PaymentsPerYear),"")</f>
        <v>3404.3909665467199</v>
      </c>
      <c r="J35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955971.78928773478</v>
      </c>
      <c r="K351" s="19">
        <f>IF(PaymentSchedule34[[#This Row],[PMT NO]]&lt;&gt;"",SUM(INDEX(PaymentSchedule34[INTEREST],1,1):PaymentSchedule34[[#This Row],[INTEREST]]),"")</f>
        <v>1904589.148568908</v>
      </c>
    </row>
    <row r="352" spans="2:11" x14ac:dyDescent="0.3">
      <c r="B352" s="21">
        <f>IF(LoanIsGood,IF(ROW()-ROW(PaymentSchedule34[[#Headers],[PMT NO]])&gt;ScheduledNumberOfPayments,"",ROW()-ROW(PaymentSchedule34[[#Headers],[PMT NO]])),"")</f>
        <v>341</v>
      </c>
      <c r="C352" s="20">
        <f>IF(PaymentSchedule34[[#This Row],[PMT NO]]&lt;&gt;"",EOMONTH(LoanStartDate,ROW(PaymentSchedule34[[#This Row],[PMT NO]])-ROW(PaymentSchedule34[[#Headers],[PMT NO]])-2)+DAY(LoanStartDate),"")</f>
        <v>53997</v>
      </c>
      <c r="D352" s="19">
        <f>IF(PaymentSchedule34[[#This Row],[PMT NO]]&lt;&gt;"",IF(ROW()-ROW(PaymentSchedule34[[#Headers],[BEGINNING BALANCE]])=1,LoanAmount,INDEX(PaymentSchedule34[ENDING BALANCE],ROW()-ROW(PaymentSchedule34[[#Headers],[BEGINNING BALANCE]])-1)),"")</f>
        <v>955971.78928773478</v>
      </c>
      <c r="E352" s="19">
        <f>IF(PaymentSchedule34[[#This Row],[PMT NO]]&lt;&gt;"",ScheduledPayment,"")</f>
        <v>8672.4039978858091</v>
      </c>
      <c r="F35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5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52" s="19">
        <f>IF(PaymentSchedule34[[#This Row],[PMT NO]]&lt;&gt;"",PaymentSchedule34[[#This Row],[TOTAL PAYMENT]]-PaymentSchedule34[[#This Row],[INTEREST]],"")</f>
        <v>5286.6705774917482</v>
      </c>
      <c r="I352" s="19">
        <f>IF(PaymentSchedule34[[#This Row],[PMT NO]]&lt;&gt;"",PaymentSchedule34[[#This Row],[BEGINNING BALANCE]]*(InterestRate/PaymentsPerYear),"")</f>
        <v>3385.7334203940609</v>
      </c>
      <c r="J35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950685.11871024303</v>
      </c>
      <c r="K352" s="19">
        <f>IF(PaymentSchedule34[[#This Row],[PMT NO]]&lt;&gt;"",SUM(INDEX(PaymentSchedule34[INTEREST],1,1):PaymentSchedule34[[#This Row],[INTEREST]]),"")</f>
        <v>1907974.8819893021</v>
      </c>
    </row>
    <row r="353" spans="2:11" x14ac:dyDescent="0.3">
      <c r="B353" s="21">
        <f>IF(LoanIsGood,IF(ROW()-ROW(PaymentSchedule34[[#Headers],[PMT NO]])&gt;ScheduledNumberOfPayments,"",ROW()-ROW(PaymentSchedule34[[#Headers],[PMT NO]])),"")</f>
        <v>342</v>
      </c>
      <c r="C353" s="20">
        <f>IF(PaymentSchedule34[[#This Row],[PMT NO]]&lt;&gt;"",EOMONTH(LoanStartDate,ROW(PaymentSchedule34[[#This Row],[PMT NO]])-ROW(PaymentSchedule34[[#Headers],[PMT NO]])-2)+DAY(LoanStartDate),"")</f>
        <v>54027</v>
      </c>
      <c r="D353" s="19">
        <f>IF(PaymentSchedule34[[#This Row],[PMT NO]]&lt;&gt;"",IF(ROW()-ROW(PaymentSchedule34[[#Headers],[BEGINNING BALANCE]])=1,LoanAmount,INDEX(PaymentSchedule34[ENDING BALANCE],ROW()-ROW(PaymentSchedule34[[#Headers],[BEGINNING BALANCE]])-1)),"")</f>
        <v>950685.11871024303</v>
      </c>
      <c r="E353" s="19">
        <f>IF(PaymentSchedule34[[#This Row],[PMT NO]]&lt;&gt;"",ScheduledPayment,"")</f>
        <v>8672.4039978858091</v>
      </c>
      <c r="F35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5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53" s="19">
        <f>IF(PaymentSchedule34[[#This Row],[PMT NO]]&lt;&gt;"",PaymentSchedule34[[#This Row],[TOTAL PAYMENT]]-PaymentSchedule34[[#This Row],[INTEREST]],"")</f>
        <v>5305.3942024536982</v>
      </c>
      <c r="I353" s="19">
        <f>IF(PaymentSchedule34[[#This Row],[PMT NO]]&lt;&gt;"",PaymentSchedule34[[#This Row],[BEGINNING BALANCE]]*(InterestRate/PaymentsPerYear),"")</f>
        <v>3367.0097954321109</v>
      </c>
      <c r="J35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945379.72450778936</v>
      </c>
      <c r="K353" s="19">
        <f>IF(PaymentSchedule34[[#This Row],[PMT NO]]&lt;&gt;"",SUM(INDEX(PaymentSchedule34[INTEREST],1,1):PaymentSchedule34[[#This Row],[INTEREST]]),"")</f>
        <v>1911341.8917847343</v>
      </c>
    </row>
    <row r="354" spans="2:11" x14ac:dyDescent="0.3">
      <c r="B354" s="21">
        <f>IF(LoanIsGood,IF(ROW()-ROW(PaymentSchedule34[[#Headers],[PMT NO]])&gt;ScheduledNumberOfPayments,"",ROW()-ROW(PaymentSchedule34[[#Headers],[PMT NO]])),"")</f>
        <v>343</v>
      </c>
      <c r="C354" s="20">
        <f>IF(PaymentSchedule34[[#This Row],[PMT NO]]&lt;&gt;"",EOMONTH(LoanStartDate,ROW(PaymentSchedule34[[#This Row],[PMT NO]])-ROW(PaymentSchedule34[[#Headers],[PMT NO]])-2)+DAY(LoanStartDate),"")</f>
        <v>54058</v>
      </c>
      <c r="D354" s="19">
        <f>IF(PaymentSchedule34[[#This Row],[PMT NO]]&lt;&gt;"",IF(ROW()-ROW(PaymentSchedule34[[#Headers],[BEGINNING BALANCE]])=1,LoanAmount,INDEX(PaymentSchedule34[ENDING BALANCE],ROW()-ROW(PaymentSchedule34[[#Headers],[BEGINNING BALANCE]])-1)),"")</f>
        <v>945379.72450778936</v>
      </c>
      <c r="E354" s="19">
        <f>IF(PaymentSchedule34[[#This Row],[PMT NO]]&lt;&gt;"",ScheduledPayment,"")</f>
        <v>8672.4039978858091</v>
      </c>
      <c r="F35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5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54" s="19">
        <f>IF(PaymentSchedule34[[#This Row],[PMT NO]]&lt;&gt;"",PaymentSchedule34[[#This Row],[TOTAL PAYMENT]]-PaymentSchedule34[[#This Row],[INTEREST]],"")</f>
        <v>5324.1841402540549</v>
      </c>
      <c r="I354" s="19">
        <f>IF(PaymentSchedule34[[#This Row],[PMT NO]]&lt;&gt;"",PaymentSchedule34[[#This Row],[BEGINNING BALANCE]]*(InterestRate/PaymentsPerYear),"")</f>
        <v>3348.2198576317542</v>
      </c>
      <c r="J35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940055.54036753532</v>
      </c>
      <c r="K354" s="19">
        <f>IF(PaymentSchedule34[[#This Row],[PMT NO]]&lt;&gt;"",SUM(INDEX(PaymentSchedule34[INTEREST],1,1):PaymentSchedule34[[#This Row],[INTEREST]]),"")</f>
        <v>1914690.111642366</v>
      </c>
    </row>
    <row r="355" spans="2:11" x14ac:dyDescent="0.3">
      <c r="B355" s="21">
        <f>IF(LoanIsGood,IF(ROW()-ROW(PaymentSchedule34[[#Headers],[PMT NO]])&gt;ScheduledNumberOfPayments,"",ROW()-ROW(PaymentSchedule34[[#Headers],[PMT NO]])),"")</f>
        <v>344</v>
      </c>
      <c r="C355" s="20">
        <f>IF(PaymentSchedule34[[#This Row],[PMT NO]]&lt;&gt;"",EOMONTH(LoanStartDate,ROW(PaymentSchedule34[[#This Row],[PMT NO]])-ROW(PaymentSchedule34[[#Headers],[PMT NO]])-2)+DAY(LoanStartDate),"")</f>
        <v>54089</v>
      </c>
      <c r="D355" s="19">
        <f>IF(PaymentSchedule34[[#This Row],[PMT NO]]&lt;&gt;"",IF(ROW()-ROW(PaymentSchedule34[[#Headers],[BEGINNING BALANCE]])=1,LoanAmount,INDEX(PaymentSchedule34[ENDING BALANCE],ROW()-ROW(PaymentSchedule34[[#Headers],[BEGINNING BALANCE]])-1)),"")</f>
        <v>940055.54036753532</v>
      </c>
      <c r="E355" s="19">
        <f>IF(PaymentSchedule34[[#This Row],[PMT NO]]&lt;&gt;"",ScheduledPayment,"")</f>
        <v>8672.4039978858091</v>
      </c>
      <c r="F35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5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55" s="19">
        <f>IF(PaymentSchedule34[[#This Row],[PMT NO]]&lt;&gt;"",PaymentSchedule34[[#This Row],[TOTAL PAYMENT]]-PaymentSchedule34[[#This Row],[INTEREST]],"")</f>
        <v>5343.0406257507875</v>
      </c>
      <c r="I355" s="19">
        <f>IF(PaymentSchedule34[[#This Row],[PMT NO]]&lt;&gt;"",PaymentSchedule34[[#This Row],[BEGINNING BALANCE]]*(InterestRate/PaymentsPerYear),"")</f>
        <v>3329.3633721350211</v>
      </c>
      <c r="J35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934712.49974178453</v>
      </c>
      <c r="K355" s="19">
        <f>IF(PaymentSchedule34[[#This Row],[PMT NO]]&lt;&gt;"",SUM(INDEX(PaymentSchedule34[INTEREST],1,1):PaymentSchedule34[[#This Row],[INTEREST]]),"")</f>
        <v>1918019.475014501</v>
      </c>
    </row>
    <row r="356" spans="2:11" x14ac:dyDescent="0.3">
      <c r="B356" s="21">
        <f>IF(LoanIsGood,IF(ROW()-ROW(PaymentSchedule34[[#Headers],[PMT NO]])&gt;ScheduledNumberOfPayments,"",ROW()-ROW(PaymentSchedule34[[#Headers],[PMT NO]])),"")</f>
        <v>345</v>
      </c>
      <c r="C356" s="20">
        <f>IF(PaymentSchedule34[[#This Row],[PMT NO]]&lt;&gt;"",EOMONTH(LoanStartDate,ROW(PaymentSchedule34[[#This Row],[PMT NO]])-ROW(PaymentSchedule34[[#Headers],[PMT NO]])-2)+DAY(LoanStartDate),"")</f>
        <v>54118</v>
      </c>
      <c r="D356" s="19">
        <f>IF(PaymentSchedule34[[#This Row],[PMT NO]]&lt;&gt;"",IF(ROW()-ROW(PaymentSchedule34[[#Headers],[BEGINNING BALANCE]])=1,LoanAmount,INDEX(PaymentSchedule34[ENDING BALANCE],ROW()-ROW(PaymentSchedule34[[#Headers],[BEGINNING BALANCE]])-1)),"")</f>
        <v>934712.49974178453</v>
      </c>
      <c r="E356" s="19">
        <f>IF(PaymentSchedule34[[#This Row],[PMT NO]]&lt;&gt;"",ScheduledPayment,"")</f>
        <v>8672.4039978858091</v>
      </c>
      <c r="F35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5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56" s="19">
        <f>IF(PaymentSchedule34[[#This Row],[PMT NO]]&lt;&gt;"",PaymentSchedule34[[#This Row],[TOTAL PAYMENT]]-PaymentSchedule34[[#This Row],[INTEREST]],"")</f>
        <v>5361.9638946336554</v>
      </c>
      <c r="I356" s="19">
        <f>IF(PaymentSchedule34[[#This Row],[PMT NO]]&lt;&gt;"",PaymentSchedule34[[#This Row],[BEGINNING BALANCE]]*(InterestRate/PaymentsPerYear),"")</f>
        <v>3310.4401032521537</v>
      </c>
      <c r="J35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929350.53584715084</v>
      </c>
      <c r="K356" s="19">
        <f>IF(PaymentSchedule34[[#This Row],[PMT NO]]&lt;&gt;"",SUM(INDEX(PaymentSchedule34[INTEREST],1,1):PaymentSchedule34[[#This Row],[INTEREST]]),"")</f>
        <v>1921329.9151177532</v>
      </c>
    </row>
    <row r="357" spans="2:11" x14ac:dyDescent="0.3">
      <c r="B357" s="21">
        <f>IF(LoanIsGood,IF(ROW()-ROW(PaymentSchedule34[[#Headers],[PMT NO]])&gt;ScheduledNumberOfPayments,"",ROW()-ROW(PaymentSchedule34[[#Headers],[PMT NO]])),"")</f>
        <v>346</v>
      </c>
      <c r="C357" s="20">
        <f>IF(PaymentSchedule34[[#This Row],[PMT NO]]&lt;&gt;"",EOMONTH(LoanStartDate,ROW(PaymentSchedule34[[#This Row],[PMT NO]])-ROW(PaymentSchedule34[[#Headers],[PMT NO]])-2)+DAY(LoanStartDate),"")</f>
        <v>54149</v>
      </c>
      <c r="D357" s="19">
        <f>IF(PaymentSchedule34[[#This Row],[PMT NO]]&lt;&gt;"",IF(ROW()-ROW(PaymentSchedule34[[#Headers],[BEGINNING BALANCE]])=1,LoanAmount,INDEX(PaymentSchedule34[ENDING BALANCE],ROW()-ROW(PaymentSchedule34[[#Headers],[BEGINNING BALANCE]])-1)),"")</f>
        <v>929350.53584715084</v>
      </c>
      <c r="E357" s="19">
        <f>IF(PaymentSchedule34[[#This Row],[PMT NO]]&lt;&gt;"",ScheduledPayment,"")</f>
        <v>8672.4039978858091</v>
      </c>
      <c r="F35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5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57" s="19">
        <f>IF(PaymentSchedule34[[#This Row],[PMT NO]]&lt;&gt;"",PaymentSchedule34[[#This Row],[TOTAL PAYMENT]]-PaymentSchedule34[[#This Row],[INTEREST]],"")</f>
        <v>5380.9541834271495</v>
      </c>
      <c r="I357" s="19">
        <f>IF(PaymentSchedule34[[#This Row],[PMT NO]]&lt;&gt;"",PaymentSchedule34[[#This Row],[BEGINNING BALANCE]]*(InterestRate/PaymentsPerYear),"")</f>
        <v>3291.4498144586596</v>
      </c>
      <c r="J35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923969.58166372369</v>
      </c>
      <c r="K357" s="19">
        <f>IF(PaymentSchedule34[[#This Row],[PMT NO]]&lt;&gt;"",SUM(INDEX(PaymentSchedule34[INTEREST],1,1):PaymentSchedule34[[#This Row],[INTEREST]]),"")</f>
        <v>1924621.3649322118</v>
      </c>
    </row>
    <row r="358" spans="2:11" x14ac:dyDescent="0.3">
      <c r="B358" s="21">
        <f>IF(LoanIsGood,IF(ROW()-ROW(PaymentSchedule34[[#Headers],[PMT NO]])&gt;ScheduledNumberOfPayments,"",ROW()-ROW(PaymentSchedule34[[#Headers],[PMT NO]])),"")</f>
        <v>347</v>
      </c>
      <c r="C358" s="20">
        <f>IF(PaymentSchedule34[[#This Row],[PMT NO]]&lt;&gt;"",EOMONTH(LoanStartDate,ROW(PaymentSchedule34[[#This Row],[PMT NO]])-ROW(PaymentSchedule34[[#Headers],[PMT NO]])-2)+DAY(LoanStartDate),"")</f>
        <v>54179</v>
      </c>
      <c r="D358" s="19">
        <f>IF(PaymentSchedule34[[#This Row],[PMT NO]]&lt;&gt;"",IF(ROW()-ROW(PaymentSchedule34[[#Headers],[BEGINNING BALANCE]])=1,LoanAmount,INDEX(PaymentSchedule34[ENDING BALANCE],ROW()-ROW(PaymentSchedule34[[#Headers],[BEGINNING BALANCE]])-1)),"")</f>
        <v>923969.58166372369</v>
      </c>
      <c r="E358" s="19">
        <f>IF(PaymentSchedule34[[#This Row],[PMT NO]]&lt;&gt;"",ScheduledPayment,"")</f>
        <v>8672.4039978858091</v>
      </c>
      <c r="F35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5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58" s="19">
        <f>IF(PaymentSchedule34[[#This Row],[PMT NO]]&lt;&gt;"",PaymentSchedule34[[#This Row],[TOTAL PAYMENT]]-PaymentSchedule34[[#This Row],[INTEREST]],"")</f>
        <v>5400.0117294934535</v>
      </c>
      <c r="I358" s="19">
        <f>IF(PaymentSchedule34[[#This Row],[PMT NO]]&lt;&gt;"",PaymentSchedule34[[#This Row],[BEGINNING BALANCE]]*(InterestRate/PaymentsPerYear),"")</f>
        <v>3272.3922683923552</v>
      </c>
      <c r="J35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918569.56993423018</v>
      </c>
      <c r="K358" s="19">
        <f>IF(PaymentSchedule34[[#This Row],[PMT NO]]&lt;&gt;"",SUM(INDEX(PaymentSchedule34[INTEREST],1,1):PaymentSchedule34[[#This Row],[INTEREST]]),"")</f>
        <v>1927893.7572006041</v>
      </c>
    </row>
    <row r="359" spans="2:11" x14ac:dyDescent="0.3">
      <c r="B359" s="21">
        <f>IF(LoanIsGood,IF(ROW()-ROW(PaymentSchedule34[[#Headers],[PMT NO]])&gt;ScheduledNumberOfPayments,"",ROW()-ROW(PaymentSchedule34[[#Headers],[PMT NO]])),"")</f>
        <v>348</v>
      </c>
      <c r="C359" s="20">
        <f>IF(PaymentSchedule34[[#This Row],[PMT NO]]&lt;&gt;"",EOMONTH(LoanStartDate,ROW(PaymentSchedule34[[#This Row],[PMT NO]])-ROW(PaymentSchedule34[[#Headers],[PMT NO]])-2)+DAY(LoanStartDate),"")</f>
        <v>54210</v>
      </c>
      <c r="D359" s="19">
        <f>IF(PaymentSchedule34[[#This Row],[PMT NO]]&lt;&gt;"",IF(ROW()-ROW(PaymentSchedule34[[#Headers],[BEGINNING BALANCE]])=1,LoanAmount,INDEX(PaymentSchedule34[ENDING BALANCE],ROW()-ROW(PaymentSchedule34[[#Headers],[BEGINNING BALANCE]])-1)),"")</f>
        <v>918569.56993423018</v>
      </c>
      <c r="E359" s="19">
        <f>IF(PaymentSchedule34[[#This Row],[PMT NO]]&lt;&gt;"",ScheduledPayment,"")</f>
        <v>8672.4039978858091</v>
      </c>
      <c r="F35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5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59" s="19">
        <f>IF(PaymentSchedule34[[#This Row],[PMT NO]]&lt;&gt;"",PaymentSchedule34[[#This Row],[TOTAL PAYMENT]]-PaymentSchedule34[[#This Row],[INTEREST]],"")</f>
        <v>5419.1367710354098</v>
      </c>
      <c r="I359" s="19">
        <f>IF(PaymentSchedule34[[#This Row],[PMT NO]]&lt;&gt;"",PaymentSchedule34[[#This Row],[BEGINNING BALANCE]]*(InterestRate/PaymentsPerYear),"")</f>
        <v>3253.2672268503989</v>
      </c>
      <c r="J35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913150.4331631948</v>
      </c>
      <c r="K359" s="19">
        <f>IF(PaymentSchedule34[[#This Row],[PMT NO]]&lt;&gt;"",SUM(INDEX(PaymentSchedule34[INTEREST],1,1):PaymentSchedule34[[#This Row],[INTEREST]]),"")</f>
        <v>1931147.0244274545</v>
      </c>
    </row>
    <row r="360" spans="2:11" x14ac:dyDescent="0.3">
      <c r="B360" s="21">
        <f>IF(LoanIsGood,IF(ROW()-ROW(PaymentSchedule34[[#Headers],[PMT NO]])&gt;ScheduledNumberOfPayments,"",ROW()-ROW(PaymentSchedule34[[#Headers],[PMT NO]])),"")</f>
        <v>349</v>
      </c>
      <c r="C360" s="20">
        <f>IF(PaymentSchedule34[[#This Row],[PMT NO]]&lt;&gt;"",EOMONTH(LoanStartDate,ROW(PaymentSchedule34[[#This Row],[PMT NO]])-ROW(PaymentSchedule34[[#Headers],[PMT NO]])-2)+DAY(LoanStartDate),"")</f>
        <v>54240</v>
      </c>
      <c r="D360" s="19">
        <f>IF(PaymentSchedule34[[#This Row],[PMT NO]]&lt;&gt;"",IF(ROW()-ROW(PaymentSchedule34[[#Headers],[BEGINNING BALANCE]])=1,LoanAmount,INDEX(PaymentSchedule34[ENDING BALANCE],ROW()-ROW(PaymentSchedule34[[#Headers],[BEGINNING BALANCE]])-1)),"")</f>
        <v>913150.4331631948</v>
      </c>
      <c r="E360" s="19">
        <f>IF(PaymentSchedule34[[#This Row],[PMT NO]]&lt;&gt;"",ScheduledPayment,"")</f>
        <v>8672.4039978858091</v>
      </c>
      <c r="F36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6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60" s="19">
        <f>IF(PaymentSchedule34[[#This Row],[PMT NO]]&lt;&gt;"",PaymentSchedule34[[#This Row],[TOTAL PAYMENT]]-PaymentSchedule34[[#This Row],[INTEREST]],"")</f>
        <v>5438.3295470994944</v>
      </c>
      <c r="I360" s="19">
        <f>IF(PaymentSchedule34[[#This Row],[PMT NO]]&lt;&gt;"",PaymentSchedule34[[#This Row],[BEGINNING BALANCE]]*(InterestRate/PaymentsPerYear),"")</f>
        <v>3234.0744507863151</v>
      </c>
      <c r="J36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907712.10361609526</v>
      </c>
      <c r="K360" s="19">
        <f>IF(PaymentSchedule34[[#This Row],[PMT NO]]&lt;&gt;"",SUM(INDEX(PaymentSchedule34[INTEREST],1,1):PaymentSchedule34[[#This Row],[INTEREST]]),"")</f>
        <v>1934381.0988782407</v>
      </c>
    </row>
    <row r="361" spans="2:11" x14ac:dyDescent="0.3">
      <c r="B361" s="21">
        <f>IF(LoanIsGood,IF(ROW()-ROW(PaymentSchedule34[[#Headers],[PMT NO]])&gt;ScheduledNumberOfPayments,"",ROW()-ROW(PaymentSchedule34[[#Headers],[PMT NO]])),"")</f>
        <v>350</v>
      </c>
      <c r="C361" s="20">
        <f>IF(PaymentSchedule34[[#This Row],[PMT NO]]&lt;&gt;"",EOMONTH(LoanStartDate,ROW(PaymentSchedule34[[#This Row],[PMT NO]])-ROW(PaymentSchedule34[[#Headers],[PMT NO]])-2)+DAY(LoanStartDate),"")</f>
        <v>54271</v>
      </c>
      <c r="D361" s="19">
        <f>IF(PaymentSchedule34[[#This Row],[PMT NO]]&lt;&gt;"",IF(ROW()-ROW(PaymentSchedule34[[#Headers],[BEGINNING BALANCE]])=1,LoanAmount,INDEX(PaymentSchedule34[ENDING BALANCE],ROW()-ROW(PaymentSchedule34[[#Headers],[BEGINNING BALANCE]])-1)),"")</f>
        <v>907712.10361609526</v>
      </c>
      <c r="E361" s="19">
        <f>IF(PaymentSchedule34[[#This Row],[PMT NO]]&lt;&gt;"",ScheduledPayment,"")</f>
        <v>8672.4039978858091</v>
      </c>
      <c r="F36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6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61" s="19">
        <f>IF(PaymentSchedule34[[#This Row],[PMT NO]]&lt;&gt;"",PaymentSchedule34[[#This Row],[TOTAL PAYMENT]]-PaymentSchedule34[[#This Row],[INTEREST]],"")</f>
        <v>5457.5902975788049</v>
      </c>
      <c r="I361" s="19">
        <f>IF(PaymentSchedule34[[#This Row],[PMT NO]]&lt;&gt;"",PaymentSchedule34[[#This Row],[BEGINNING BALANCE]]*(InterestRate/PaymentsPerYear),"")</f>
        <v>3214.8137003070042</v>
      </c>
      <c r="J36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902254.51331851643</v>
      </c>
      <c r="K361" s="19">
        <f>IF(PaymentSchedule34[[#This Row],[PMT NO]]&lt;&gt;"",SUM(INDEX(PaymentSchedule34[INTEREST],1,1):PaymentSchedule34[[#This Row],[INTEREST]]),"")</f>
        <v>1937595.9125785476</v>
      </c>
    </row>
    <row r="362" spans="2:11" x14ac:dyDescent="0.3">
      <c r="B362" s="21">
        <f>IF(LoanIsGood,IF(ROW()-ROW(PaymentSchedule34[[#Headers],[PMT NO]])&gt;ScheduledNumberOfPayments,"",ROW()-ROW(PaymentSchedule34[[#Headers],[PMT NO]])),"")</f>
        <v>351</v>
      </c>
      <c r="C362" s="20">
        <f>IF(PaymentSchedule34[[#This Row],[PMT NO]]&lt;&gt;"",EOMONTH(LoanStartDate,ROW(PaymentSchedule34[[#This Row],[PMT NO]])-ROW(PaymentSchedule34[[#Headers],[PMT NO]])-2)+DAY(LoanStartDate),"")</f>
        <v>54302</v>
      </c>
      <c r="D362" s="19">
        <f>IF(PaymentSchedule34[[#This Row],[PMT NO]]&lt;&gt;"",IF(ROW()-ROW(PaymentSchedule34[[#Headers],[BEGINNING BALANCE]])=1,LoanAmount,INDEX(PaymentSchedule34[ENDING BALANCE],ROW()-ROW(PaymentSchedule34[[#Headers],[BEGINNING BALANCE]])-1)),"")</f>
        <v>902254.51331851643</v>
      </c>
      <c r="E362" s="19">
        <f>IF(PaymentSchedule34[[#This Row],[PMT NO]]&lt;&gt;"",ScheduledPayment,"")</f>
        <v>8672.4039978858091</v>
      </c>
      <c r="F362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62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62" s="19">
        <f>IF(PaymentSchedule34[[#This Row],[PMT NO]]&lt;&gt;"",PaymentSchedule34[[#This Row],[TOTAL PAYMENT]]-PaymentSchedule34[[#This Row],[INTEREST]],"")</f>
        <v>5476.919263216063</v>
      </c>
      <c r="I362" s="19">
        <f>IF(PaymentSchedule34[[#This Row],[PMT NO]]&lt;&gt;"",PaymentSchedule34[[#This Row],[BEGINNING BALANCE]]*(InterestRate/PaymentsPerYear),"")</f>
        <v>3195.4847346697461</v>
      </c>
      <c r="J362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896777.59405530035</v>
      </c>
      <c r="K362" s="19">
        <f>IF(PaymentSchedule34[[#This Row],[PMT NO]]&lt;&gt;"",SUM(INDEX(PaymentSchedule34[INTEREST],1,1):PaymentSchedule34[[#This Row],[INTEREST]]),"")</f>
        <v>1940791.3973132174</v>
      </c>
    </row>
    <row r="363" spans="2:11" x14ac:dyDescent="0.3">
      <c r="B363" s="21">
        <f>IF(LoanIsGood,IF(ROW()-ROW(PaymentSchedule34[[#Headers],[PMT NO]])&gt;ScheduledNumberOfPayments,"",ROW()-ROW(PaymentSchedule34[[#Headers],[PMT NO]])),"")</f>
        <v>352</v>
      </c>
      <c r="C363" s="20">
        <f>IF(PaymentSchedule34[[#This Row],[PMT NO]]&lt;&gt;"",EOMONTH(LoanStartDate,ROW(PaymentSchedule34[[#This Row],[PMT NO]])-ROW(PaymentSchedule34[[#Headers],[PMT NO]])-2)+DAY(LoanStartDate),"")</f>
        <v>54332</v>
      </c>
      <c r="D363" s="19">
        <f>IF(PaymentSchedule34[[#This Row],[PMT NO]]&lt;&gt;"",IF(ROW()-ROW(PaymentSchedule34[[#Headers],[BEGINNING BALANCE]])=1,LoanAmount,INDEX(PaymentSchedule34[ENDING BALANCE],ROW()-ROW(PaymentSchedule34[[#Headers],[BEGINNING BALANCE]])-1)),"")</f>
        <v>896777.59405530035</v>
      </c>
      <c r="E363" s="19">
        <f>IF(PaymentSchedule34[[#This Row],[PMT NO]]&lt;&gt;"",ScheduledPayment,"")</f>
        <v>8672.4039978858091</v>
      </c>
      <c r="F363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63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63" s="19">
        <f>IF(PaymentSchedule34[[#This Row],[PMT NO]]&lt;&gt;"",PaymentSchedule34[[#This Row],[TOTAL PAYMENT]]-PaymentSchedule34[[#This Row],[INTEREST]],"")</f>
        <v>5496.31668560662</v>
      </c>
      <c r="I363" s="19">
        <f>IF(PaymentSchedule34[[#This Row],[PMT NO]]&lt;&gt;"",PaymentSchedule34[[#This Row],[BEGINNING BALANCE]]*(InterestRate/PaymentsPerYear),"")</f>
        <v>3176.0873122791891</v>
      </c>
      <c r="J363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891281.27736969374</v>
      </c>
      <c r="K363" s="19">
        <f>IF(PaymentSchedule34[[#This Row],[PMT NO]]&lt;&gt;"",SUM(INDEX(PaymentSchedule34[INTEREST],1,1):PaymentSchedule34[[#This Row],[INTEREST]]),"")</f>
        <v>1943967.4846254967</v>
      </c>
    </row>
    <row r="364" spans="2:11" x14ac:dyDescent="0.3">
      <c r="B364" s="21">
        <f>IF(LoanIsGood,IF(ROW()-ROW(PaymentSchedule34[[#Headers],[PMT NO]])&gt;ScheduledNumberOfPayments,"",ROW()-ROW(PaymentSchedule34[[#Headers],[PMT NO]])),"")</f>
        <v>353</v>
      </c>
      <c r="C364" s="20">
        <f>IF(PaymentSchedule34[[#This Row],[PMT NO]]&lt;&gt;"",EOMONTH(LoanStartDate,ROW(PaymentSchedule34[[#This Row],[PMT NO]])-ROW(PaymentSchedule34[[#Headers],[PMT NO]])-2)+DAY(LoanStartDate),"")</f>
        <v>54363</v>
      </c>
      <c r="D364" s="19">
        <f>IF(PaymentSchedule34[[#This Row],[PMT NO]]&lt;&gt;"",IF(ROW()-ROW(PaymentSchedule34[[#Headers],[BEGINNING BALANCE]])=1,LoanAmount,INDEX(PaymentSchedule34[ENDING BALANCE],ROW()-ROW(PaymentSchedule34[[#Headers],[BEGINNING BALANCE]])-1)),"")</f>
        <v>891281.27736969374</v>
      </c>
      <c r="E364" s="19">
        <f>IF(PaymentSchedule34[[#This Row],[PMT NO]]&lt;&gt;"",ScheduledPayment,"")</f>
        <v>8672.4039978858091</v>
      </c>
      <c r="F364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64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64" s="19">
        <f>IF(PaymentSchedule34[[#This Row],[PMT NO]]&lt;&gt;"",PaymentSchedule34[[#This Row],[TOTAL PAYMENT]]-PaymentSchedule34[[#This Row],[INTEREST]],"")</f>
        <v>5515.7828072014763</v>
      </c>
      <c r="I364" s="19">
        <f>IF(PaymentSchedule34[[#This Row],[PMT NO]]&lt;&gt;"",PaymentSchedule34[[#This Row],[BEGINNING BALANCE]]*(InterestRate/PaymentsPerYear),"")</f>
        <v>3156.6211906843323</v>
      </c>
      <c r="J364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885765.49456249224</v>
      </c>
      <c r="K364" s="19">
        <f>IF(PaymentSchedule34[[#This Row],[PMT NO]]&lt;&gt;"",SUM(INDEX(PaymentSchedule34[INTEREST],1,1):PaymentSchedule34[[#This Row],[INTEREST]]),"")</f>
        <v>1947124.1058161811</v>
      </c>
    </row>
    <row r="365" spans="2:11" x14ac:dyDescent="0.3">
      <c r="B365" s="21">
        <f>IF(LoanIsGood,IF(ROW()-ROW(PaymentSchedule34[[#Headers],[PMT NO]])&gt;ScheduledNumberOfPayments,"",ROW()-ROW(PaymentSchedule34[[#Headers],[PMT NO]])),"")</f>
        <v>354</v>
      </c>
      <c r="C365" s="20">
        <f>IF(PaymentSchedule34[[#This Row],[PMT NO]]&lt;&gt;"",EOMONTH(LoanStartDate,ROW(PaymentSchedule34[[#This Row],[PMT NO]])-ROW(PaymentSchedule34[[#Headers],[PMT NO]])-2)+DAY(LoanStartDate),"")</f>
        <v>54393</v>
      </c>
      <c r="D365" s="19">
        <f>IF(PaymentSchedule34[[#This Row],[PMT NO]]&lt;&gt;"",IF(ROW()-ROW(PaymentSchedule34[[#Headers],[BEGINNING BALANCE]])=1,LoanAmount,INDEX(PaymentSchedule34[ENDING BALANCE],ROW()-ROW(PaymentSchedule34[[#Headers],[BEGINNING BALANCE]])-1)),"")</f>
        <v>885765.49456249224</v>
      </c>
      <c r="E365" s="19">
        <f>IF(PaymentSchedule34[[#This Row],[PMT NO]]&lt;&gt;"",ScheduledPayment,"")</f>
        <v>8672.4039978858091</v>
      </c>
      <c r="F365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65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65" s="19">
        <f>IF(PaymentSchedule34[[#This Row],[PMT NO]]&lt;&gt;"",PaymentSchedule34[[#This Row],[TOTAL PAYMENT]]-PaymentSchedule34[[#This Row],[INTEREST]],"")</f>
        <v>5535.3178713103152</v>
      </c>
      <c r="I365" s="19">
        <f>IF(PaymentSchedule34[[#This Row],[PMT NO]]&lt;&gt;"",PaymentSchedule34[[#This Row],[BEGINNING BALANCE]]*(InterestRate/PaymentsPerYear),"")</f>
        <v>3137.0861265754934</v>
      </c>
      <c r="J365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880230.17669118196</v>
      </c>
      <c r="K365" s="19">
        <f>IF(PaymentSchedule34[[#This Row],[PMT NO]]&lt;&gt;"",SUM(INDEX(PaymentSchedule34[INTEREST],1,1):PaymentSchedule34[[#This Row],[INTEREST]]),"")</f>
        <v>1950261.1919427565</v>
      </c>
    </row>
    <row r="366" spans="2:11" x14ac:dyDescent="0.3">
      <c r="B366" s="21">
        <f>IF(LoanIsGood,IF(ROW()-ROW(PaymentSchedule34[[#Headers],[PMT NO]])&gt;ScheduledNumberOfPayments,"",ROW()-ROW(PaymentSchedule34[[#Headers],[PMT NO]])),"")</f>
        <v>355</v>
      </c>
      <c r="C366" s="20">
        <f>IF(PaymentSchedule34[[#This Row],[PMT NO]]&lt;&gt;"",EOMONTH(LoanStartDate,ROW(PaymentSchedule34[[#This Row],[PMT NO]])-ROW(PaymentSchedule34[[#Headers],[PMT NO]])-2)+DAY(LoanStartDate),"")</f>
        <v>54424</v>
      </c>
      <c r="D366" s="19">
        <f>IF(PaymentSchedule34[[#This Row],[PMT NO]]&lt;&gt;"",IF(ROW()-ROW(PaymentSchedule34[[#Headers],[BEGINNING BALANCE]])=1,LoanAmount,INDEX(PaymentSchedule34[ENDING BALANCE],ROW()-ROW(PaymentSchedule34[[#Headers],[BEGINNING BALANCE]])-1)),"")</f>
        <v>880230.17669118196</v>
      </c>
      <c r="E366" s="19">
        <f>IF(PaymentSchedule34[[#This Row],[PMT NO]]&lt;&gt;"",ScheduledPayment,"")</f>
        <v>8672.4039978858091</v>
      </c>
      <c r="F366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66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66" s="19">
        <f>IF(PaymentSchedule34[[#This Row],[PMT NO]]&lt;&gt;"",PaymentSchedule34[[#This Row],[TOTAL PAYMENT]]-PaymentSchedule34[[#This Row],[INTEREST]],"")</f>
        <v>5554.9221221045391</v>
      </c>
      <c r="I366" s="19">
        <f>IF(PaymentSchedule34[[#This Row],[PMT NO]]&lt;&gt;"",PaymentSchedule34[[#This Row],[BEGINNING BALANCE]]*(InterestRate/PaymentsPerYear),"")</f>
        <v>3117.4818757812695</v>
      </c>
      <c r="J366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874675.2545690774</v>
      </c>
      <c r="K366" s="19">
        <f>IF(PaymentSchedule34[[#This Row],[PMT NO]]&lt;&gt;"",SUM(INDEX(PaymentSchedule34[INTEREST],1,1):PaymentSchedule34[[#This Row],[INTEREST]]),"")</f>
        <v>1953378.6738185377</v>
      </c>
    </row>
    <row r="367" spans="2:11" x14ac:dyDescent="0.3">
      <c r="B367" s="21">
        <f>IF(LoanIsGood,IF(ROW()-ROW(PaymentSchedule34[[#Headers],[PMT NO]])&gt;ScheduledNumberOfPayments,"",ROW()-ROW(PaymentSchedule34[[#Headers],[PMT NO]])),"")</f>
        <v>356</v>
      </c>
      <c r="C367" s="20">
        <f>IF(PaymentSchedule34[[#This Row],[PMT NO]]&lt;&gt;"",EOMONTH(LoanStartDate,ROW(PaymentSchedule34[[#This Row],[PMT NO]])-ROW(PaymentSchedule34[[#Headers],[PMT NO]])-2)+DAY(LoanStartDate),"")</f>
        <v>54455</v>
      </c>
      <c r="D367" s="19">
        <f>IF(PaymentSchedule34[[#This Row],[PMT NO]]&lt;&gt;"",IF(ROW()-ROW(PaymentSchedule34[[#Headers],[BEGINNING BALANCE]])=1,LoanAmount,INDEX(PaymentSchedule34[ENDING BALANCE],ROW()-ROW(PaymentSchedule34[[#Headers],[BEGINNING BALANCE]])-1)),"")</f>
        <v>874675.2545690774</v>
      </c>
      <c r="E367" s="19">
        <f>IF(PaymentSchedule34[[#This Row],[PMT NO]]&lt;&gt;"",ScheduledPayment,"")</f>
        <v>8672.4039978858091</v>
      </c>
      <c r="F367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67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67" s="19">
        <f>IF(PaymentSchedule34[[#This Row],[PMT NO]]&lt;&gt;"",PaymentSchedule34[[#This Row],[TOTAL PAYMENT]]-PaymentSchedule34[[#This Row],[INTEREST]],"")</f>
        <v>5574.5958046203268</v>
      </c>
      <c r="I367" s="19">
        <f>IF(PaymentSchedule34[[#This Row],[PMT NO]]&lt;&gt;"",PaymentSchedule34[[#This Row],[BEGINNING BALANCE]]*(InterestRate/PaymentsPerYear),"")</f>
        <v>3097.8081932654827</v>
      </c>
      <c r="J367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869100.6587644571</v>
      </c>
      <c r="K367" s="19">
        <f>IF(PaymentSchedule34[[#This Row],[PMT NO]]&lt;&gt;"",SUM(INDEX(PaymentSchedule34[INTEREST],1,1):PaymentSchedule34[[#This Row],[INTEREST]]),"")</f>
        <v>1956476.4820118032</v>
      </c>
    </row>
    <row r="368" spans="2:11" x14ac:dyDescent="0.3">
      <c r="B368" s="21">
        <f>IF(LoanIsGood,IF(ROW()-ROW(PaymentSchedule34[[#Headers],[PMT NO]])&gt;ScheduledNumberOfPayments,"",ROW()-ROW(PaymentSchedule34[[#Headers],[PMT NO]])),"")</f>
        <v>357</v>
      </c>
      <c r="C368" s="20">
        <f>IF(PaymentSchedule34[[#This Row],[PMT NO]]&lt;&gt;"",EOMONTH(LoanStartDate,ROW(PaymentSchedule34[[#This Row],[PMT NO]])-ROW(PaymentSchedule34[[#Headers],[PMT NO]])-2)+DAY(LoanStartDate),"")</f>
        <v>54483</v>
      </c>
      <c r="D368" s="19">
        <f>IF(PaymentSchedule34[[#This Row],[PMT NO]]&lt;&gt;"",IF(ROW()-ROW(PaymentSchedule34[[#Headers],[BEGINNING BALANCE]])=1,LoanAmount,INDEX(PaymentSchedule34[ENDING BALANCE],ROW()-ROW(PaymentSchedule34[[#Headers],[BEGINNING BALANCE]])-1)),"")</f>
        <v>869100.6587644571</v>
      </c>
      <c r="E368" s="19">
        <f>IF(PaymentSchedule34[[#This Row],[PMT NO]]&lt;&gt;"",ScheduledPayment,"")</f>
        <v>8672.4039978858091</v>
      </c>
      <c r="F368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68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68" s="19">
        <f>IF(PaymentSchedule34[[#This Row],[PMT NO]]&lt;&gt;"",PaymentSchedule34[[#This Row],[TOTAL PAYMENT]]-PaymentSchedule34[[#This Row],[INTEREST]],"")</f>
        <v>5594.33916476169</v>
      </c>
      <c r="I368" s="19">
        <f>IF(PaymentSchedule34[[#This Row],[PMT NO]]&lt;&gt;"",PaymentSchedule34[[#This Row],[BEGINNING BALANCE]]*(InterestRate/PaymentsPerYear),"")</f>
        <v>3078.0648331241191</v>
      </c>
      <c r="J368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863506.31959969539</v>
      </c>
      <c r="K368" s="19">
        <f>IF(PaymentSchedule34[[#This Row],[PMT NO]]&lt;&gt;"",SUM(INDEX(PaymentSchedule34[INTEREST],1,1):PaymentSchedule34[[#This Row],[INTEREST]]),"")</f>
        <v>1959554.5468449274</v>
      </c>
    </row>
    <row r="369" spans="2:11" x14ac:dyDescent="0.3">
      <c r="B369" s="21">
        <f>IF(LoanIsGood,IF(ROW()-ROW(PaymentSchedule34[[#Headers],[PMT NO]])&gt;ScheduledNumberOfPayments,"",ROW()-ROW(PaymentSchedule34[[#Headers],[PMT NO]])),"")</f>
        <v>358</v>
      </c>
      <c r="C369" s="20">
        <f>IF(PaymentSchedule34[[#This Row],[PMT NO]]&lt;&gt;"",EOMONTH(LoanStartDate,ROW(PaymentSchedule34[[#This Row],[PMT NO]])-ROW(PaymentSchedule34[[#Headers],[PMT NO]])-2)+DAY(LoanStartDate),"")</f>
        <v>54514</v>
      </c>
      <c r="D369" s="19">
        <f>IF(PaymentSchedule34[[#This Row],[PMT NO]]&lt;&gt;"",IF(ROW()-ROW(PaymentSchedule34[[#Headers],[BEGINNING BALANCE]])=1,LoanAmount,INDEX(PaymentSchedule34[ENDING BALANCE],ROW()-ROW(PaymentSchedule34[[#Headers],[BEGINNING BALANCE]])-1)),"")</f>
        <v>863506.31959969539</v>
      </c>
      <c r="E369" s="19">
        <f>IF(PaymentSchedule34[[#This Row],[PMT NO]]&lt;&gt;"",ScheduledPayment,"")</f>
        <v>8672.4039978858091</v>
      </c>
      <c r="F369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69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69" s="19">
        <f>IF(PaymentSchedule34[[#This Row],[PMT NO]]&lt;&gt;"",PaymentSchedule34[[#This Row],[TOTAL PAYMENT]]-PaymentSchedule34[[#This Row],[INTEREST]],"")</f>
        <v>5614.152449303554</v>
      </c>
      <c r="I369" s="19">
        <f>IF(PaymentSchedule34[[#This Row],[PMT NO]]&lt;&gt;"",PaymentSchedule34[[#This Row],[BEGINNING BALANCE]]*(InterestRate/PaymentsPerYear),"")</f>
        <v>3058.2515485822546</v>
      </c>
      <c r="J369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857892.16715039185</v>
      </c>
      <c r="K369" s="19">
        <f>IF(PaymentSchedule34[[#This Row],[PMT NO]]&lt;&gt;"",SUM(INDEX(PaymentSchedule34[INTEREST],1,1):PaymentSchedule34[[#This Row],[INTEREST]]),"")</f>
        <v>1962612.7983935096</v>
      </c>
    </row>
    <row r="370" spans="2:11" x14ac:dyDescent="0.3">
      <c r="B370" s="21">
        <f>IF(LoanIsGood,IF(ROW()-ROW(PaymentSchedule34[[#Headers],[PMT NO]])&gt;ScheduledNumberOfPayments,"",ROW()-ROW(PaymentSchedule34[[#Headers],[PMT NO]])),"")</f>
        <v>359</v>
      </c>
      <c r="C370" s="20">
        <f>IF(PaymentSchedule34[[#This Row],[PMT NO]]&lt;&gt;"",EOMONTH(LoanStartDate,ROW(PaymentSchedule34[[#This Row],[PMT NO]])-ROW(PaymentSchedule34[[#Headers],[PMT NO]])-2)+DAY(LoanStartDate),"")</f>
        <v>54544</v>
      </c>
      <c r="D370" s="19">
        <f>IF(PaymentSchedule34[[#This Row],[PMT NO]]&lt;&gt;"",IF(ROW()-ROW(PaymentSchedule34[[#Headers],[BEGINNING BALANCE]])=1,LoanAmount,INDEX(PaymentSchedule34[ENDING BALANCE],ROW()-ROW(PaymentSchedule34[[#Headers],[BEGINNING BALANCE]])-1)),"")</f>
        <v>857892.16715039185</v>
      </c>
      <c r="E370" s="19">
        <f>IF(PaymentSchedule34[[#This Row],[PMT NO]]&lt;&gt;"",ScheduledPayment,"")</f>
        <v>8672.4039978858091</v>
      </c>
      <c r="F370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70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70" s="19">
        <f>IF(PaymentSchedule34[[#This Row],[PMT NO]]&lt;&gt;"",PaymentSchedule34[[#This Row],[TOTAL PAYMENT]]-PaymentSchedule34[[#This Row],[INTEREST]],"")</f>
        <v>5634.0359058948379</v>
      </c>
      <c r="I370" s="19">
        <f>IF(PaymentSchedule34[[#This Row],[PMT NO]]&lt;&gt;"",PaymentSchedule34[[#This Row],[BEGINNING BALANCE]]*(InterestRate/PaymentsPerYear),"")</f>
        <v>3038.3680919909712</v>
      </c>
      <c r="J370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852258.13124449702</v>
      </c>
      <c r="K370" s="19">
        <f>IF(PaymentSchedule34[[#This Row],[PMT NO]]&lt;&gt;"",SUM(INDEX(PaymentSchedule34[INTEREST],1,1):PaymentSchedule34[[#This Row],[INTEREST]]),"")</f>
        <v>1965651.1664855005</v>
      </c>
    </row>
    <row r="371" spans="2:11" x14ac:dyDescent="0.3">
      <c r="B371" s="21">
        <f>IF(LoanIsGood,IF(ROW()-ROW(PaymentSchedule34[[#Headers],[PMT NO]])&gt;ScheduledNumberOfPayments,"",ROW()-ROW(PaymentSchedule34[[#Headers],[PMT NO]])),"")</f>
        <v>360</v>
      </c>
      <c r="C371" s="20">
        <f>IF(PaymentSchedule34[[#This Row],[PMT NO]]&lt;&gt;"",EOMONTH(LoanStartDate,ROW(PaymentSchedule34[[#This Row],[PMT NO]])-ROW(PaymentSchedule34[[#Headers],[PMT NO]])-2)+DAY(LoanStartDate),"")</f>
        <v>54575</v>
      </c>
      <c r="D371" s="19">
        <f>IF(PaymentSchedule34[[#This Row],[PMT NO]]&lt;&gt;"",IF(ROW()-ROW(PaymentSchedule34[[#Headers],[BEGINNING BALANCE]])=1,LoanAmount,INDEX(PaymentSchedule34[ENDING BALANCE],ROW()-ROW(PaymentSchedule34[[#Headers],[BEGINNING BALANCE]])-1)),"")</f>
        <v>852258.13124449702</v>
      </c>
      <c r="E371" s="19">
        <f>IF(PaymentSchedule34[[#This Row],[PMT NO]]&lt;&gt;"",ScheduledPayment,"")</f>
        <v>8672.4039978858091</v>
      </c>
      <c r="F371" s="19">
        <f>IF(PaymentSchedule34[[#This Row],[PMT NO]]&lt;&gt;"",IF(PaymentSchedule34[[#This Row],[SCHEDULED PAYMENT]]+ExtraPayments&lt;PaymentSchedule34[[#This Row],[BEGINNING BALANCE]],ExtraPayments,IF(PaymentSchedule34[[#This Row],[BEGINNING BALANCE]]-PaymentSchedule34[[#This Row],[SCHEDULED PAYMENT]]&gt;0,PaymentSchedule34[[#This Row],[BEGINNING BALANCE]]-PaymentSchedule34[[#This Row],[SCHEDULED PAYMENT]],0)),"")</f>
        <v>0</v>
      </c>
      <c r="G371" s="19">
        <f>IF(PaymentSchedule34[[#This Row],[PMT NO]]&lt;&gt;"",IF(PaymentSchedule34[[#This Row],[SCHEDULED PAYMENT]]+PaymentSchedule34[[#This Row],[EXTRA PAYMENT]]&lt;=PaymentSchedule34[[#This Row],[BEGINNING BALANCE]],PaymentSchedule34[[#This Row],[SCHEDULED PAYMENT]]+PaymentSchedule34[[#This Row],[EXTRA PAYMENT]],PaymentSchedule34[[#This Row],[BEGINNING BALANCE]]),"")</f>
        <v>8672.4039978858091</v>
      </c>
      <c r="H371" s="19">
        <f>IF(PaymentSchedule34[[#This Row],[PMT NO]]&lt;&gt;"",PaymentSchedule34[[#This Row],[TOTAL PAYMENT]]-PaymentSchedule34[[#This Row],[INTEREST]],"")</f>
        <v>5653.9897830615482</v>
      </c>
      <c r="I371" s="19">
        <f>IF(PaymentSchedule34[[#This Row],[PMT NO]]&lt;&gt;"",PaymentSchedule34[[#This Row],[BEGINNING BALANCE]]*(InterestRate/PaymentsPerYear),"")</f>
        <v>3018.4142148242604</v>
      </c>
      <c r="J371" s="19">
        <f>IF(PaymentSchedule34[[#This Row],[PMT NO]]&lt;&gt;"",IF(PaymentSchedule34[[#This Row],[SCHEDULED PAYMENT]]+PaymentSchedule34[[#This Row],[EXTRA PAYMENT]]&lt;=PaymentSchedule34[[#This Row],[BEGINNING BALANCE]],PaymentSchedule34[[#This Row],[BEGINNING BALANCE]]-PaymentSchedule34[[#This Row],[PRINCIPAL]],0),"")</f>
        <v>846604.14146143547</v>
      </c>
      <c r="K371" s="19">
        <f>IF(PaymentSchedule34[[#This Row],[PMT NO]]&lt;&gt;"",SUM(INDEX(PaymentSchedule34[INTEREST],1,1):PaymentSchedule34[[#This Row],[INTEREST]]),"")</f>
        <v>1968669.5807003248</v>
      </c>
    </row>
  </sheetData>
  <mergeCells count="12"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9:D9"/>
    <mergeCell ref="H9:I9"/>
  </mergeCells>
  <conditionalFormatting sqref="B12:K371">
    <cfRule type="expression" dxfId="1" priority="1">
      <formula>($B12="")+(($D12=0)*($F12=0))</formula>
    </cfRule>
  </conditionalFormatting>
  <dataValidations count="26">
    <dataValidation allowBlank="1" showInputMessage="1" showErrorMessage="1" prompt="Enter the name of the lender in this cell" sqref="H9:I9" xr:uid="{9FE08F85-FFA7-47DA-8058-B6FE2D6C6C8C}"/>
    <dataValidation allowBlank="1" showInputMessage="1" showErrorMessage="1" prompt="Cumulative interest is automatically updated in this column" sqref="K11" xr:uid="{B423131D-658C-42AB-A234-A5952224D0E6}"/>
    <dataValidation allowBlank="1" showInputMessage="1" showErrorMessage="1" prompt="Ending balance is automatically updated in this column" sqref="J11" xr:uid="{C2928174-D3EE-457D-A5BB-00BE18BA0E68}"/>
    <dataValidation allowBlank="1" showInputMessage="1" showErrorMessage="1" prompt="Interest is automatically updated in this column" sqref="I11" xr:uid="{AD86692B-1E0A-4097-9ABF-837309913249}"/>
    <dataValidation allowBlank="1" showInputMessage="1" showErrorMessage="1" prompt="Principal is automatically updated in this column" sqref="H11" xr:uid="{D16C0345-2DCD-46A6-910E-C72889888D87}"/>
    <dataValidation allowBlank="1" showInputMessage="1" showErrorMessage="1" prompt="Total payment is automatically updated in this column" sqref="G11" xr:uid="{14BF47A8-F013-4336-8D4B-C5C67E5EDED4}"/>
    <dataValidation allowBlank="1" showInputMessage="1" showErrorMessage="1" prompt="Extra payment is automatically updated in this column" sqref="F11" xr:uid="{6C54E33A-EB19-4CA2-9F51-B36954BC0DBC}"/>
    <dataValidation allowBlank="1" showInputMessage="1" showErrorMessage="1" prompt="Scheduled payment is automatically updated in this column" sqref="E11" xr:uid="{67F6780C-4D87-4138-BFEE-7640A9CDA251}"/>
    <dataValidation allowBlank="1" showInputMessage="1" showErrorMessage="1" prompt="Beginning balance is automatically updated in this column" sqref="D11" xr:uid="{C1D94C3F-F218-4138-A80B-1BAC6592F0C1}"/>
    <dataValidation allowBlank="1" showInputMessage="1" showErrorMessage="1" prompt="Payment date is automatically updated in this column" sqref="C11" xr:uid="{50A2F50A-C896-4D45-809E-14BAD4EC2723}"/>
    <dataValidation allowBlank="1" showInputMessage="1" showErrorMessage="1" prompt="Payment number is automatically updated in this column" sqref="B11" xr:uid="{1E394D53-8443-4416-A82A-922E137292D0}"/>
    <dataValidation allowBlank="1" showInputMessage="1" showErrorMessage="1" prompt="Automatically updated total early payments" sqref="I6" xr:uid="{E0BCFC11-566E-4BC6-B95D-043AAEE7A27D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1" xr:uid="{EA31F075-AEC1-48CC-878A-F9F87A54DA2E}"/>
    <dataValidation allowBlank="1" showInputMessage="1" showErrorMessage="1" prompt="Loan Summary fields from I3 to I7 are automatically adjusted based on the values entered. Enter the Lender's name in I9" sqref="G2" xr:uid="{4BD62607-CCFF-4D8E-A7DE-19A9E509596D}"/>
    <dataValidation allowBlank="1" showInputMessage="1" showErrorMessage="1" prompt="Enter loan values in cells E3 to E7 and E9. Description of each loan value is in column C. Payment Schedule table starting in cell B11 will automatically update" sqref="C2" xr:uid="{4FFD151B-4434-49B1-90EA-A2BADF5BE1EB}"/>
    <dataValidation allowBlank="1" showInputMessage="1" showErrorMessage="1" prompt="This workbook produces a loan amortization schedule that calculates total interest and total payments &amp; includes the option for extra payments" sqref="A1" xr:uid="{D83FA855-2BF8-496B-A97C-9C1A15D19179}"/>
    <dataValidation allowBlank="1" showInputMessage="1" showErrorMessage="1" prompt="Automatically updated actual number of payments" sqref="I5" xr:uid="{E48C0684-613C-41E7-BC83-21533E29D943}"/>
    <dataValidation allowBlank="1" showInputMessage="1" showErrorMessage="1" prompt="Automatically updated scheduled number of payments" sqref="I4" xr:uid="{26E38A41-F100-47A4-8DE1-1D47C39905B2}"/>
    <dataValidation allowBlank="1" showInputMessage="1" showErrorMessage="1" prompt="Automatically updated scheduled payment amount" sqref="I3" xr:uid="{2389E3F9-0836-4E76-A7B6-E5F8A561C6A4}"/>
    <dataValidation allowBlank="1" showInputMessage="1" showErrorMessage="1" prompt="Automatically calculated total interest" sqref="I7" xr:uid="{098F6A80-CCEF-43EA-AEBB-F814D6B8AA1A}"/>
    <dataValidation allowBlank="1" showInputMessage="1" showErrorMessage="1" prompt="Enter the amount of extra payment in this cell" sqref="E9" xr:uid="{07B44626-7123-4627-9CDE-98A415C21BD1}"/>
    <dataValidation allowBlank="1" showInputMessage="1" showErrorMessage="1" prompt="Enter the start date of loan in this cell" sqref="E7" xr:uid="{07720963-8B89-48A3-878C-8B998FA4136B}"/>
    <dataValidation allowBlank="1" showInputMessage="1" showErrorMessage="1" prompt="Enter the number of payments to be made in a year in this cell" sqref="E6" xr:uid="{273C173A-BC19-4E4F-8D7A-1DFAF60F93B5}"/>
    <dataValidation allowBlank="1" showInputMessage="1" showErrorMessage="1" prompt="Enter loan period in years in this cell" sqref="E5" xr:uid="{BD48D0A4-5270-4FEA-8D91-9B2D0DA2D534}"/>
    <dataValidation allowBlank="1" showInputMessage="1" showErrorMessage="1" prompt="Enter interest rate to be paid annually in this cell" sqref="E4" xr:uid="{1B3A3BB8-E11E-4479-9519-23B9EBA31C65}"/>
    <dataValidation allowBlank="1" showInputMessage="1" showErrorMessage="1" prompt="Enter Loan Amount in this cell" sqref="E3" xr:uid="{E88F81AC-68F7-444B-B2CB-619769CD3BE6}"/>
  </dataValidations>
  <printOptions horizontalCentered="1"/>
  <pageMargins left="0.4" right="0.4" top="0.4" bottom="0.5" header="0.3" footer="0.3"/>
  <pageSetup scale="79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B7F9-1EE3-4422-9C18-6CEAA6F50D34}">
  <sheetPr>
    <tabColor theme="4"/>
    <pageSetUpPr autoPageBreaks="0" fitToPage="1"/>
  </sheetPr>
  <dimension ref="B1:K371"/>
  <sheetViews>
    <sheetView showGridLines="0" zoomScaleNormal="100" workbookViewId="0">
      <pane ySplit="11" topLeftCell="A12" activePane="bottomLeft" state="frozen"/>
      <selection pane="bottomLeft" activeCell="E7" sqref="E7"/>
    </sheetView>
  </sheetViews>
  <sheetFormatPr defaultColWidth="8.88671875" defaultRowHeight="14.4" x14ac:dyDescent="0.3"/>
  <cols>
    <col min="1" max="1" width="2.88671875" style="18" customWidth="1"/>
    <col min="2" max="2" width="7.6640625" style="18" customWidth="1"/>
    <col min="3" max="3" width="16.6640625" style="18" customWidth="1"/>
    <col min="4" max="4" width="18.5546875" style="18" customWidth="1"/>
    <col min="5" max="10" width="17.33203125" style="18" customWidth="1"/>
    <col min="11" max="11" width="19.5546875" style="18" customWidth="1"/>
    <col min="12" max="16384" width="8.88671875" style="18"/>
  </cols>
  <sheetData>
    <row r="1" spans="2:11" ht="30" customHeight="1" thickBot="1" x14ac:dyDescent="0.35">
      <c r="B1" s="35" t="s">
        <v>85</v>
      </c>
      <c r="C1" s="35"/>
      <c r="D1" s="35"/>
      <c r="E1" s="35"/>
      <c r="F1" s="35"/>
      <c r="G1" s="35"/>
      <c r="H1" s="35"/>
      <c r="I1" s="35"/>
      <c r="J1" s="35"/>
      <c r="K1" s="35"/>
    </row>
    <row r="2" spans="2:11" ht="20.100000000000001" customHeight="1" thickTop="1" thickBot="1" x14ac:dyDescent="0.35">
      <c r="C2" s="34" t="s">
        <v>84</v>
      </c>
      <c r="D2" s="34"/>
      <c r="E2" s="34"/>
      <c r="G2" s="34" t="s">
        <v>83</v>
      </c>
      <c r="H2" s="34"/>
      <c r="I2" s="34"/>
    </row>
    <row r="3" spans="2:11" ht="14.25" customHeight="1" x14ac:dyDescent="0.3">
      <c r="C3" s="71" t="s">
        <v>82</v>
      </c>
      <c r="D3" s="71"/>
      <c r="E3" s="33">
        <v>2000000</v>
      </c>
      <c r="G3" s="71" t="s">
        <v>81</v>
      </c>
      <c r="H3" s="71"/>
      <c r="I3" s="32">
        <f>IF(LoanIsGood,-PMT(InterestRate/PaymentsPerYear,ScheduledNumberOfPayments,LoanAmount),"")</f>
        <v>8991.2567468977813</v>
      </c>
    </row>
    <row r="4" spans="2:11" x14ac:dyDescent="0.3">
      <c r="C4" s="70" t="s">
        <v>80</v>
      </c>
      <c r="D4" s="70"/>
      <c r="E4" s="31">
        <v>4.4999999999999998E-2</v>
      </c>
      <c r="G4" s="70" t="s">
        <v>79</v>
      </c>
      <c r="H4" s="70"/>
      <c r="I4" s="29">
        <f>IF(LoanIsGood,LoanPeriod*PaymentsPerYear,"")</f>
        <v>480</v>
      </c>
    </row>
    <row r="5" spans="2:11" x14ac:dyDescent="0.3">
      <c r="C5" s="70" t="s">
        <v>78</v>
      </c>
      <c r="D5" s="70"/>
      <c r="E5" s="30">
        <v>40</v>
      </c>
      <c r="G5" s="70" t="s">
        <v>77</v>
      </c>
      <c r="H5" s="70"/>
      <c r="I5" s="29">
        <f>ActualNumberOfPayments</f>
        <v>361</v>
      </c>
    </row>
    <row r="6" spans="2:11" x14ac:dyDescent="0.3">
      <c r="C6" s="70" t="s">
        <v>76</v>
      </c>
      <c r="D6" s="70"/>
      <c r="E6" s="28">
        <v>12</v>
      </c>
      <c r="G6" s="70" t="s">
        <v>75</v>
      </c>
      <c r="H6" s="70"/>
      <c r="I6" s="26">
        <f>TotalEarlyPayments</f>
        <v>0</v>
      </c>
    </row>
    <row r="7" spans="2:11" x14ac:dyDescent="0.3">
      <c r="C7" s="70" t="s">
        <v>74</v>
      </c>
      <c r="D7" s="70"/>
      <c r="E7" s="27">
        <v>43647</v>
      </c>
      <c r="G7" s="70" t="s">
        <v>73</v>
      </c>
      <c r="H7" s="70"/>
      <c r="I7" s="26">
        <f>TotalInterest</f>
        <v>2104412.7141803419</v>
      </c>
    </row>
    <row r="9" spans="2:11" x14ac:dyDescent="0.3">
      <c r="C9" s="70" t="s">
        <v>72</v>
      </c>
      <c r="D9" s="70"/>
      <c r="E9" s="25"/>
      <c r="G9" s="24" t="s">
        <v>71</v>
      </c>
      <c r="H9" s="72" t="s">
        <v>86</v>
      </c>
      <c r="I9" s="72"/>
    </row>
    <row r="11" spans="2:11" ht="35.1" customHeight="1" x14ac:dyDescent="0.3">
      <c r="B11" s="23" t="s">
        <v>70</v>
      </c>
      <c r="C11" s="23" t="s">
        <v>69</v>
      </c>
      <c r="D11" s="22" t="s">
        <v>68</v>
      </c>
      <c r="E11" s="22" t="s">
        <v>67</v>
      </c>
      <c r="F11" s="22" t="s">
        <v>66</v>
      </c>
      <c r="G11" s="22" t="s">
        <v>65</v>
      </c>
      <c r="H11" s="22" t="s">
        <v>64</v>
      </c>
      <c r="I11" s="22" t="s">
        <v>63</v>
      </c>
      <c r="J11" s="22" t="s">
        <v>62</v>
      </c>
      <c r="K11" s="22" t="s">
        <v>61</v>
      </c>
    </row>
    <row r="12" spans="2:11" x14ac:dyDescent="0.3">
      <c r="B12" s="21">
        <f>IF(LoanIsGood,IF(ROW()-ROW(PaymentSchedule345[[#Headers],[PMT NO]])&gt;ScheduledNumberOfPayments,"",ROW()-ROW(PaymentSchedule345[[#Headers],[PMT NO]])),"")</f>
        <v>1</v>
      </c>
      <c r="C12" s="20">
        <f>IF(PaymentSchedule345[[#This Row],[PMT NO]]&lt;&gt;"",EOMONTH(LoanStartDate,ROW(PaymentSchedule345[[#This Row],[PMT NO]])-ROW(PaymentSchedule345[[#Headers],[PMT NO]])-2)+DAY(LoanStartDate),"")</f>
        <v>43647</v>
      </c>
      <c r="D1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2000000</v>
      </c>
      <c r="E12" s="19">
        <f>IF(PaymentSchedule345[[#This Row],[PMT NO]]&lt;&gt;"",ScheduledPayment,"")</f>
        <v>8991.2567468977813</v>
      </c>
      <c r="F1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2" s="19">
        <f>IF(PaymentSchedule345[[#This Row],[PMT NO]]&lt;&gt;"",PaymentSchedule345[[#This Row],[TOTAL PAYMENT]]-PaymentSchedule345[[#This Row],[INTEREST]],"")</f>
        <v>1491.2567468977813</v>
      </c>
      <c r="I12" s="19">
        <f>IF(PaymentSchedule345[[#This Row],[PMT NO]]&lt;&gt;"",PaymentSchedule345[[#This Row],[BEGINNING BALANCE]]*(InterestRate/PaymentsPerYear),"")</f>
        <v>7500</v>
      </c>
      <c r="J1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1998508.7432531023</v>
      </c>
      <c r="K12" s="19">
        <f>IF(PaymentSchedule345[[#This Row],[PMT NO]]&lt;&gt;"",SUM(INDEX(PaymentSchedule345[INTEREST],1,1):PaymentSchedule345[[#This Row],[INTEREST]]),"")</f>
        <v>7500</v>
      </c>
    </row>
    <row r="13" spans="2:11" x14ac:dyDescent="0.3">
      <c r="B13" s="21">
        <f>IF(LoanIsGood,IF(ROW()-ROW(PaymentSchedule345[[#Headers],[PMT NO]])&gt;ScheduledNumberOfPayments,"",ROW()-ROW(PaymentSchedule345[[#Headers],[PMT NO]])),"")</f>
        <v>2</v>
      </c>
      <c r="C13" s="20">
        <f>IF(PaymentSchedule345[[#This Row],[PMT NO]]&lt;&gt;"",EOMONTH(LoanStartDate,ROW(PaymentSchedule345[[#This Row],[PMT NO]])-ROW(PaymentSchedule345[[#Headers],[PMT NO]])-2)+DAY(LoanStartDate),"")</f>
        <v>43678</v>
      </c>
      <c r="D1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1998508.7432531023</v>
      </c>
      <c r="E13" s="19">
        <f>IF(PaymentSchedule345[[#This Row],[PMT NO]]&lt;&gt;"",ScheduledPayment,"")</f>
        <v>8991.2567468977813</v>
      </c>
      <c r="F1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3" s="19">
        <f>IF(PaymentSchedule345[[#This Row],[PMT NO]]&lt;&gt;"",PaymentSchedule345[[#This Row],[TOTAL PAYMENT]]-PaymentSchedule345[[#This Row],[INTEREST]],"")</f>
        <v>1496.8489596986483</v>
      </c>
      <c r="I13" s="19">
        <f>IF(PaymentSchedule345[[#This Row],[PMT NO]]&lt;&gt;"",PaymentSchedule345[[#This Row],[BEGINNING BALANCE]]*(InterestRate/PaymentsPerYear),"")</f>
        <v>7494.4077871991331</v>
      </c>
      <c r="J1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1997011.8942934037</v>
      </c>
      <c r="K13" s="19">
        <f>IF(PaymentSchedule345[[#This Row],[PMT NO]]&lt;&gt;"",SUM(INDEX(PaymentSchedule345[INTEREST],1,1):PaymentSchedule345[[#This Row],[INTEREST]]),"")</f>
        <v>14994.407787199132</v>
      </c>
    </row>
    <row r="14" spans="2:11" x14ac:dyDescent="0.3">
      <c r="B14" s="21">
        <f>IF(LoanIsGood,IF(ROW()-ROW(PaymentSchedule345[[#Headers],[PMT NO]])&gt;ScheduledNumberOfPayments,"",ROW()-ROW(PaymentSchedule345[[#Headers],[PMT NO]])),"")</f>
        <v>3</v>
      </c>
      <c r="C14" s="20">
        <f>IF(PaymentSchedule345[[#This Row],[PMT NO]]&lt;&gt;"",EOMONTH(LoanStartDate,ROW(PaymentSchedule345[[#This Row],[PMT NO]])-ROW(PaymentSchedule345[[#Headers],[PMT NO]])-2)+DAY(LoanStartDate),"")</f>
        <v>43709</v>
      </c>
      <c r="D1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1997011.8942934037</v>
      </c>
      <c r="E14" s="19">
        <f>IF(PaymentSchedule345[[#This Row],[PMT NO]]&lt;&gt;"",ScheduledPayment,"")</f>
        <v>8991.2567468977813</v>
      </c>
      <c r="F1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4" s="19">
        <f>IF(PaymentSchedule345[[#This Row],[PMT NO]]&lt;&gt;"",PaymentSchedule345[[#This Row],[TOTAL PAYMENT]]-PaymentSchedule345[[#This Row],[INTEREST]],"")</f>
        <v>1502.4621432975173</v>
      </c>
      <c r="I14" s="19">
        <f>IF(PaymentSchedule345[[#This Row],[PMT NO]]&lt;&gt;"",PaymentSchedule345[[#This Row],[BEGINNING BALANCE]]*(InterestRate/PaymentsPerYear),"")</f>
        <v>7488.7946036002641</v>
      </c>
      <c r="J1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1995509.4321501062</v>
      </c>
      <c r="K14" s="19">
        <f>IF(PaymentSchedule345[[#This Row],[PMT NO]]&lt;&gt;"",SUM(INDEX(PaymentSchedule345[INTEREST],1,1):PaymentSchedule345[[#This Row],[INTEREST]]),"")</f>
        <v>22483.202390799397</v>
      </c>
    </row>
    <row r="15" spans="2:11" x14ac:dyDescent="0.3">
      <c r="B15" s="21">
        <f>IF(LoanIsGood,IF(ROW()-ROW(PaymentSchedule345[[#Headers],[PMT NO]])&gt;ScheduledNumberOfPayments,"",ROW()-ROW(PaymentSchedule345[[#Headers],[PMT NO]])),"")</f>
        <v>4</v>
      </c>
      <c r="C15" s="20">
        <f>IF(PaymentSchedule345[[#This Row],[PMT NO]]&lt;&gt;"",EOMONTH(LoanStartDate,ROW(PaymentSchedule345[[#This Row],[PMT NO]])-ROW(PaymentSchedule345[[#Headers],[PMT NO]])-2)+DAY(LoanStartDate),"")</f>
        <v>43739</v>
      </c>
      <c r="D1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1995509.4321501062</v>
      </c>
      <c r="E15" s="19">
        <f>IF(PaymentSchedule345[[#This Row],[PMT NO]]&lt;&gt;"",ScheduledPayment,"")</f>
        <v>8991.2567468977813</v>
      </c>
      <c r="F1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5" s="19">
        <f>IF(PaymentSchedule345[[#This Row],[PMT NO]]&lt;&gt;"",PaymentSchedule345[[#This Row],[TOTAL PAYMENT]]-PaymentSchedule345[[#This Row],[INTEREST]],"")</f>
        <v>1508.0963763348836</v>
      </c>
      <c r="I15" s="19">
        <f>IF(PaymentSchedule345[[#This Row],[PMT NO]]&lt;&gt;"",PaymentSchedule345[[#This Row],[BEGINNING BALANCE]]*(InterestRate/PaymentsPerYear),"")</f>
        <v>7483.1603705628977</v>
      </c>
      <c r="J1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1994001.3357737714</v>
      </c>
      <c r="K15" s="19">
        <f>IF(PaymentSchedule345[[#This Row],[PMT NO]]&lt;&gt;"",SUM(INDEX(PaymentSchedule345[INTEREST],1,1):PaymentSchedule345[[#This Row],[INTEREST]]),"")</f>
        <v>29966.362761362296</v>
      </c>
    </row>
    <row r="16" spans="2:11" x14ac:dyDescent="0.3">
      <c r="B16" s="21">
        <f>IF(LoanIsGood,IF(ROW()-ROW(PaymentSchedule345[[#Headers],[PMT NO]])&gt;ScheduledNumberOfPayments,"",ROW()-ROW(PaymentSchedule345[[#Headers],[PMT NO]])),"")</f>
        <v>5</v>
      </c>
      <c r="C16" s="20">
        <f>IF(PaymentSchedule345[[#This Row],[PMT NO]]&lt;&gt;"",EOMONTH(LoanStartDate,ROW(PaymentSchedule345[[#This Row],[PMT NO]])-ROW(PaymentSchedule345[[#Headers],[PMT NO]])-2)+DAY(LoanStartDate),"")</f>
        <v>43770</v>
      </c>
      <c r="D1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1994001.3357737714</v>
      </c>
      <c r="E16" s="19">
        <f>IF(PaymentSchedule345[[#This Row],[PMT NO]]&lt;&gt;"",ScheduledPayment,"")</f>
        <v>8991.2567468977813</v>
      </c>
      <c r="F1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6" s="19">
        <f>IF(PaymentSchedule345[[#This Row],[PMT NO]]&lt;&gt;"",PaymentSchedule345[[#This Row],[TOTAL PAYMENT]]-PaymentSchedule345[[#This Row],[INTEREST]],"")</f>
        <v>1513.751737746139</v>
      </c>
      <c r="I16" s="19">
        <f>IF(PaymentSchedule345[[#This Row],[PMT NO]]&lt;&gt;"",PaymentSchedule345[[#This Row],[BEGINNING BALANCE]]*(InterestRate/PaymentsPerYear),"")</f>
        <v>7477.5050091516423</v>
      </c>
      <c r="J1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1992487.5840360252</v>
      </c>
      <c r="K16" s="19">
        <f>IF(PaymentSchedule345[[#This Row],[PMT NO]]&lt;&gt;"",SUM(INDEX(PaymentSchedule345[INTEREST],1,1):PaymentSchedule345[[#This Row],[INTEREST]]),"")</f>
        <v>37443.867770513942</v>
      </c>
    </row>
    <row r="17" spans="2:11" x14ac:dyDescent="0.3">
      <c r="B17" s="21">
        <f>IF(LoanIsGood,IF(ROW()-ROW(PaymentSchedule345[[#Headers],[PMT NO]])&gt;ScheduledNumberOfPayments,"",ROW()-ROW(PaymentSchedule345[[#Headers],[PMT NO]])),"")</f>
        <v>6</v>
      </c>
      <c r="C17" s="20">
        <f>IF(PaymentSchedule345[[#This Row],[PMT NO]]&lt;&gt;"",EOMONTH(LoanStartDate,ROW(PaymentSchedule345[[#This Row],[PMT NO]])-ROW(PaymentSchedule345[[#Headers],[PMT NO]])-2)+DAY(LoanStartDate),"")</f>
        <v>43800</v>
      </c>
      <c r="D1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1992487.5840360252</v>
      </c>
      <c r="E17" s="19">
        <f>IF(PaymentSchedule345[[#This Row],[PMT NO]]&lt;&gt;"",ScheduledPayment,"")</f>
        <v>8991.2567468977813</v>
      </c>
      <c r="F1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7" s="19">
        <f>IF(PaymentSchedule345[[#This Row],[PMT NO]]&lt;&gt;"",PaymentSchedule345[[#This Row],[TOTAL PAYMENT]]-PaymentSchedule345[[#This Row],[INTEREST]],"")</f>
        <v>1519.4283067626875</v>
      </c>
      <c r="I17" s="19">
        <f>IF(PaymentSchedule345[[#This Row],[PMT NO]]&lt;&gt;"",PaymentSchedule345[[#This Row],[BEGINNING BALANCE]]*(InterestRate/PaymentsPerYear),"")</f>
        <v>7471.8284401350938</v>
      </c>
      <c r="J1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1990968.1557292626</v>
      </c>
      <c r="K17" s="19">
        <f>IF(PaymentSchedule345[[#This Row],[PMT NO]]&lt;&gt;"",SUM(INDEX(PaymentSchedule345[INTEREST],1,1):PaymentSchedule345[[#This Row],[INTEREST]]),"")</f>
        <v>44915.696210649039</v>
      </c>
    </row>
    <row r="18" spans="2:11" x14ac:dyDescent="0.3">
      <c r="B18" s="21">
        <f>IF(LoanIsGood,IF(ROW()-ROW(PaymentSchedule345[[#Headers],[PMT NO]])&gt;ScheduledNumberOfPayments,"",ROW()-ROW(PaymentSchedule345[[#Headers],[PMT NO]])),"")</f>
        <v>7</v>
      </c>
      <c r="C18" s="20">
        <f>IF(PaymentSchedule345[[#This Row],[PMT NO]]&lt;&gt;"",EOMONTH(LoanStartDate,ROW(PaymentSchedule345[[#This Row],[PMT NO]])-ROW(PaymentSchedule345[[#Headers],[PMT NO]])-2)+DAY(LoanStartDate),"")</f>
        <v>43831</v>
      </c>
      <c r="D1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1990968.1557292626</v>
      </c>
      <c r="E18" s="19">
        <f>IF(PaymentSchedule345[[#This Row],[PMT NO]]&lt;&gt;"",ScheduledPayment,"")</f>
        <v>8991.2567468977813</v>
      </c>
      <c r="F1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8" s="19">
        <f>IF(PaymentSchedule345[[#This Row],[PMT NO]]&lt;&gt;"",PaymentSchedule345[[#This Row],[TOTAL PAYMENT]]-PaymentSchedule345[[#This Row],[INTEREST]],"")</f>
        <v>1525.1261629130468</v>
      </c>
      <c r="I18" s="19">
        <f>IF(PaymentSchedule345[[#This Row],[PMT NO]]&lt;&gt;"",PaymentSchedule345[[#This Row],[BEGINNING BALANCE]]*(InterestRate/PaymentsPerYear),"")</f>
        <v>7466.1305839847346</v>
      </c>
      <c r="J1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1989443.0295663495</v>
      </c>
      <c r="K18" s="19">
        <f>IF(PaymentSchedule345[[#This Row],[PMT NO]]&lt;&gt;"",SUM(INDEX(PaymentSchedule345[INTEREST],1,1):PaymentSchedule345[[#This Row],[INTEREST]]),"")</f>
        <v>52381.826794633773</v>
      </c>
    </row>
    <row r="19" spans="2:11" x14ac:dyDescent="0.3">
      <c r="B19" s="21">
        <f>IF(LoanIsGood,IF(ROW()-ROW(PaymentSchedule345[[#Headers],[PMT NO]])&gt;ScheduledNumberOfPayments,"",ROW()-ROW(PaymentSchedule345[[#Headers],[PMT NO]])),"")</f>
        <v>8</v>
      </c>
      <c r="C19" s="20">
        <f>IF(PaymentSchedule345[[#This Row],[PMT NO]]&lt;&gt;"",EOMONTH(LoanStartDate,ROW(PaymentSchedule345[[#This Row],[PMT NO]])-ROW(PaymentSchedule345[[#Headers],[PMT NO]])-2)+DAY(LoanStartDate),"")</f>
        <v>43862</v>
      </c>
      <c r="D1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1989443.0295663495</v>
      </c>
      <c r="E19" s="19">
        <f>IF(PaymentSchedule345[[#This Row],[PMT NO]]&lt;&gt;"",ScheduledPayment,"")</f>
        <v>8991.2567468977813</v>
      </c>
      <c r="F1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9" s="19">
        <f>IF(PaymentSchedule345[[#This Row],[PMT NO]]&lt;&gt;"",PaymentSchedule345[[#This Row],[TOTAL PAYMENT]]-PaymentSchedule345[[#This Row],[INTEREST]],"")</f>
        <v>1530.8453860239715</v>
      </c>
      <c r="I19" s="19">
        <f>IF(PaymentSchedule345[[#This Row],[PMT NO]]&lt;&gt;"",PaymentSchedule345[[#This Row],[BEGINNING BALANCE]]*(InterestRate/PaymentsPerYear),"")</f>
        <v>7460.4113608738098</v>
      </c>
      <c r="J1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1987912.1841803256</v>
      </c>
      <c r="K19" s="19">
        <f>IF(PaymentSchedule345[[#This Row],[PMT NO]]&lt;&gt;"",SUM(INDEX(PaymentSchedule345[INTEREST],1,1):PaymentSchedule345[[#This Row],[INTEREST]]),"")</f>
        <v>59842.238155507584</v>
      </c>
    </row>
    <row r="20" spans="2:11" x14ac:dyDescent="0.3">
      <c r="B20" s="21">
        <f>IF(LoanIsGood,IF(ROW()-ROW(PaymentSchedule345[[#Headers],[PMT NO]])&gt;ScheduledNumberOfPayments,"",ROW()-ROW(PaymentSchedule345[[#Headers],[PMT NO]])),"")</f>
        <v>9</v>
      </c>
      <c r="C20" s="20">
        <f>IF(PaymentSchedule345[[#This Row],[PMT NO]]&lt;&gt;"",EOMONTH(LoanStartDate,ROW(PaymentSchedule345[[#This Row],[PMT NO]])-ROW(PaymentSchedule345[[#Headers],[PMT NO]])-2)+DAY(LoanStartDate),"")</f>
        <v>43891</v>
      </c>
      <c r="D2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1987912.1841803256</v>
      </c>
      <c r="E20" s="19">
        <f>IF(PaymentSchedule345[[#This Row],[PMT NO]]&lt;&gt;"",ScheduledPayment,"")</f>
        <v>8991.2567468977813</v>
      </c>
      <c r="F2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0" s="19">
        <f>IF(PaymentSchedule345[[#This Row],[PMT NO]]&lt;&gt;"",PaymentSchedule345[[#This Row],[TOTAL PAYMENT]]-PaymentSchedule345[[#This Row],[INTEREST]],"")</f>
        <v>1536.5860562215603</v>
      </c>
      <c r="I20" s="19">
        <f>IF(PaymentSchedule345[[#This Row],[PMT NO]]&lt;&gt;"",PaymentSchedule345[[#This Row],[BEGINNING BALANCE]]*(InterestRate/PaymentsPerYear),"")</f>
        <v>7454.6706906762211</v>
      </c>
      <c r="J2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1986375.5981241041</v>
      </c>
      <c r="K20" s="19">
        <f>IF(PaymentSchedule345[[#This Row],[PMT NO]]&lt;&gt;"",SUM(INDEX(PaymentSchedule345[INTEREST],1,1):PaymentSchedule345[[#This Row],[INTEREST]]),"")</f>
        <v>67296.908846183811</v>
      </c>
    </row>
    <row r="21" spans="2:11" x14ac:dyDescent="0.3">
      <c r="B21" s="21">
        <f>IF(LoanIsGood,IF(ROW()-ROW(PaymentSchedule345[[#Headers],[PMT NO]])&gt;ScheduledNumberOfPayments,"",ROW()-ROW(PaymentSchedule345[[#Headers],[PMT NO]])),"")</f>
        <v>10</v>
      </c>
      <c r="C21" s="20">
        <f>IF(PaymentSchedule345[[#This Row],[PMT NO]]&lt;&gt;"",EOMONTH(LoanStartDate,ROW(PaymentSchedule345[[#This Row],[PMT NO]])-ROW(PaymentSchedule345[[#Headers],[PMT NO]])-2)+DAY(LoanStartDate),"")</f>
        <v>43922</v>
      </c>
      <c r="D2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1986375.5981241041</v>
      </c>
      <c r="E21" s="19">
        <f>IF(PaymentSchedule345[[#This Row],[PMT NO]]&lt;&gt;"",ScheduledPayment,"")</f>
        <v>8991.2567468977813</v>
      </c>
      <c r="F2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1" s="19">
        <f>IF(PaymentSchedule345[[#This Row],[PMT NO]]&lt;&gt;"",PaymentSchedule345[[#This Row],[TOTAL PAYMENT]]-PaymentSchedule345[[#This Row],[INTEREST]],"")</f>
        <v>1542.3482539323913</v>
      </c>
      <c r="I21" s="19">
        <f>IF(PaymentSchedule345[[#This Row],[PMT NO]]&lt;&gt;"",PaymentSchedule345[[#This Row],[BEGINNING BALANCE]]*(InterestRate/PaymentsPerYear),"")</f>
        <v>7448.90849296539</v>
      </c>
      <c r="J2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1984833.2498701718</v>
      </c>
      <c r="K21" s="19">
        <f>IF(PaymentSchedule345[[#This Row],[PMT NO]]&lt;&gt;"",SUM(INDEX(PaymentSchedule345[INTEREST],1,1):PaymentSchedule345[[#This Row],[INTEREST]]),"")</f>
        <v>74745.817339149202</v>
      </c>
    </row>
    <row r="22" spans="2:11" x14ac:dyDescent="0.3">
      <c r="B22" s="21">
        <f>IF(LoanIsGood,IF(ROW()-ROW(PaymentSchedule345[[#Headers],[PMT NO]])&gt;ScheduledNumberOfPayments,"",ROW()-ROW(PaymentSchedule345[[#Headers],[PMT NO]])),"")</f>
        <v>11</v>
      </c>
      <c r="C22" s="20">
        <f>IF(PaymentSchedule345[[#This Row],[PMT NO]]&lt;&gt;"",EOMONTH(LoanStartDate,ROW(PaymentSchedule345[[#This Row],[PMT NO]])-ROW(PaymentSchedule345[[#Headers],[PMT NO]])-2)+DAY(LoanStartDate),"")</f>
        <v>43952</v>
      </c>
      <c r="D2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1984833.2498701718</v>
      </c>
      <c r="E22" s="19">
        <f>IF(PaymentSchedule345[[#This Row],[PMT NO]]&lt;&gt;"",ScheduledPayment,"")</f>
        <v>8991.2567468977813</v>
      </c>
      <c r="F2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2" s="19">
        <f>IF(PaymentSchedule345[[#This Row],[PMT NO]]&lt;&gt;"",PaymentSchedule345[[#This Row],[TOTAL PAYMENT]]-PaymentSchedule345[[#This Row],[INTEREST]],"")</f>
        <v>1548.1320598846378</v>
      </c>
      <c r="I22" s="19">
        <f>IF(PaymentSchedule345[[#This Row],[PMT NO]]&lt;&gt;"",PaymentSchedule345[[#This Row],[BEGINNING BALANCE]]*(InterestRate/PaymentsPerYear),"")</f>
        <v>7443.1246870131436</v>
      </c>
      <c r="J2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1983285.117810287</v>
      </c>
      <c r="K22" s="19">
        <f>IF(PaymentSchedule345[[#This Row],[PMT NO]]&lt;&gt;"",SUM(INDEX(PaymentSchedule345[INTEREST],1,1):PaymentSchedule345[[#This Row],[INTEREST]]),"")</f>
        <v>82188.942026162345</v>
      </c>
    </row>
    <row r="23" spans="2:11" x14ac:dyDescent="0.3">
      <c r="B23" s="21">
        <f>IF(LoanIsGood,IF(ROW()-ROW(PaymentSchedule345[[#Headers],[PMT NO]])&gt;ScheduledNumberOfPayments,"",ROW()-ROW(PaymentSchedule345[[#Headers],[PMT NO]])),"")</f>
        <v>12</v>
      </c>
      <c r="C23" s="20">
        <f>IF(PaymentSchedule345[[#This Row],[PMT NO]]&lt;&gt;"",EOMONTH(LoanStartDate,ROW(PaymentSchedule345[[#This Row],[PMT NO]])-ROW(PaymentSchedule345[[#Headers],[PMT NO]])-2)+DAY(LoanStartDate),"")</f>
        <v>43983</v>
      </c>
      <c r="D2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1983285.117810287</v>
      </c>
      <c r="E23" s="19">
        <f>IF(PaymentSchedule345[[#This Row],[PMT NO]]&lt;&gt;"",ScheduledPayment,"")</f>
        <v>8991.2567468977813</v>
      </c>
      <c r="F2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3" s="19">
        <f>IF(PaymentSchedule345[[#This Row],[PMT NO]]&lt;&gt;"",PaymentSchedule345[[#This Row],[TOTAL PAYMENT]]-PaymentSchedule345[[#This Row],[INTEREST]],"")</f>
        <v>1553.9375551092053</v>
      </c>
      <c r="I23" s="19">
        <f>IF(PaymentSchedule345[[#This Row],[PMT NO]]&lt;&gt;"",PaymentSchedule345[[#This Row],[BEGINNING BALANCE]]*(InterestRate/PaymentsPerYear),"")</f>
        <v>7437.3191917885761</v>
      </c>
      <c r="J2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1981731.1802551779</v>
      </c>
      <c r="K23" s="19">
        <f>IF(PaymentSchedule345[[#This Row],[PMT NO]]&lt;&gt;"",SUM(INDEX(PaymentSchedule345[INTEREST],1,1):PaymentSchedule345[[#This Row],[INTEREST]]),"")</f>
        <v>89626.261217950916</v>
      </c>
    </row>
    <row r="24" spans="2:11" x14ac:dyDescent="0.3">
      <c r="B24" s="21">
        <f>IF(LoanIsGood,IF(ROW()-ROW(PaymentSchedule345[[#Headers],[PMT NO]])&gt;ScheduledNumberOfPayments,"",ROW()-ROW(PaymentSchedule345[[#Headers],[PMT NO]])),"")</f>
        <v>13</v>
      </c>
      <c r="C24" s="20">
        <f>IF(PaymentSchedule345[[#This Row],[PMT NO]]&lt;&gt;"",EOMONTH(LoanStartDate,ROW(PaymentSchedule345[[#This Row],[PMT NO]])-ROW(PaymentSchedule345[[#Headers],[PMT NO]])-2)+DAY(LoanStartDate),"")</f>
        <v>44013</v>
      </c>
      <c r="D2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1981731.1802551779</v>
      </c>
      <c r="E24" s="19">
        <f>IF(PaymentSchedule345[[#This Row],[PMT NO]]&lt;&gt;"",ScheduledPayment,"")</f>
        <v>8991.2567468977813</v>
      </c>
      <c r="F2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4" s="19">
        <f>IF(PaymentSchedule345[[#This Row],[PMT NO]]&lt;&gt;"",PaymentSchedule345[[#This Row],[TOTAL PAYMENT]]-PaymentSchedule345[[#This Row],[INTEREST]],"")</f>
        <v>1559.7648209408644</v>
      </c>
      <c r="I24" s="19">
        <f>IF(PaymentSchedule345[[#This Row],[PMT NO]]&lt;&gt;"",PaymentSchedule345[[#This Row],[BEGINNING BALANCE]]*(InterestRate/PaymentsPerYear),"")</f>
        <v>7431.4919259569169</v>
      </c>
      <c r="J2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1980171.4154342371</v>
      </c>
      <c r="K24" s="19">
        <f>IF(PaymentSchedule345[[#This Row],[PMT NO]]&lt;&gt;"",SUM(INDEX(PaymentSchedule345[INTEREST],1,1):PaymentSchedule345[[#This Row],[INTEREST]]),"")</f>
        <v>97057.75314390783</v>
      </c>
    </row>
    <row r="25" spans="2:11" x14ac:dyDescent="0.3">
      <c r="B25" s="21">
        <f>IF(LoanIsGood,IF(ROW()-ROW(PaymentSchedule345[[#Headers],[PMT NO]])&gt;ScheduledNumberOfPayments,"",ROW()-ROW(PaymentSchedule345[[#Headers],[PMT NO]])),"")</f>
        <v>14</v>
      </c>
      <c r="C25" s="20">
        <f>IF(PaymentSchedule345[[#This Row],[PMT NO]]&lt;&gt;"",EOMONTH(LoanStartDate,ROW(PaymentSchedule345[[#This Row],[PMT NO]])-ROW(PaymentSchedule345[[#Headers],[PMT NO]])-2)+DAY(LoanStartDate),"")</f>
        <v>44044</v>
      </c>
      <c r="D2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1980171.4154342371</v>
      </c>
      <c r="E25" s="19">
        <f>IF(PaymentSchedule345[[#This Row],[PMT NO]]&lt;&gt;"",ScheduledPayment,"")</f>
        <v>8991.2567468977813</v>
      </c>
      <c r="F2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5" s="19">
        <f>IF(PaymentSchedule345[[#This Row],[PMT NO]]&lt;&gt;"",PaymentSchedule345[[#This Row],[TOTAL PAYMENT]]-PaymentSchedule345[[#This Row],[INTEREST]],"")</f>
        <v>1565.6139390193921</v>
      </c>
      <c r="I25" s="19">
        <f>IF(PaymentSchedule345[[#This Row],[PMT NO]]&lt;&gt;"",PaymentSchedule345[[#This Row],[BEGINNING BALANCE]]*(InterestRate/PaymentsPerYear),"")</f>
        <v>7425.6428078783892</v>
      </c>
      <c r="J2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1978605.8014952177</v>
      </c>
      <c r="K25" s="19">
        <f>IF(PaymentSchedule345[[#This Row],[PMT NO]]&lt;&gt;"",SUM(INDEX(PaymentSchedule345[INTEREST],1,1):PaymentSchedule345[[#This Row],[INTEREST]]),"")</f>
        <v>104483.39595178622</v>
      </c>
    </row>
    <row r="26" spans="2:11" x14ac:dyDescent="0.3">
      <c r="B26" s="21">
        <f>IF(LoanIsGood,IF(ROW()-ROW(PaymentSchedule345[[#Headers],[PMT NO]])&gt;ScheduledNumberOfPayments,"",ROW()-ROW(PaymentSchedule345[[#Headers],[PMT NO]])),"")</f>
        <v>15</v>
      </c>
      <c r="C26" s="20">
        <f>IF(PaymentSchedule345[[#This Row],[PMT NO]]&lt;&gt;"",EOMONTH(LoanStartDate,ROW(PaymentSchedule345[[#This Row],[PMT NO]])-ROW(PaymentSchedule345[[#Headers],[PMT NO]])-2)+DAY(LoanStartDate),"")</f>
        <v>44075</v>
      </c>
      <c r="D2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1978605.8014952177</v>
      </c>
      <c r="E26" s="19">
        <f>IF(PaymentSchedule345[[#This Row],[PMT NO]]&lt;&gt;"",ScheduledPayment,"")</f>
        <v>8991.2567468977813</v>
      </c>
      <c r="F2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6" s="19">
        <f>IF(PaymentSchedule345[[#This Row],[PMT NO]]&lt;&gt;"",PaymentSchedule345[[#This Row],[TOTAL PAYMENT]]-PaymentSchedule345[[#This Row],[INTEREST]],"")</f>
        <v>1571.4849912907148</v>
      </c>
      <c r="I26" s="19">
        <f>IF(PaymentSchedule345[[#This Row],[PMT NO]]&lt;&gt;"",PaymentSchedule345[[#This Row],[BEGINNING BALANCE]]*(InterestRate/PaymentsPerYear),"")</f>
        <v>7419.7717556070666</v>
      </c>
      <c r="J2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1977034.3165039271</v>
      </c>
      <c r="K26" s="19">
        <f>IF(PaymentSchedule345[[#This Row],[PMT NO]]&lt;&gt;"",SUM(INDEX(PaymentSchedule345[INTEREST],1,1):PaymentSchedule345[[#This Row],[INTEREST]]),"")</f>
        <v>111903.1677073933</v>
      </c>
    </row>
    <row r="27" spans="2:11" x14ac:dyDescent="0.3">
      <c r="B27" s="21">
        <f>IF(LoanIsGood,IF(ROW()-ROW(PaymentSchedule345[[#Headers],[PMT NO]])&gt;ScheduledNumberOfPayments,"",ROW()-ROW(PaymentSchedule345[[#Headers],[PMT NO]])),"")</f>
        <v>16</v>
      </c>
      <c r="C27" s="20">
        <f>IF(PaymentSchedule345[[#This Row],[PMT NO]]&lt;&gt;"",EOMONTH(LoanStartDate,ROW(PaymentSchedule345[[#This Row],[PMT NO]])-ROW(PaymentSchedule345[[#Headers],[PMT NO]])-2)+DAY(LoanStartDate),"")</f>
        <v>44105</v>
      </c>
      <c r="D2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1977034.3165039271</v>
      </c>
      <c r="E27" s="19">
        <f>IF(PaymentSchedule345[[#This Row],[PMT NO]]&lt;&gt;"",ScheduledPayment,"")</f>
        <v>8991.2567468977813</v>
      </c>
      <c r="F2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7" s="19">
        <f>IF(PaymentSchedule345[[#This Row],[PMT NO]]&lt;&gt;"",PaymentSchedule345[[#This Row],[TOTAL PAYMENT]]-PaymentSchedule345[[#This Row],[INTEREST]],"")</f>
        <v>1577.3780600080554</v>
      </c>
      <c r="I27" s="19">
        <f>IF(PaymentSchedule345[[#This Row],[PMT NO]]&lt;&gt;"",PaymentSchedule345[[#This Row],[BEGINNING BALANCE]]*(InterestRate/PaymentsPerYear),"")</f>
        <v>7413.8786868897259</v>
      </c>
      <c r="J2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1975456.9384439189</v>
      </c>
      <c r="K27" s="19">
        <f>IF(PaymentSchedule345[[#This Row],[PMT NO]]&lt;&gt;"",SUM(INDEX(PaymentSchedule345[INTEREST],1,1):PaymentSchedule345[[#This Row],[INTEREST]]),"")</f>
        <v>119317.04639428302</v>
      </c>
    </row>
    <row r="28" spans="2:11" x14ac:dyDescent="0.3">
      <c r="B28" s="21">
        <f>IF(LoanIsGood,IF(ROW()-ROW(PaymentSchedule345[[#Headers],[PMT NO]])&gt;ScheduledNumberOfPayments,"",ROW()-ROW(PaymentSchedule345[[#Headers],[PMT NO]])),"")</f>
        <v>17</v>
      </c>
      <c r="C28" s="20">
        <f>IF(PaymentSchedule345[[#This Row],[PMT NO]]&lt;&gt;"",EOMONTH(LoanStartDate,ROW(PaymentSchedule345[[#This Row],[PMT NO]])-ROW(PaymentSchedule345[[#Headers],[PMT NO]])-2)+DAY(LoanStartDate),"")</f>
        <v>44136</v>
      </c>
      <c r="D2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1975456.9384439189</v>
      </c>
      <c r="E28" s="19">
        <f>IF(PaymentSchedule345[[#This Row],[PMT NO]]&lt;&gt;"",ScheduledPayment,"")</f>
        <v>8991.2567468977813</v>
      </c>
      <c r="F2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8" s="19">
        <f>IF(PaymentSchedule345[[#This Row],[PMT NO]]&lt;&gt;"",PaymentSchedule345[[#This Row],[TOTAL PAYMENT]]-PaymentSchedule345[[#This Row],[INTEREST]],"")</f>
        <v>1583.2932277330856</v>
      </c>
      <c r="I28" s="19">
        <f>IF(PaymentSchedule345[[#This Row],[PMT NO]]&lt;&gt;"",PaymentSchedule345[[#This Row],[BEGINNING BALANCE]]*(InterestRate/PaymentsPerYear),"")</f>
        <v>7407.9635191646958</v>
      </c>
      <c r="J2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1973873.6452161858</v>
      </c>
      <c r="K28" s="19">
        <f>IF(PaymentSchedule345[[#This Row],[PMT NO]]&lt;&gt;"",SUM(INDEX(PaymentSchedule345[INTEREST],1,1):PaymentSchedule345[[#This Row],[INTEREST]]),"")</f>
        <v>126725.00991344772</v>
      </c>
    </row>
    <row r="29" spans="2:11" x14ac:dyDescent="0.3">
      <c r="B29" s="21">
        <f>IF(LoanIsGood,IF(ROW()-ROW(PaymentSchedule345[[#Headers],[PMT NO]])&gt;ScheduledNumberOfPayments,"",ROW()-ROW(PaymentSchedule345[[#Headers],[PMT NO]])),"")</f>
        <v>18</v>
      </c>
      <c r="C29" s="20">
        <f>IF(PaymentSchedule345[[#This Row],[PMT NO]]&lt;&gt;"",EOMONTH(LoanStartDate,ROW(PaymentSchedule345[[#This Row],[PMT NO]])-ROW(PaymentSchedule345[[#Headers],[PMT NO]])-2)+DAY(LoanStartDate),"")</f>
        <v>44166</v>
      </c>
      <c r="D2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1973873.6452161858</v>
      </c>
      <c r="E29" s="19">
        <f>IF(PaymentSchedule345[[#This Row],[PMT NO]]&lt;&gt;"",ScheduledPayment,"")</f>
        <v>8991.2567468977813</v>
      </c>
      <c r="F2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9" s="19">
        <f>IF(PaymentSchedule345[[#This Row],[PMT NO]]&lt;&gt;"",PaymentSchedule345[[#This Row],[TOTAL PAYMENT]]-PaymentSchedule345[[#This Row],[INTEREST]],"")</f>
        <v>1589.2305773370845</v>
      </c>
      <c r="I29" s="19">
        <f>IF(PaymentSchedule345[[#This Row],[PMT NO]]&lt;&gt;"",PaymentSchedule345[[#This Row],[BEGINNING BALANCE]]*(InterestRate/PaymentsPerYear),"")</f>
        <v>7402.0261695606969</v>
      </c>
      <c r="J2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1972284.4146388487</v>
      </c>
      <c r="K29" s="19">
        <f>IF(PaymentSchedule345[[#This Row],[PMT NO]]&lt;&gt;"",SUM(INDEX(PaymentSchedule345[INTEREST],1,1):PaymentSchedule345[[#This Row],[INTEREST]]),"")</f>
        <v>134127.03608300842</v>
      </c>
    </row>
    <row r="30" spans="2:11" x14ac:dyDescent="0.3">
      <c r="B30" s="21">
        <f>IF(LoanIsGood,IF(ROW()-ROW(PaymentSchedule345[[#Headers],[PMT NO]])&gt;ScheduledNumberOfPayments,"",ROW()-ROW(PaymentSchedule345[[#Headers],[PMT NO]])),"")</f>
        <v>19</v>
      </c>
      <c r="C30" s="20">
        <f>IF(PaymentSchedule345[[#This Row],[PMT NO]]&lt;&gt;"",EOMONTH(LoanStartDate,ROW(PaymentSchedule345[[#This Row],[PMT NO]])-ROW(PaymentSchedule345[[#Headers],[PMT NO]])-2)+DAY(LoanStartDate),"")</f>
        <v>44197</v>
      </c>
      <c r="D3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1972284.4146388487</v>
      </c>
      <c r="E30" s="19">
        <f>IF(PaymentSchedule345[[#This Row],[PMT NO]]&lt;&gt;"",ScheduledPayment,"")</f>
        <v>8991.2567468977813</v>
      </c>
      <c r="F3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0" s="19">
        <f>IF(PaymentSchedule345[[#This Row],[PMT NO]]&lt;&gt;"",PaymentSchedule345[[#This Row],[TOTAL PAYMENT]]-PaymentSchedule345[[#This Row],[INTEREST]],"")</f>
        <v>1595.1901920020991</v>
      </c>
      <c r="I30" s="19">
        <f>IF(PaymentSchedule345[[#This Row],[PMT NO]]&lt;&gt;"",PaymentSchedule345[[#This Row],[BEGINNING BALANCE]]*(InterestRate/PaymentsPerYear),"")</f>
        <v>7396.0665548956822</v>
      </c>
      <c r="J3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1970689.2244468466</v>
      </c>
      <c r="K30" s="19">
        <f>IF(PaymentSchedule345[[#This Row],[PMT NO]]&lt;&gt;"",SUM(INDEX(PaymentSchedule345[INTEREST],1,1):PaymentSchedule345[[#This Row],[INTEREST]]),"")</f>
        <v>141523.10263790411</v>
      </c>
    </row>
    <row r="31" spans="2:11" x14ac:dyDescent="0.3">
      <c r="B31" s="21">
        <f>IF(LoanIsGood,IF(ROW()-ROW(PaymentSchedule345[[#Headers],[PMT NO]])&gt;ScheduledNumberOfPayments,"",ROW()-ROW(PaymentSchedule345[[#Headers],[PMT NO]])),"")</f>
        <v>20</v>
      </c>
      <c r="C31" s="20">
        <f>IF(PaymentSchedule345[[#This Row],[PMT NO]]&lt;&gt;"",EOMONTH(LoanStartDate,ROW(PaymentSchedule345[[#This Row],[PMT NO]])-ROW(PaymentSchedule345[[#Headers],[PMT NO]])-2)+DAY(LoanStartDate),"")</f>
        <v>44228</v>
      </c>
      <c r="D3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1970689.2244468466</v>
      </c>
      <c r="E31" s="19">
        <f>IF(PaymentSchedule345[[#This Row],[PMT NO]]&lt;&gt;"",ScheduledPayment,"")</f>
        <v>8991.2567468977813</v>
      </c>
      <c r="F3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1" s="19">
        <f>IF(PaymentSchedule345[[#This Row],[PMT NO]]&lt;&gt;"",PaymentSchedule345[[#This Row],[TOTAL PAYMENT]]-PaymentSchedule345[[#This Row],[INTEREST]],"")</f>
        <v>1601.172155222107</v>
      </c>
      <c r="I31" s="19">
        <f>IF(PaymentSchedule345[[#This Row],[PMT NO]]&lt;&gt;"",PaymentSchedule345[[#This Row],[BEGINNING BALANCE]]*(InterestRate/PaymentsPerYear),"")</f>
        <v>7390.0845916756743</v>
      </c>
      <c r="J3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1969088.0522916245</v>
      </c>
      <c r="K31" s="19">
        <f>IF(PaymentSchedule345[[#This Row],[PMT NO]]&lt;&gt;"",SUM(INDEX(PaymentSchedule345[INTEREST],1,1):PaymentSchedule345[[#This Row],[INTEREST]]),"")</f>
        <v>148913.18722957978</v>
      </c>
    </row>
    <row r="32" spans="2:11" x14ac:dyDescent="0.3">
      <c r="B32" s="21">
        <f>IF(LoanIsGood,IF(ROW()-ROW(PaymentSchedule345[[#Headers],[PMT NO]])&gt;ScheduledNumberOfPayments,"",ROW()-ROW(PaymentSchedule345[[#Headers],[PMT NO]])),"")</f>
        <v>21</v>
      </c>
      <c r="C32" s="20">
        <f>IF(PaymentSchedule345[[#This Row],[PMT NO]]&lt;&gt;"",EOMONTH(LoanStartDate,ROW(PaymentSchedule345[[#This Row],[PMT NO]])-ROW(PaymentSchedule345[[#Headers],[PMT NO]])-2)+DAY(LoanStartDate),"")</f>
        <v>44256</v>
      </c>
      <c r="D3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1969088.0522916245</v>
      </c>
      <c r="E32" s="19">
        <f>IF(PaymentSchedule345[[#This Row],[PMT NO]]&lt;&gt;"",ScheduledPayment,"")</f>
        <v>8991.2567468977813</v>
      </c>
      <c r="F3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2" s="19">
        <f>IF(PaymentSchedule345[[#This Row],[PMT NO]]&lt;&gt;"",PaymentSchedule345[[#This Row],[TOTAL PAYMENT]]-PaymentSchedule345[[#This Row],[INTEREST]],"")</f>
        <v>1607.1765508041899</v>
      </c>
      <c r="I32" s="19">
        <f>IF(PaymentSchedule345[[#This Row],[PMT NO]]&lt;&gt;"",PaymentSchedule345[[#This Row],[BEGINNING BALANCE]]*(InterestRate/PaymentsPerYear),"")</f>
        <v>7384.0801960935914</v>
      </c>
      <c r="J3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1967480.8757408203</v>
      </c>
      <c r="K32" s="19">
        <f>IF(PaymentSchedule345[[#This Row],[PMT NO]]&lt;&gt;"",SUM(INDEX(PaymentSchedule345[INTEREST],1,1):PaymentSchedule345[[#This Row],[INTEREST]]),"")</f>
        <v>156297.26742567337</v>
      </c>
    </row>
    <row r="33" spans="2:11" x14ac:dyDescent="0.3">
      <c r="B33" s="21">
        <f>IF(LoanIsGood,IF(ROW()-ROW(PaymentSchedule345[[#Headers],[PMT NO]])&gt;ScheduledNumberOfPayments,"",ROW()-ROW(PaymentSchedule345[[#Headers],[PMT NO]])),"")</f>
        <v>22</v>
      </c>
      <c r="C33" s="20">
        <f>IF(PaymentSchedule345[[#This Row],[PMT NO]]&lt;&gt;"",EOMONTH(LoanStartDate,ROW(PaymentSchedule345[[#This Row],[PMT NO]])-ROW(PaymentSchedule345[[#Headers],[PMT NO]])-2)+DAY(LoanStartDate),"")</f>
        <v>44287</v>
      </c>
      <c r="D3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1967480.8757408203</v>
      </c>
      <c r="E33" s="19">
        <f>IF(PaymentSchedule345[[#This Row],[PMT NO]]&lt;&gt;"",ScheduledPayment,"")</f>
        <v>8991.2567468977813</v>
      </c>
      <c r="F3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3" s="19">
        <f>IF(PaymentSchedule345[[#This Row],[PMT NO]]&lt;&gt;"",PaymentSchedule345[[#This Row],[TOTAL PAYMENT]]-PaymentSchedule345[[#This Row],[INTEREST]],"")</f>
        <v>1613.2034628697056</v>
      </c>
      <c r="I33" s="19">
        <f>IF(PaymentSchedule345[[#This Row],[PMT NO]]&lt;&gt;"",PaymentSchedule345[[#This Row],[BEGINNING BALANCE]]*(InterestRate/PaymentsPerYear),"")</f>
        <v>7378.0532840280757</v>
      </c>
      <c r="J3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1965867.6722779507</v>
      </c>
      <c r="K33" s="19">
        <f>IF(PaymentSchedule345[[#This Row],[PMT NO]]&lt;&gt;"",SUM(INDEX(PaymentSchedule345[INTEREST],1,1):PaymentSchedule345[[#This Row],[INTEREST]]),"")</f>
        <v>163675.32070970145</v>
      </c>
    </row>
    <row r="34" spans="2:11" x14ac:dyDescent="0.3">
      <c r="B34" s="21">
        <f>IF(LoanIsGood,IF(ROW()-ROW(PaymentSchedule345[[#Headers],[PMT NO]])&gt;ScheduledNumberOfPayments,"",ROW()-ROW(PaymentSchedule345[[#Headers],[PMT NO]])),"")</f>
        <v>23</v>
      </c>
      <c r="C34" s="20">
        <f>IF(PaymentSchedule345[[#This Row],[PMT NO]]&lt;&gt;"",EOMONTH(LoanStartDate,ROW(PaymentSchedule345[[#This Row],[PMT NO]])-ROW(PaymentSchedule345[[#Headers],[PMT NO]])-2)+DAY(LoanStartDate),"")</f>
        <v>44317</v>
      </c>
      <c r="D3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1965867.6722779507</v>
      </c>
      <c r="E34" s="19">
        <f>IF(PaymentSchedule345[[#This Row],[PMT NO]]&lt;&gt;"",ScheduledPayment,"")</f>
        <v>8991.2567468977813</v>
      </c>
      <c r="F3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4" s="19">
        <f>IF(PaymentSchedule345[[#This Row],[PMT NO]]&lt;&gt;"",PaymentSchedule345[[#This Row],[TOTAL PAYMENT]]-PaymentSchedule345[[#This Row],[INTEREST]],"")</f>
        <v>1619.2529758554665</v>
      </c>
      <c r="I34" s="19">
        <f>IF(PaymentSchedule345[[#This Row],[PMT NO]]&lt;&gt;"",PaymentSchedule345[[#This Row],[BEGINNING BALANCE]]*(InterestRate/PaymentsPerYear),"")</f>
        <v>7372.0037710423148</v>
      </c>
      <c r="J3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1964248.4193020952</v>
      </c>
      <c r="K34" s="19">
        <f>IF(PaymentSchedule345[[#This Row],[PMT NO]]&lt;&gt;"",SUM(INDEX(PaymentSchedule345[INTEREST],1,1):PaymentSchedule345[[#This Row],[INTEREST]]),"")</f>
        <v>171047.32448074376</v>
      </c>
    </row>
    <row r="35" spans="2:11" x14ac:dyDescent="0.3">
      <c r="B35" s="21">
        <f>IF(LoanIsGood,IF(ROW()-ROW(PaymentSchedule345[[#Headers],[PMT NO]])&gt;ScheduledNumberOfPayments,"",ROW()-ROW(PaymentSchedule345[[#Headers],[PMT NO]])),"")</f>
        <v>24</v>
      </c>
      <c r="C35" s="20">
        <f>IF(PaymentSchedule345[[#This Row],[PMT NO]]&lt;&gt;"",EOMONTH(LoanStartDate,ROW(PaymentSchedule345[[#This Row],[PMT NO]])-ROW(PaymentSchedule345[[#Headers],[PMT NO]])-2)+DAY(LoanStartDate),"")</f>
        <v>44348</v>
      </c>
      <c r="D3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1964248.4193020952</v>
      </c>
      <c r="E35" s="19">
        <f>IF(PaymentSchedule345[[#This Row],[PMT NO]]&lt;&gt;"",ScheduledPayment,"")</f>
        <v>8991.2567468977813</v>
      </c>
      <c r="F3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5" s="19">
        <f>IF(PaymentSchedule345[[#This Row],[PMT NO]]&lt;&gt;"",PaymentSchedule345[[#This Row],[TOTAL PAYMENT]]-PaymentSchedule345[[#This Row],[INTEREST]],"")</f>
        <v>1625.3251745149246</v>
      </c>
      <c r="I35" s="19">
        <f>IF(PaymentSchedule345[[#This Row],[PMT NO]]&lt;&gt;"",PaymentSchedule345[[#This Row],[BEGINNING BALANCE]]*(InterestRate/PaymentsPerYear),"")</f>
        <v>7365.9315723828568</v>
      </c>
      <c r="J3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1962623.0941275803</v>
      </c>
      <c r="K35" s="19">
        <f>IF(PaymentSchedule345[[#This Row],[PMT NO]]&lt;&gt;"",SUM(INDEX(PaymentSchedule345[INTEREST],1,1):PaymentSchedule345[[#This Row],[INTEREST]]),"")</f>
        <v>178413.25605312662</v>
      </c>
    </row>
    <row r="36" spans="2:11" x14ac:dyDescent="0.3">
      <c r="B36" s="21">
        <f>IF(LoanIsGood,IF(ROW()-ROW(PaymentSchedule345[[#Headers],[PMT NO]])&gt;ScheduledNumberOfPayments,"",ROW()-ROW(PaymentSchedule345[[#Headers],[PMT NO]])),"")</f>
        <v>25</v>
      </c>
      <c r="C36" s="20">
        <f>IF(PaymentSchedule345[[#This Row],[PMT NO]]&lt;&gt;"",EOMONTH(LoanStartDate,ROW(PaymentSchedule345[[#This Row],[PMT NO]])-ROW(PaymentSchedule345[[#Headers],[PMT NO]])-2)+DAY(LoanStartDate),"")</f>
        <v>44378</v>
      </c>
      <c r="D3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1962623.0941275803</v>
      </c>
      <c r="E36" s="19">
        <f>IF(PaymentSchedule345[[#This Row],[PMT NO]]&lt;&gt;"",ScheduledPayment,"")</f>
        <v>8991.2567468977813</v>
      </c>
      <c r="F3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6" s="19">
        <f>IF(PaymentSchedule345[[#This Row],[PMT NO]]&lt;&gt;"",PaymentSchedule345[[#This Row],[TOTAL PAYMENT]]-PaymentSchedule345[[#This Row],[INTEREST]],"")</f>
        <v>1631.4201439193557</v>
      </c>
      <c r="I36" s="19">
        <f>IF(PaymentSchedule345[[#This Row],[PMT NO]]&lt;&gt;"",PaymentSchedule345[[#This Row],[BEGINNING BALANCE]]*(InterestRate/PaymentsPerYear),"")</f>
        <v>7359.8366029784256</v>
      </c>
      <c r="J3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1960991.673983661</v>
      </c>
      <c r="K36" s="19">
        <f>IF(PaymentSchedule345[[#This Row],[PMT NO]]&lt;&gt;"",SUM(INDEX(PaymentSchedule345[INTEREST],1,1):PaymentSchedule345[[#This Row],[INTEREST]]),"")</f>
        <v>185773.09265610506</v>
      </c>
    </row>
    <row r="37" spans="2:11" x14ac:dyDescent="0.3">
      <c r="B37" s="21">
        <f>IF(LoanIsGood,IF(ROW()-ROW(PaymentSchedule345[[#Headers],[PMT NO]])&gt;ScheduledNumberOfPayments,"",ROW()-ROW(PaymentSchedule345[[#Headers],[PMT NO]])),"")</f>
        <v>26</v>
      </c>
      <c r="C37" s="20">
        <f>IF(PaymentSchedule345[[#This Row],[PMT NO]]&lt;&gt;"",EOMONTH(LoanStartDate,ROW(PaymentSchedule345[[#This Row],[PMT NO]])-ROW(PaymentSchedule345[[#Headers],[PMT NO]])-2)+DAY(LoanStartDate),"")</f>
        <v>44409</v>
      </c>
      <c r="D3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1960991.673983661</v>
      </c>
      <c r="E37" s="19">
        <f>IF(PaymentSchedule345[[#This Row],[PMT NO]]&lt;&gt;"",ScheduledPayment,"")</f>
        <v>8991.2567468977813</v>
      </c>
      <c r="F3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7" s="19">
        <f>IF(PaymentSchedule345[[#This Row],[PMT NO]]&lt;&gt;"",PaymentSchedule345[[#This Row],[TOTAL PAYMENT]]-PaymentSchedule345[[#This Row],[INTEREST]],"")</f>
        <v>1637.5379694590529</v>
      </c>
      <c r="I37" s="19">
        <f>IF(PaymentSchedule345[[#This Row],[PMT NO]]&lt;&gt;"",PaymentSchedule345[[#This Row],[BEGINNING BALANCE]]*(InterestRate/PaymentsPerYear),"")</f>
        <v>7353.7187774387285</v>
      </c>
      <c r="J3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1959354.1360142019</v>
      </c>
      <c r="K37" s="19">
        <f>IF(PaymentSchedule345[[#This Row],[PMT NO]]&lt;&gt;"",SUM(INDEX(PaymentSchedule345[INTEREST],1,1):PaymentSchedule345[[#This Row],[INTEREST]]),"")</f>
        <v>193126.8114335438</v>
      </c>
    </row>
    <row r="38" spans="2:11" x14ac:dyDescent="0.3">
      <c r="B38" s="21">
        <f>IF(LoanIsGood,IF(ROW()-ROW(PaymentSchedule345[[#Headers],[PMT NO]])&gt;ScheduledNumberOfPayments,"",ROW()-ROW(PaymentSchedule345[[#Headers],[PMT NO]])),"")</f>
        <v>27</v>
      </c>
      <c r="C38" s="20">
        <f>IF(PaymentSchedule345[[#This Row],[PMT NO]]&lt;&gt;"",EOMONTH(LoanStartDate,ROW(PaymentSchedule345[[#This Row],[PMT NO]])-ROW(PaymentSchedule345[[#Headers],[PMT NO]])-2)+DAY(LoanStartDate),"")</f>
        <v>44440</v>
      </c>
      <c r="D3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1959354.1360142019</v>
      </c>
      <c r="E38" s="19">
        <f>IF(PaymentSchedule345[[#This Row],[PMT NO]]&lt;&gt;"",ScheduledPayment,"")</f>
        <v>8991.2567468977813</v>
      </c>
      <c r="F3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8" s="19">
        <f>IF(PaymentSchedule345[[#This Row],[PMT NO]]&lt;&gt;"",PaymentSchedule345[[#This Row],[TOTAL PAYMENT]]-PaymentSchedule345[[#This Row],[INTEREST]],"")</f>
        <v>1643.6787368445248</v>
      </c>
      <c r="I38" s="19">
        <f>IF(PaymentSchedule345[[#This Row],[PMT NO]]&lt;&gt;"",PaymentSchedule345[[#This Row],[BEGINNING BALANCE]]*(InterestRate/PaymentsPerYear),"")</f>
        <v>7347.5780100532565</v>
      </c>
      <c r="J3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1957710.4572773573</v>
      </c>
      <c r="K38" s="19">
        <f>IF(PaymentSchedule345[[#This Row],[PMT NO]]&lt;&gt;"",SUM(INDEX(PaymentSchedule345[INTEREST],1,1):PaymentSchedule345[[#This Row],[INTEREST]]),"")</f>
        <v>200474.38944359706</v>
      </c>
    </row>
    <row r="39" spans="2:11" x14ac:dyDescent="0.3">
      <c r="B39" s="21">
        <f>IF(LoanIsGood,IF(ROW()-ROW(PaymentSchedule345[[#Headers],[PMT NO]])&gt;ScheduledNumberOfPayments,"",ROW()-ROW(PaymentSchedule345[[#Headers],[PMT NO]])),"")</f>
        <v>28</v>
      </c>
      <c r="C39" s="20">
        <f>IF(PaymentSchedule345[[#This Row],[PMT NO]]&lt;&gt;"",EOMONTH(LoanStartDate,ROW(PaymentSchedule345[[#This Row],[PMT NO]])-ROW(PaymentSchedule345[[#Headers],[PMT NO]])-2)+DAY(LoanStartDate),"")</f>
        <v>44470</v>
      </c>
      <c r="D3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1957710.4572773573</v>
      </c>
      <c r="E39" s="19">
        <f>IF(PaymentSchedule345[[#This Row],[PMT NO]]&lt;&gt;"",ScheduledPayment,"")</f>
        <v>8991.2567468977813</v>
      </c>
      <c r="F3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9" s="19">
        <f>IF(PaymentSchedule345[[#This Row],[PMT NO]]&lt;&gt;"",PaymentSchedule345[[#This Row],[TOTAL PAYMENT]]-PaymentSchedule345[[#This Row],[INTEREST]],"")</f>
        <v>1649.8425321076911</v>
      </c>
      <c r="I39" s="19">
        <f>IF(PaymentSchedule345[[#This Row],[PMT NO]]&lt;&gt;"",PaymentSchedule345[[#This Row],[BEGINNING BALANCE]]*(InterestRate/PaymentsPerYear),"")</f>
        <v>7341.4142147900902</v>
      </c>
      <c r="J3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1956060.6147452497</v>
      </c>
      <c r="K39" s="19">
        <f>IF(PaymentSchedule345[[#This Row],[PMT NO]]&lt;&gt;"",SUM(INDEX(PaymentSchedule345[INTEREST],1,1):PaymentSchedule345[[#This Row],[INTEREST]]),"")</f>
        <v>207815.80365838716</v>
      </c>
    </row>
    <row r="40" spans="2:11" x14ac:dyDescent="0.3">
      <c r="B40" s="21">
        <f>IF(LoanIsGood,IF(ROW()-ROW(PaymentSchedule345[[#Headers],[PMT NO]])&gt;ScheduledNumberOfPayments,"",ROW()-ROW(PaymentSchedule345[[#Headers],[PMT NO]])),"")</f>
        <v>29</v>
      </c>
      <c r="C40" s="20">
        <f>IF(PaymentSchedule345[[#This Row],[PMT NO]]&lt;&gt;"",EOMONTH(LoanStartDate,ROW(PaymentSchedule345[[#This Row],[PMT NO]])-ROW(PaymentSchedule345[[#Headers],[PMT NO]])-2)+DAY(LoanStartDate),"")</f>
        <v>44501</v>
      </c>
      <c r="D4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1956060.6147452497</v>
      </c>
      <c r="E40" s="19">
        <f>IF(PaymentSchedule345[[#This Row],[PMT NO]]&lt;&gt;"",ScheduledPayment,"")</f>
        <v>8991.2567468977813</v>
      </c>
      <c r="F4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4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40" s="19">
        <f>IF(PaymentSchedule345[[#This Row],[PMT NO]]&lt;&gt;"",PaymentSchedule345[[#This Row],[TOTAL PAYMENT]]-PaymentSchedule345[[#This Row],[INTEREST]],"")</f>
        <v>1656.0294416030947</v>
      </c>
      <c r="I40" s="19">
        <f>IF(PaymentSchedule345[[#This Row],[PMT NO]]&lt;&gt;"",PaymentSchedule345[[#This Row],[BEGINNING BALANCE]]*(InterestRate/PaymentsPerYear),"")</f>
        <v>7335.2273052946866</v>
      </c>
      <c r="J4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1954404.5853036467</v>
      </c>
      <c r="K40" s="19">
        <f>IF(PaymentSchedule345[[#This Row],[PMT NO]]&lt;&gt;"",SUM(INDEX(PaymentSchedule345[INTEREST],1,1):PaymentSchedule345[[#This Row],[INTEREST]]),"")</f>
        <v>215151.03096368184</v>
      </c>
    </row>
    <row r="41" spans="2:11" x14ac:dyDescent="0.3">
      <c r="B41" s="21">
        <f>IF(LoanIsGood,IF(ROW()-ROW(PaymentSchedule345[[#Headers],[PMT NO]])&gt;ScheduledNumberOfPayments,"",ROW()-ROW(PaymentSchedule345[[#Headers],[PMT NO]])),"")</f>
        <v>30</v>
      </c>
      <c r="C41" s="20">
        <f>IF(PaymentSchedule345[[#This Row],[PMT NO]]&lt;&gt;"",EOMONTH(LoanStartDate,ROW(PaymentSchedule345[[#This Row],[PMT NO]])-ROW(PaymentSchedule345[[#Headers],[PMT NO]])-2)+DAY(LoanStartDate),"")</f>
        <v>44531</v>
      </c>
      <c r="D4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1954404.5853036467</v>
      </c>
      <c r="E41" s="19">
        <f>IF(PaymentSchedule345[[#This Row],[PMT NO]]&lt;&gt;"",ScheduledPayment,"")</f>
        <v>8991.2567468977813</v>
      </c>
      <c r="F4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4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41" s="19">
        <f>IF(PaymentSchedule345[[#This Row],[PMT NO]]&lt;&gt;"",PaymentSchedule345[[#This Row],[TOTAL PAYMENT]]-PaymentSchedule345[[#This Row],[INTEREST]],"")</f>
        <v>1662.2395520091059</v>
      </c>
      <c r="I41" s="19">
        <f>IF(PaymentSchedule345[[#This Row],[PMT NO]]&lt;&gt;"",PaymentSchedule345[[#This Row],[BEGINNING BALANCE]]*(InterestRate/PaymentsPerYear),"")</f>
        <v>7329.0171948886755</v>
      </c>
      <c r="J4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1952742.3457516376</v>
      </c>
      <c r="K41" s="19">
        <f>IF(PaymentSchedule345[[#This Row],[PMT NO]]&lt;&gt;"",SUM(INDEX(PaymentSchedule345[INTEREST],1,1):PaymentSchedule345[[#This Row],[INTEREST]]),"")</f>
        <v>222480.04815857051</v>
      </c>
    </row>
    <row r="42" spans="2:11" x14ac:dyDescent="0.3">
      <c r="B42" s="21">
        <f>IF(LoanIsGood,IF(ROW()-ROW(PaymentSchedule345[[#Headers],[PMT NO]])&gt;ScheduledNumberOfPayments,"",ROW()-ROW(PaymentSchedule345[[#Headers],[PMT NO]])),"")</f>
        <v>31</v>
      </c>
      <c r="C42" s="20">
        <f>IF(PaymentSchedule345[[#This Row],[PMT NO]]&lt;&gt;"",EOMONTH(LoanStartDate,ROW(PaymentSchedule345[[#This Row],[PMT NO]])-ROW(PaymentSchedule345[[#Headers],[PMT NO]])-2)+DAY(LoanStartDate),"")</f>
        <v>44562</v>
      </c>
      <c r="D4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1952742.3457516376</v>
      </c>
      <c r="E42" s="19">
        <f>IF(PaymentSchedule345[[#This Row],[PMT NO]]&lt;&gt;"",ScheduledPayment,"")</f>
        <v>8991.2567468977813</v>
      </c>
      <c r="F4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4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42" s="19">
        <f>IF(PaymentSchedule345[[#This Row],[PMT NO]]&lt;&gt;"",PaymentSchedule345[[#This Row],[TOTAL PAYMENT]]-PaymentSchedule345[[#This Row],[INTEREST]],"")</f>
        <v>1668.472950329141</v>
      </c>
      <c r="I42" s="19">
        <f>IF(PaymentSchedule345[[#This Row],[PMT NO]]&lt;&gt;"",PaymentSchedule345[[#This Row],[BEGINNING BALANCE]]*(InterestRate/PaymentsPerYear),"")</f>
        <v>7322.7837965686404</v>
      </c>
      <c r="J4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1951073.8728013085</v>
      </c>
      <c r="K42" s="19">
        <f>IF(PaymentSchedule345[[#This Row],[PMT NO]]&lt;&gt;"",SUM(INDEX(PaymentSchedule345[INTEREST],1,1):PaymentSchedule345[[#This Row],[INTEREST]]),"")</f>
        <v>229802.83195513915</v>
      </c>
    </row>
    <row r="43" spans="2:11" x14ac:dyDescent="0.3">
      <c r="B43" s="21">
        <f>IF(LoanIsGood,IF(ROW()-ROW(PaymentSchedule345[[#Headers],[PMT NO]])&gt;ScheduledNumberOfPayments,"",ROW()-ROW(PaymentSchedule345[[#Headers],[PMT NO]])),"")</f>
        <v>32</v>
      </c>
      <c r="C43" s="20">
        <f>IF(PaymentSchedule345[[#This Row],[PMT NO]]&lt;&gt;"",EOMONTH(LoanStartDate,ROW(PaymentSchedule345[[#This Row],[PMT NO]])-ROW(PaymentSchedule345[[#Headers],[PMT NO]])-2)+DAY(LoanStartDate),"")</f>
        <v>44593</v>
      </c>
      <c r="D4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1951073.8728013085</v>
      </c>
      <c r="E43" s="19">
        <f>IF(PaymentSchedule345[[#This Row],[PMT NO]]&lt;&gt;"",ScheduledPayment,"")</f>
        <v>8991.2567468977813</v>
      </c>
      <c r="F4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4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43" s="19">
        <f>IF(PaymentSchedule345[[#This Row],[PMT NO]]&lt;&gt;"",PaymentSchedule345[[#This Row],[TOTAL PAYMENT]]-PaymentSchedule345[[#This Row],[INTEREST]],"")</f>
        <v>1674.729723892875</v>
      </c>
      <c r="I43" s="19">
        <f>IF(PaymentSchedule345[[#This Row],[PMT NO]]&lt;&gt;"",PaymentSchedule345[[#This Row],[BEGINNING BALANCE]]*(InterestRate/PaymentsPerYear),"")</f>
        <v>7316.5270230049064</v>
      </c>
      <c r="J4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1949399.1430774156</v>
      </c>
      <c r="K43" s="19">
        <f>IF(PaymentSchedule345[[#This Row],[PMT NO]]&lt;&gt;"",SUM(INDEX(PaymentSchedule345[INTEREST],1,1):PaymentSchedule345[[#This Row],[INTEREST]]),"")</f>
        <v>237119.35897814407</v>
      </c>
    </row>
    <row r="44" spans="2:11" x14ac:dyDescent="0.3">
      <c r="B44" s="21">
        <f>IF(LoanIsGood,IF(ROW()-ROW(PaymentSchedule345[[#Headers],[PMT NO]])&gt;ScheduledNumberOfPayments,"",ROW()-ROW(PaymentSchedule345[[#Headers],[PMT NO]])),"")</f>
        <v>33</v>
      </c>
      <c r="C44" s="20">
        <f>IF(PaymentSchedule345[[#This Row],[PMT NO]]&lt;&gt;"",EOMONTH(LoanStartDate,ROW(PaymentSchedule345[[#This Row],[PMT NO]])-ROW(PaymentSchedule345[[#Headers],[PMT NO]])-2)+DAY(LoanStartDate),"")</f>
        <v>44621</v>
      </c>
      <c r="D4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1949399.1430774156</v>
      </c>
      <c r="E44" s="19">
        <f>IF(PaymentSchedule345[[#This Row],[PMT NO]]&lt;&gt;"",ScheduledPayment,"")</f>
        <v>8991.2567468977813</v>
      </c>
      <c r="F4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4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44" s="19">
        <f>IF(PaymentSchedule345[[#This Row],[PMT NO]]&lt;&gt;"",PaymentSchedule345[[#This Row],[TOTAL PAYMENT]]-PaymentSchedule345[[#This Row],[INTEREST]],"")</f>
        <v>1681.0099603574727</v>
      </c>
      <c r="I44" s="19">
        <f>IF(PaymentSchedule345[[#This Row],[PMT NO]]&lt;&gt;"",PaymentSchedule345[[#This Row],[BEGINNING BALANCE]]*(InterestRate/PaymentsPerYear),"")</f>
        <v>7310.2467865403087</v>
      </c>
      <c r="J4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1947718.1331170581</v>
      </c>
      <c r="K44" s="19">
        <f>IF(PaymentSchedule345[[#This Row],[PMT NO]]&lt;&gt;"",SUM(INDEX(PaymentSchedule345[INTEREST],1,1):PaymentSchedule345[[#This Row],[INTEREST]]),"")</f>
        <v>244429.60576468438</v>
      </c>
    </row>
    <row r="45" spans="2:11" x14ac:dyDescent="0.3">
      <c r="B45" s="21">
        <f>IF(LoanIsGood,IF(ROW()-ROW(PaymentSchedule345[[#Headers],[PMT NO]])&gt;ScheduledNumberOfPayments,"",ROW()-ROW(PaymentSchedule345[[#Headers],[PMT NO]])),"")</f>
        <v>34</v>
      </c>
      <c r="C45" s="20">
        <f>IF(PaymentSchedule345[[#This Row],[PMT NO]]&lt;&gt;"",EOMONTH(LoanStartDate,ROW(PaymentSchedule345[[#This Row],[PMT NO]])-ROW(PaymentSchedule345[[#Headers],[PMT NO]])-2)+DAY(LoanStartDate),"")</f>
        <v>44652</v>
      </c>
      <c r="D4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1947718.1331170581</v>
      </c>
      <c r="E45" s="19">
        <f>IF(PaymentSchedule345[[#This Row],[PMT NO]]&lt;&gt;"",ScheduledPayment,"")</f>
        <v>8991.2567468977813</v>
      </c>
      <c r="F4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4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45" s="19">
        <f>IF(PaymentSchedule345[[#This Row],[PMT NO]]&lt;&gt;"",PaymentSchedule345[[#This Row],[TOTAL PAYMENT]]-PaymentSchedule345[[#This Row],[INTEREST]],"")</f>
        <v>1687.3137477088139</v>
      </c>
      <c r="I45" s="19">
        <f>IF(PaymentSchedule345[[#This Row],[PMT NO]]&lt;&gt;"",PaymentSchedule345[[#This Row],[BEGINNING BALANCE]]*(InterestRate/PaymentsPerYear),"")</f>
        <v>7303.9429991889674</v>
      </c>
      <c r="J4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1946030.8193693492</v>
      </c>
      <c r="K45" s="19">
        <f>IF(PaymentSchedule345[[#This Row],[PMT NO]]&lt;&gt;"",SUM(INDEX(PaymentSchedule345[INTEREST],1,1):PaymentSchedule345[[#This Row],[INTEREST]]),"")</f>
        <v>251733.54876387335</v>
      </c>
    </row>
    <row r="46" spans="2:11" x14ac:dyDescent="0.3">
      <c r="B46" s="21">
        <f>IF(LoanIsGood,IF(ROW()-ROW(PaymentSchedule345[[#Headers],[PMT NO]])&gt;ScheduledNumberOfPayments,"",ROW()-ROW(PaymentSchedule345[[#Headers],[PMT NO]])),"")</f>
        <v>35</v>
      </c>
      <c r="C46" s="20">
        <f>IF(PaymentSchedule345[[#This Row],[PMT NO]]&lt;&gt;"",EOMONTH(LoanStartDate,ROW(PaymentSchedule345[[#This Row],[PMT NO]])-ROW(PaymentSchedule345[[#Headers],[PMT NO]])-2)+DAY(LoanStartDate),"")</f>
        <v>44682</v>
      </c>
      <c r="D4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1946030.8193693492</v>
      </c>
      <c r="E46" s="19">
        <f>IF(PaymentSchedule345[[#This Row],[PMT NO]]&lt;&gt;"",ScheduledPayment,"")</f>
        <v>8991.2567468977813</v>
      </c>
      <c r="F4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4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46" s="19">
        <f>IF(PaymentSchedule345[[#This Row],[PMT NO]]&lt;&gt;"",PaymentSchedule345[[#This Row],[TOTAL PAYMENT]]-PaymentSchedule345[[#This Row],[INTEREST]],"")</f>
        <v>1693.6411742627224</v>
      </c>
      <c r="I46" s="19">
        <f>IF(PaymentSchedule345[[#This Row],[PMT NO]]&lt;&gt;"",PaymentSchedule345[[#This Row],[BEGINNING BALANCE]]*(InterestRate/PaymentsPerYear),"")</f>
        <v>7297.6155726350589</v>
      </c>
      <c r="J4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1944337.1781950865</v>
      </c>
      <c r="K46" s="19">
        <f>IF(PaymentSchedule345[[#This Row],[PMT NO]]&lt;&gt;"",SUM(INDEX(PaymentSchedule345[INTEREST],1,1):PaymentSchedule345[[#This Row],[INTEREST]]),"")</f>
        <v>259031.1643365084</v>
      </c>
    </row>
    <row r="47" spans="2:11" x14ac:dyDescent="0.3">
      <c r="B47" s="21">
        <f>IF(LoanIsGood,IF(ROW()-ROW(PaymentSchedule345[[#Headers],[PMT NO]])&gt;ScheduledNumberOfPayments,"",ROW()-ROW(PaymentSchedule345[[#Headers],[PMT NO]])),"")</f>
        <v>36</v>
      </c>
      <c r="C47" s="20">
        <f>IF(PaymentSchedule345[[#This Row],[PMT NO]]&lt;&gt;"",EOMONTH(LoanStartDate,ROW(PaymentSchedule345[[#This Row],[PMT NO]])-ROW(PaymentSchedule345[[#Headers],[PMT NO]])-2)+DAY(LoanStartDate),"")</f>
        <v>44713</v>
      </c>
      <c r="D4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1944337.1781950865</v>
      </c>
      <c r="E47" s="19">
        <f>IF(PaymentSchedule345[[#This Row],[PMT NO]]&lt;&gt;"",ScheduledPayment,"")</f>
        <v>8991.2567468977813</v>
      </c>
      <c r="F4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4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47" s="19">
        <f>IF(PaymentSchedule345[[#This Row],[PMT NO]]&lt;&gt;"",PaymentSchedule345[[#This Row],[TOTAL PAYMENT]]-PaymentSchedule345[[#This Row],[INTEREST]],"")</f>
        <v>1699.992328666207</v>
      </c>
      <c r="I47" s="19">
        <f>IF(PaymentSchedule345[[#This Row],[PMT NO]]&lt;&gt;"",PaymentSchedule345[[#This Row],[BEGINNING BALANCE]]*(InterestRate/PaymentsPerYear),"")</f>
        <v>7291.2644182315744</v>
      </c>
      <c r="J4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1942637.1858664204</v>
      </c>
      <c r="K47" s="19">
        <f>IF(PaymentSchedule345[[#This Row],[PMT NO]]&lt;&gt;"",SUM(INDEX(PaymentSchedule345[INTEREST],1,1):PaymentSchedule345[[#This Row],[INTEREST]]),"")</f>
        <v>266322.42875473999</v>
      </c>
    </row>
    <row r="48" spans="2:11" x14ac:dyDescent="0.3">
      <c r="B48" s="21">
        <f>IF(LoanIsGood,IF(ROW()-ROW(PaymentSchedule345[[#Headers],[PMT NO]])&gt;ScheduledNumberOfPayments,"",ROW()-ROW(PaymentSchedule345[[#Headers],[PMT NO]])),"")</f>
        <v>37</v>
      </c>
      <c r="C48" s="20">
        <f>IF(PaymentSchedule345[[#This Row],[PMT NO]]&lt;&gt;"",EOMONTH(LoanStartDate,ROW(PaymentSchedule345[[#This Row],[PMT NO]])-ROW(PaymentSchedule345[[#Headers],[PMT NO]])-2)+DAY(LoanStartDate),"")</f>
        <v>44743</v>
      </c>
      <c r="D4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1942637.1858664204</v>
      </c>
      <c r="E48" s="19">
        <f>IF(PaymentSchedule345[[#This Row],[PMT NO]]&lt;&gt;"",ScheduledPayment,"")</f>
        <v>8991.2567468977813</v>
      </c>
      <c r="F4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4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48" s="19">
        <f>IF(PaymentSchedule345[[#This Row],[PMT NO]]&lt;&gt;"",PaymentSchedule345[[#This Row],[TOTAL PAYMENT]]-PaymentSchedule345[[#This Row],[INTEREST]],"")</f>
        <v>1706.3672998987049</v>
      </c>
      <c r="I48" s="19">
        <f>IF(PaymentSchedule345[[#This Row],[PMT NO]]&lt;&gt;"",PaymentSchedule345[[#This Row],[BEGINNING BALANCE]]*(InterestRate/PaymentsPerYear),"")</f>
        <v>7284.8894469990764</v>
      </c>
      <c r="J4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1940930.8185665216</v>
      </c>
      <c r="K48" s="19">
        <f>IF(PaymentSchedule345[[#This Row],[PMT NO]]&lt;&gt;"",SUM(INDEX(PaymentSchedule345[INTEREST],1,1):PaymentSchedule345[[#This Row],[INTEREST]]),"")</f>
        <v>273607.31820173905</v>
      </c>
    </row>
    <row r="49" spans="2:11" x14ac:dyDescent="0.3">
      <c r="B49" s="21">
        <f>IF(LoanIsGood,IF(ROW()-ROW(PaymentSchedule345[[#Headers],[PMT NO]])&gt;ScheduledNumberOfPayments,"",ROW()-ROW(PaymentSchedule345[[#Headers],[PMT NO]])),"")</f>
        <v>38</v>
      </c>
      <c r="C49" s="20">
        <f>IF(PaymentSchedule345[[#This Row],[PMT NO]]&lt;&gt;"",EOMONTH(LoanStartDate,ROW(PaymentSchedule345[[#This Row],[PMT NO]])-ROW(PaymentSchedule345[[#Headers],[PMT NO]])-2)+DAY(LoanStartDate),"")</f>
        <v>44774</v>
      </c>
      <c r="D4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1940930.8185665216</v>
      </c>
      <c r="E49" s="19">
        <f>IF(PaymentSchedule345[[#This Row],[PMT NO]]&lt;&gt;"",ScheduledPayment,"")</f>
        <v>8991.2567468977813</v>
      </c>
      <c r="F4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4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49" s="19">
        <f>IF(PaymentSchedule345[[#This Row],[PMT NO]]&lt;&gt;"",PaymentSchedule345[[#This Row],[TOTAL PAYMENT]]-PaymentSchedule345[[#This Row],[INTEREST]],"")</f>
        <v>1712.7661772733254</v>
      </c>
      <c r="I49" s="19">
        <f>IF(PaymentSchedule345[[#This Row],[PMT NO]]&lt;&gt;"",PaymentSchedule345[[#This Row],[BEGINNING BALANCE]]*(InterestRate/PaymentsPerYear),"")</f>
        <v>7278.4905696244559</v>
      </c>
      <c r="J4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1939218.0523892483</v>
      </c>
      <c r="K49" s="19">
        <f>IF(PaymentSchedule345[[#This Row],[PMT NO]]&lt;&gt;"",SUM(INDEX(PaymentSchedule345[INTEREST],1,1):PaymentSchedule345[[#This Row],[INTEREST]]),"")</f>
        <v>280885.80877136352</v>
      </c>
    </row>
    <row r="50" spans="2:11" x14ac:dyDescent="0.3">
      <c r="B50" s="21">
        <f>IF(LoanIsGood,IF(ROW()-ROW(PaymentSchedule345[[#Headers],[PMT NO]])&gt;ScheduledNumberOfPayments,"",ROW()-ROW(PaymentSchedule345[[#Headers],[PMT NO]])),"")</f>
        <v>39</v>
      </c>
      <c r="C50" s="20">
        <f>IF(PaymentSchedule345[[#This Row],[PMT NO]]&lt;&gt;"",EOMONTH(LoanStartDate,ROW(PaymentSchedule345[[#This Row],[PMT NO]])-ROW(PaymentSchedule345[[#Headers],[PMT NO]])-2)+DAY(LoanStartDate),"")</f>
        <v>44805</v>
      </c>
      <c r="D5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1939218.0523892483</v>
      </c>
      <c r="E50" s="19">
        <f>IF(PaymentSchedule345[[#This Row],[PMT NO]]&lt;&gt;"",ScheduledPayment,"")</f>
        <v>8991.2567468977813</v>
      </c>
      <c r="F5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5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50" s="19">
        <f>IF(PaymentSchedule345[[#This Row],[PMT NO]]&lt;&gt;"",PaymentSchedule345[[#This Row],[TOTAL PAYMENT]]-PaymentSchedule345[[#This Row],[INTEREST]],"")</f>
        <v>1719.1890504381008</v>
      </c>
      <c r="I50" s="19">
        <f>IF(PaymentSchedule345[[#This Row],[PMT NO]]&lt;&gt;"",PaymentSchedule345[[#This Row],[BEGINNING BALANCE]]*(InterestRate/PaymentsPerYear),"")</f>
        <v>7272.0676964596805</v>
      </c>
      <c r="J5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1937498.8633388102</v>
      </c>
      <c r="K50" s="19">
        <f>IF(PaymentSchedule345[[#This Row],[PMT NO]]&lt;&gt;"",SUM(INDEX(PaymentSchedule345[INTEREST],1,1):PaymentSchedule345[[#This Row],[INTEREST]]),"")</f>
        <v>288157.87646782323</v>
      </c>
    </row>
    <row r="51" spans="2:11" x14ac:dyDescent="0.3">
      <c r="B51" s="21">
        <f>IF(LoanIsGood,IF(ROW()-ROW(PaymentSchedule345[[#Headers],[PMT NO]])&gt;ScheduledNumberOfPayments,"",ROW()-ROW(PaymentSchedule345[[#Headers],[PMT NO]])),"")</f>
        <v>40</v>
      </c>
      <c r="C51" s="20">
        <f>IF(PaymentSchedule345[[#This Row],[PMT NO]]&lt;&gt;"",EOMONTH(LoanStartDate,ROW(PaymentSchedule345[[#This Row],[PMT NO]])-ROW(PaymentSchedule345[[#Headers],[PMT NO]])-2)+DAY(LoanStartDate),"")</f>
        <v>44835</v>
      </c>
      <c r="D5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1937498.8633388102</v>
      </c>
      <c r="E51" s="19">
        <f>IF(PaymentSchedule345[[#This Row],[PMT NO]]&lt;&gt;"",ScheduledPayment,"")</f>
        <v>8991.2567468977813</v>
      </c>
      <c r="F5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5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51" s="19">
        <f>IF(PaymentSchedule345[[#This Row],[PMT NO]]&lt;&gt;"",PaymentSchedule345[[#This Row],[TOTAL PAYMENT]]-PaymentSchedule345[[#This Row],[INTEREST]],"")</f>
        <v>1725.6360093772437</v>
      </c>
      <c r="I51" s="19">
        <f>IF(PaymentSchedule345[[#This Row],[PMT NO]]&lt;&gt;"",PaymentSchedule345[[#This Row],[BEGINNING BALANCE]]*(InterestRate/PaymentsPerYear),"")</f>
        <v>7265.6207375205377</v>
      </c>
      <c r="J5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1935773.227329433</v>
      </c>
      <c r="K51" s="19">
        <f>IF(PaymentSchedule345[[#This Row],[PMT NO]]&lt;&gt;"",SUM(INDEX(PaymentSchedule345[INTEREST],1,1):PaymentSchedule345[[#This Row],[INTEREST]]),"")</f>
        <v>295423.49720534374</v>
      </c>
    </row>
    <row r="52" spans="2:11" x14ac:dyDescent="0.3">
      <c r="B52" s="21">
        <f>IF(LoanIsGood,IF(ROW()-ROW(PaymentSchedule345[[#Headers],[PMT NO]])&gt;ScheduledNumberOfPayments,"",ROW()-ROW(PaymentSchedule345[[#Headers],[PMT NO]])),"")</f>
        <v>41</v>
      </c>
      <c r="C52" s="20">
        <f>IF(PaymentSchedule345[[#This Row],[PMT NO]]&lt;&gt;"",EOMONTH(LoanStartDate,ROW(PaymentSchedule345[[#This Row],[PMT NO]])-ROW(PaymentSchedule345[[#Headers],[PMT NO]])-2)+DAY(LoanStartDate),"")</f>
        <v>44866</v>
      </c>
      <c r="D5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1935773.227329433</v>
      </c>
      <c r="E52" s="19">
        <f>IF(PaymentSchedule345[[#This Row],[PMT NO]]&lt;&gt;"",ScheduledPayment,"")</f>
        <v>8991.2567468977813</v>
      </c>
      <c r="F5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5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52" s="19">
        <f>IF(PaymentSchedule345[[#This Row],[PMT NO]]&lt;&gt;"",PaymentSchedule345[[#This Row],[TOTAL PAYMENT]]-PaymentSchedule345[[#This Row],[INTEREST]],"")</f>
        <v>1732.1071444124082</v>
      </c>
      <c r="I52" s="19">
        <f>IF(PaymentSchedule345[[#This Row],[PMT NO]]&lt;&gt;"",PaymentSchedule345[[#This Row],[BEGINNING BALANCE]]*(InterestRate/PaymentsPerYear),"")</f>
        <v>7259.1496024853732</v>
      </c>
      <c r="J5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1934041.1201850206</v>
      </c>
      <c r="K52" s="19">
        <f>IF(PaymentSchedule345[[#This Row],[PMT NO]]&lt;&gt;"",SUM(INDEX(PaymentSchedule345[INTEREST],1,1):PaymentSchedule345[[#This Row],[INTEREST]]),"")</f>
        <v>302682.64680782909</v>
      </c>
    </row>
    <row r="53" spans="2:11" x14ac:dyDescent="0.3">
      <c r="B53" s="21">
        <f>IF(LoanIsGood,IF(ROW()-ROW(PaymentSchedule345[[#Headers],[PMT NO]])&gt;ScheduledNumberOfPayments,"",ROW()-ROW(PaymentSchedule345[[#Headers],[PMT NO]])),"")</f>
        <v>42</v>
      </c>
      <c r="C53" s="20">
        <f>IF(PaymentSchedule345[[#This Row],[PMT NO]]&lt;&gt;"",EOMONTH(LoanStartDate,ROW(PaymentSchedule345[[#This Row],[PMT NO]])-ROW(PaymentSchedule345[[#Headers],[PMT NO]])-2)+DAY(LoanStartDate),"")</f>
        <v>44896</v>
      </c>
      <c r="D5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1934041.1201850206</v>
      </c>
      <c r="E53" s="19">
        <f>IF(PaymentSchedule345[[#This Row],[PMT NO]]&lt;&gt;"",ScheduledPayment,"")</f>
        <v>8991.2567468977813</v>
      </c>
      <c r="F5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5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53" s="19">
        <f>IF(PaymentSchedule345[[#This Row],[PMT NO]]&lt;&gt;"",PaymentSchedule345[[#This Row],[TOTAL PAYMENT]]-PaymentSchedule345[[#This Row],[INTEREST]],"")</f>
        <v>1738.6025462039543</v>
      </c>
      <c r="I53" s="19">
        <f>IF(PaymentSchedule345[[#This Row],[PMT NO]]&lt;&gt;"",PaymentSchedule345[[#This Row],[BEGINNING BALANCE]]*(InterestRate/PaymentsPerYear),"")</f>
        <v>7252.6542006938271</v>
      </c>
      <c r="J5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1932302.5176388167</v>
      </c>
      <c r="K53" s="19">
        <f>IF(PaymentSchedule345[[#This Row],[PMT NO]]&lt;&gt;"",SUM(INDEX(PaymentSchedule345[INTEREST],1,1):PaymentSchedule345[[#This Row],[INTEREST]]),"")</f>
        <v>309935.30100852292</v>
      </c>
    </row>
    <row r="54" spans="2:11" x14ac:dyDescent="0.3">
      <c r="B54" s="21">
        <f>IF(LoanIsGood,IF(ROW()-ROW(PaymentSchedule345[[#Headers],[PMT NO]])&gt;ScheduledNumberOfPayments,"",ROW()-ROW(PaymentSchedule345[[#Headers],[PMT NO]])),"")</f>
        <v>43</v>
      </c>
      <c r="C54" s="20">
        <f>IF(PaymentSchedule345[[#This Row],[PMT NO]]&lt;&gt;"",EOMONTH(LoanStartDate,ROW(PaymentSchedule345[[#This Row],[PMT NO]])-ROW(PaymentSchedule345[[#Headers],[PMT NO]])-2)+DAY(LoanStartDate),"")</f>
        <v>44927</v>
      </c>
      <c r="D5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1932302.5176388167</v>
      </c>
      <c r="E54" s="19">
        <f>IF(PaymentSchedule345[[#This Row],[PMT NO]]&lt;&gt;"",ScheduledPayment,"")</f>
        <v>8991.2567468977813</v>
      </c>
      <c r="F5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5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54" s="19">
        <f>IF(PaymentSchedule345[[#This Row],[PMT NO]]&lt;&gt;"",PaymentSchedule345[[#This Row],[TOTAL PAYMENT]]-PaymentSchedule345[[#This Row],[INTEREST]],"")</f>
        <v>1745.1223057522193</v>
      </c>
      <c r="I54" s="19">
        <f>IF(PaymentSchedule345[[#This Row],[PMT NO]]&lt;&gt;"",PaymentSchedule345[[#This Row],[BEGINNING BALANCE]]*(InterestRate/PaymentsPerYear),"")</f>
        <v>7246.1344411455621</v>
      </c>
      <c r="J5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1930557.3953330645</v>
      </c>
      <c r="K54" s="19">
        <f>IF(PaymentSchedule345[[#This Row],[PMT NO]]&lt;&gt;"",SUM(INDEX(PaymentSchedule345[INTEREST],1,1):PaymentSchedule345[[#This Row],[INTEREST]]),"")</f>
        <v>317181.4354496685</v>
      </c>
    </row>
    <row r="55" spans="2:11" x14ac:dyDescent="0.3">
      <c r="B55" s="21">
        <f>IF(LoanIsGood,IF(ROW()-ROW(PaymentSchedule345[[#Headers],[PMT NO]])&gt;ScheduledNumberOfPayments,"",ROW()-ROW(PaymentSchedule345[[#Headers],[PMT NO]])),"")</f>
        <v>44</v>
      </c>
      <c r="C55" s="20">
        <f>IF(PaymentSchedule345[[#This Row],[PMT NO]]&lt;&gt;"",EOMONTH(LoanStartDate,ROW(PaymentSchedule345[[#This Row],[PMT NO]])-ROW(PaymentSchedule345[[#Headers],[PMT NO]])-2)+DAY(LoanStartDate),"")</f>
        <v>44958</v>
      </c>
      <c r="D5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1930557.3953330645</v>
      </c>
      <c r="E55" s="19">
        <f>IF(PaymentSchedule345[[#This Row],[PMT NO]]&lt;&gt;"",ScheduledPayment,"")</f>
        <v>8991.2567468977813</v>
      </c>
      <c r="F5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5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55" s="19">
        <f>IF(PaymentSchedule345[[#This Row],[PMT NO]]&lt;&gt;"",PaymentSchedule345[[#This Row],[TOTAL PAYMENT]]-PaymentSchedule345[[#This Row],[INTEREST]],"")</f>
        <v>1751.6665143987893</v>
      </c>
      <c r="I55" s="19">
        <f>IF(PaymentSchedule345[[#This Row],[PMT NO]]&lt;&gt;"",PaymentSchedule345[[#This Row],[BEGINNING BALANCE]]*(InterestRate/PaymentsPerYear),"")</f>
        <v>7239.590232498992</v>
      </c>
      <c r="J5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1928805.7288186657</v>
      </c>
      <c r="K55" s="19">
        <f>IF(PaymentSchedule345[[#This Row],[PMT NO]]&lt;&gt;"",SUM(INDEX(PaymentSchedule345[INTEREST],1,1):PaymentSchedule345[[#This Row],[INTEREST]]),"")</f>
        <v>324421.0256821675</v>
      </c>
    </row>
    <row r="56" spans="2:11" x14ac:dyDescent="0.3">
      <c r="B56" s="21">
        <f>IF(LoanIsGood,IF(ROW()-ROW(PaymentSchedule345[[#Headers],[PMT NO]])&gt;ScheduledNumberOfPayments,"",ROW()-ROW(PaymentSchedule345[[#Headers],[PMT NO]])),"")</f>
        <v>45</v>
      </c>
      <c r="C56" s="20">
        <f>IF(PaymentSchedule345[[#This Row],[PMT NO]]&lt;&gt;"",EOMONTH(LoanStartDate,ROW(PaymentSchedule345[[#This Row],[PMT NO]])-ROW(PaymentSchedule345[[#Headers],[PMT NO]])-2)+DAY(LoanStartDate),"")</f>
        <v>44986</v>
      </c>
      <c r="D5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1928805.7288186657</v>
      </c>
      <c r="E56" s="19">
        <f>IF(PaymentSchedule345[[#This Row],[PMT NO]]&lt;&gt;"",ScheduledPayment,"")</f>
        <v>8991.2567468977813</v>
      </c>
      <c r="F5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5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56" s="19">
        <f>IF(PaymentSchedule345[[#This Row],[PMT NO]]&lt;&gt;"",PaymentSchedule345[[#This Row],[TOTAL PAYMENT]]-PaymentSchedule345[[#This Row],[INTEREST]],"")</f>
        <v>1758.2352638277853</v>
      </c>
      <c r="I56" s="19">
        <f>IF(PaymentSchedule345[[#This Row],[PMT NO]]&lt;&gt;"",PaymentSchedule345[[#This Row],[BEGINNING BALANCE]]*(InterestRate/PaymentsPerYear),"")</f>
        <v>7233.0214830699961</v>
      </c>
      <c r="J5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1927047.493554838</v>
      </c>
      <c r="K56" s="19">
        <f>IF(PaymentSchedule345[[#This Row],[PMT NO]]&lt;&gt;"",SUM(INDEX(PaymentSchedule345[INTEREST],1,1):PaymentSchedule345[[#This Row],[INTEREST]]),"")</f>
        <v>331654.04716523748</v>
      </c>
    </row>
    <row r="57" spans="2:11" x14ac:dyDescent="0.3">
      <c r="B57" s="21">
        <f>IF(LoanIsGood,IF(ROW()-ROW(PaymentSchedule345[[#Headers],[PMT NO]])&gt;ScheduledNumberOfPayments,"",ROW()-ROW(PaymentSchedule345[[#Headers],[PMT NO]])),"")</f>
        <v>46</v>
      </c>
      <c r="C57" s="20">
        <f>IF(PaymentSchedule345[[#This Row],[PMT NO]]&lt;&gt;"",EOMONTH(LoanStartDate,ROW(PaymentSchedule345[[#This Row],[PMT NO]])-ROW(PaymentSchedule345[[#Headers],[PMT NO]])-2)+DAY(LoanStartDate),"")</f>
        <v>45017</v>
      </c>
      <c r="D5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1927047.493554838</v>
      </c>
      <c r="E57" s="19">
        <f>IF(PaymentSchedule345[[#This Row],[PMT NO]]&lt;&gt;"",ScheduledPayment,"")</f>
        <v>8991.2567468977813</v>
      </c>
      <c r="F5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5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57" s="19">
        <f>IF(PaymentSchedule345[[#This Row],[PMT NO]]&lt;&gt;"",PaymentSchedule345[[#This Row],[TOTAL PAYMENT]]-PaymentSchedule345[[#This Row],[INTEREST]],"")</f>
        <v>1764.8286460671388</v>
      </c>
      <c r="I57" s="19">
        <f>IF(PaymentSchedule345[[#This Row],[PMT NO]]&lt;&gt;"",PaymentSchedule345[[#This Row],[BEGINNING BALANCE]]*(InterestRate/PaymentsPerYear),"")</f>
        <v>7226.4281008306425</v>
      </c>
      <c r="J5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1925282.6649087709</v>
      </c>
      <c r="K57" s="19">
        <f>IF(PaymentSchedule345[[#This Row],[PMT NO]]&lt;&gt;"",SUM(INDEX(PaymentSchedule345[INTEREST],1,1):PaymentSchedule345[[#This Row],[INTEREST]]),"")</f>
        <v>338880.47526606813</v>
      </c>
    </row>
    <row r="58" spans="2:11" x14ac:dyDescent="0.3">
      <c r="B58" s="21">
        <f>IF(LoanIsGood,IF(ROW()-ROW(PaymentSchedule345[[#Headers],[PMT NO]])&gt;ScheduledNumberOfPayments,"",ROW()-ROW(PaymentSchedule345[[#Headers],[PMT NO]])),"")</f>
        <v>47</v>
      </c>
      <c r="C58" s="20">
        <f>IF(PaymentSchedule345[[#This Row],[PMT NO]]&lt;&gt;"",EOMONTH(LoanStartDate,ROW(PaymentSchedule345[[#This Row],[PMT NO]])-ROW(PaymentSchedule345[[#Headers],[PMT NO]])-2)+DAY(LoanStartDate),"")</f>
        <v>45047</v>
      </c>
      <c r="D5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1925282.6649087709</v>
      </c>
      <c r="E58" s="19">
        <f>IF(PaymentSchedule345[[#This Row],[PMT NO]]&lt;&gt;"",ScheduledPayment,"")</f>
        <v>8991.2567468977813</v>
      </c>
      <c r="F5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5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58" s="19">
        <f>IF(PaymentSchedule345[[#This Row],[PMT NO]]&lt;&gt;"",PaymentSchedule345[[#This Row],[TOTAL PAYMENT]]-PaymentSchedule345[[#This Row],[INTEREST]],"")</f>
        <v>1771.4467534898904</v>
      </c>
      <c r="I58" s="19">
        <f>IF(PaymentSchedule345[[#This Row],[PMT NO]]&lt;&gt;"",PaymentSchedule345[[#This Row],[BEGINNING BALANCE]]*(InterestRate/PaymentsPerYear),"")</f>
        <v>7219.8099934078909</v>
      </c>
      <c r="J5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1923511.2181552812</v>
      </c>
      <c r="K58" s="19">
        <f>IF(PaymentSchedule345[[#This Row],[PMT NO]]&lt;&gt;"",SUM(INDEX(PaymentSchedule345[INTEREST],1,1):PaymentSchedule345[[#This Row],[INTEREST]]),"")</f>
        <v>346100.28525947599</v>
      </c>
    </row>
    <row r="59" spans="2:11" x14ac:dyDescent="0.3">
      <c r="B59" s="21">
        <f>IF(LoanIsGood,IF(ROW()-ROW(PaymentSchedule345[[#Headers],[PMT NO]])&gt;ScheduledNumberOfPayments,"",ROW()-ROW(PaymentSchedule345[[#Headers],[PMT NO]])),"")</f>
        <v>48</v>
      </c>
      <c r="C59" s="20">
        <f>IF(PaymentSchedule345[[#This Row],[PMT NO]]&lt;&gt;"",EOMONTH(LoanStartDate,ROW(PaymentSchedule345[[#This Row],[PMT NO]])-ROW(PaymentSchedule345[[#Headers],[PMT NO]])-2)+DAY(LoanStartDate),"")</f>
        <v>45078</v>
      </c>
      <c r="D5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1923511.2181552812</v>
      </c>
      <c r="E59" s="19">
        <f>IF(PaymentSchedule345[[#This Row],[PMT NO]]&lt;&gt;"",ScheduledPayment,"")</f>
        <v>8991.2567468977813</v>
      </c>
      <c r="F5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5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59" s="19">
        <f>IF(PaymentSchedule345[[#This Row],[PMT NO]]&lt;&gt;"",PaymentSchedule345[[#This Row],[TOTAL PAYMENT]]-PaymentSchedule345[[#This Row],[INTEREST]],"")</f>
        <v>1778.0896788154769</v>
      </c>
      <c r="I59" s="19">
        <f>IF(PaymentSchedule345[[#This Row],[PMT NO]]&lt;&gt;"",PaymentSchedule345[[#This Row],[BEGINNING BALANCE]]*(InterestRate/PaymentsPerYear),"")</f>
        <v>7213.1670680823045</v>
      </c>
      <c r="J5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1921733.1284764656</v>
      </c>
      <c r="K59" s="19">
        <f>IF(PaymentSchedule345[[#This Row],[PMT NO]]&lt;&gt;"",SUM(INDEX(PaymentSchedule345[INTEREST],1,1):PaymentSchedule345[[#This Row],[INTEREST]]),"")</f>
        <v>353313.45232755831</v>
      </c>
    </row>
    <row r="60" spans="2:11" x14ac:dyDescent="0.3">
      <c r="B60" s="21">
        <f>IF(LoanIsGood,IF(ROW()-ROW(PaymentSchedule345[[#Headers],[PMT NO]])&gt;ScheduledNumberOfPayments,"",ROW()-ROW(PaymentSchedule345[[#Headers],[PMT NO]])),"")</f>
        <v>49</v>
      </c>
      <c r="C60" s="20">
        <f>IF(PaymentSchedule345[[#This Row],[PMT NO]]&lt;&gt;"",EOMONTH(LoanStartDate,ROW(PaymentSchedule345[[#This Row],[PMT NO]])-ROW(PaymentSchedule345[[#Headers],[PMT NO]])-2)+DAY(LoanStartDate),"")</f>
        <v>45108</v>
      </c>
      <c r="D6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1921733.1284764656</v>
      </c>
      <c r="E60" s="19">
        <f>IF(PaymentSchedule345[[#This Row],[PMT NO]]&lt;&gt;"",ScheduledPayment,"")</f>
        <v>8991.2567468977813</v>
      </c>
      <c r="F6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6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60" s="19">
        <f>IF(PaymentSchedule345[[#This Row],[PMT NO]]&lt;&gt;"",PaymentSchedule345[[#This Row],[TOTAL PAYMENT]]-PaymentSchedule345[[#This Row],[INTEREST]],"")</f>
        <v>1784.7575151110359</v>
      </c>
      <c r="I60" s="19">
        <f>IF(PaymentSchedule345[[#This Row],[PMT NO]]&lt;&gt;"",PaymentSchedule345[[#This Row],[BEGINNING BALANCE]]*(InterestRate/PaymentsPerYear),"")</f>
        <v>7206.4992317867454</v>
      </c>
      <c r="J6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1919948.3709613546</v>
      </c>
      <c r="K60" s="19">
        <f>IF(PaymentSchedule345[[#This Row],[PMT NO]]&lt;&gt;"",SUM(INDEX(PaymentSchedule345[INTEREST],1,1):PaymentSchedule345[[#This Row],[INTEREST]]),"")</f>
        <v>360519.95155934506</v>
      </c>
    </row>
    <row r="61" spans="2:11" x14ac:dyDescent="0.3">
      <c r="B61" s="21">
        <f>IF(LoanIsGood,IF(ROW()-ROW(PaymentSchedule345[[#Headers],[PMT NO]])&gt;ScheduledNumberOfPayments,"",ROW()-ROW(PaymentSchedule345[[#Headers],[PMT NO]])),"")</f>
        <v>50</v>
      </c>
      <c r="C61" s="20">
        <f>IF(PaymentSchedule345[[#This Row],[PMT NO]]&lt;&gt;"",EOMONTH(LoanStartDate,ROW(PaymentSchedule345[[#This Row],[PMT NO]])-ROW(PaymentSchedule345[[#Headers],[PMT NO]])-2)+DAY(LoanStartDate),"")</f>
        <v>45139</v>
      </c>
      <c r="D6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1919948.3709613546</v>
      </c>
      <c r="E61" s="19">
        <f>IF(PaymentSchedule345[[#This Row],[PMT NO]]&lt;&gt;"",ScheduledPayment,"")</f>
        <v>8991.2567468977813</v>
      </c>
      <c r="F6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6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61" s="19">
        <f>IF(PaymentSchedule345[[#This Row],[PMT NO]]&lt;&gt;"",PaymentSchedule345[[#This Row],[TOTAL PAYMENT]]-PaymentSchedule345[[#This Row],[INTEREST]],"")</f>
        <v>1791.4503557927019</v>
      </c>
      <c r="I61" s="19">
        <f>IF(PaymentSchedule345[[#This Row],[PMT NO]]&lt;&gt;"",PaymentSchedule345[[#This Row],[BEGINNING BALANCE]]*(InterestRate/PaymentsPerYear),"")</f>
        <v>7199.8063911050795</v>
      </c>
      <c r="J6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1918156.9206055619</v>
      </c>
      <c r="K61" s="19">
        <f>IF(PaymentSchedule345[[#This Row],[PMT NO]]&lt;&gt;"",SUM(INDEX(PaymentSchedule345[INTEREST],1,1):PaymentSchedule345[[#This Row],[INTEREST]]),"")</f>
        <v>367719.75795045012</v>
      </c>
    </row>
    <row r="62" spans="2:11" x14ac:dyDescent="0.3">
      <c r="B62" s="21">
        <f>IF(LoanIsGood,IF(ROW()-ROW(PaymentSchedule345[[#Headers],[PMT NO]])&gt;ScheduledNumberOfPayments,"",ROW()-ROW(PaymentSchedule345[[#Headers],[PMT NO]])),"")</f>
        <v>51</v>
      </c>
      <c r="C62" s="20">
        <f>IF(PaymentSchedule345[[#This Row],[PMT NO]]&lt;&gt;"",EOMONTH(LoanStartDate,ROW(PaymentSchedule345[[#This Row],[PMT NO]])-ROW(PaymentSchedule345[[#Headers],[PMT NO]])-2)+DAY(LoanStartDate),"")</f>
        <v>45170</v>
      </c>
      <c r="D6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1918156.9206055619</v>
      </c>
      <c r="E62" s="19">
        <f>IF(PaymentSchedule345[[#This Row],[PMT NO]]&lt;&gt;"",ScheduledPayment,"")</f>
        <v>8991.2567468977813</v>
      </c>
      <c r="F6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6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62" s="19">
        <f>IF(PaymentSchedule345[[#This Row],[PMT NO]]&lt;&gt;"",PaymentSchedule345[[#This Row],[TOTAL PAYMENT]]-PaymentSchedule345[[#This Row],[INTEREST]],"")</f>
        <v>1798.1682946269248</v>
      </c>
      <c r="I62" s="19">
        <f>IF(PaymentSchedule345[[#This Row],[PMT NO]]&lt;&gt;"",PaymentSchedule345[[#This Row],[BEGINNING BALANCE]]*(InterestRate/PaymentsPerYear),"")</f>
        <v>7193.0884522708566</v>
      </c>
      <c r="J6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1916358.7523109349</v>
      </c>
      <c r="K62" s="19">
        <f>IF(PaymentSchedule345[[#This Row],[PMT NO]]&lt;&gt;"",SUM(INDEX(PaymentSchedule345[INTEREST],1,1):PaymentSchedule345[[#This Row],[INTEREST]]),"")</f>
        <v>374912.84640272096</v>
      </c>
    </row>
    <row r="63" spans="2:11" x14ac:dyDescent="0.3">
      <c r="B63" s="21">
        <f>IF(LoanIsGood,IF(ROW()-ROW(PaymentSchedule345[[#Headers],[PMT NO]])&gt;ScheduledNumberOfPayments,"",ROW()-ROW(PaymentSchedule345[[#Headers],[PMT NO]])),"")</f>
        <v>52</v>
      </c>
      <c r="C63" s="20">
        <f>IF(PaymentSchedule345[[#This Row],[PMT NO]]&lt;&gt;"",EOMONTH(LoanStartDate,ROW(PaymentSchedule345[[#This Row],[PMT NO]])-ROW(PaymentSchedule345[[#Headers],[PMT NO]])-2)+DAY(LoanStartDate),"")</f>
        <v>45200</v>
      </c>
      <c r="D6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1916358.7523109349</v>
      </c>
      <c r="E63" s="19">
        <f>IF(PaymentSchedule345[[#This Row],[PMT NO]]&lt;&gt;"",ScheduledPayment,"")</f>
        <v>8991.2567468977813</v>
      </c>
      <c r="F6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6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63" s="19">
        <f>IF(PaymentSchedule345[[#This Row],[PMT NO]]&lt;&gt;"",PaymentSchedule345[[#This Row],[TOTAL PAYMENT]]-PaymentSchedule345[[#This Row],[INTEREST]],"")</f>
        <v>1804.9114257317751</v>
      </c>
      <c r="I63" s="19">
        <f>IF(PaymentSchedule345[[#This Row],[PMT NO]]&lt;&gt;"",PaymentSchedule345[[#This Row],[BEGINNING BALANCE]]*(InterestRate/PaymentsPerYear),"")</f>
        <v>7186.3453211660062</v>
      </c>
      <c r="J6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1914553.8408852031</v>
      </c>
      <c r="K63" s="19">
        <f>IF(PaymentSchedule345[[#This Row],[PMT NO]]&lt;&gt;"",SUM(INDEX(PaymentSchedule345[INTEREST],1,1):PaymentSchedule345[[#This Row],[INTEREST]]),"")</f>
        <v>382099.19172388694</v>
      </c>
    </row>
    <row r="64" spans="2:11" x14ac:dyDescent="0.3">
      <c r="B64" s="21">
        <f>IF(LoanIsGood,IF(ROW()-ROW(PaymentSchedule345[[#Headers],[PMT NO]])&gt;ScheduledNumberOfPayments,"",ROW()-ROW(PaymentSchedule345[[#Headers],[PMT NO]])),"")</f>
        <v>53</v>
      </c>
      <c r="C64" s="20">
        <f>IF(PaymentSchedule345[[#This Row],[PMT NO]]&lt;&gt;"",EOMONTH(LoanStartDate,ROW(PaymentSchedule345[[#This Row],[PMT NO]])-ROW(PaymentSchedule345[[#Headers],[PMT NO]])-2)+DAY(LoanStartDate),"")</f>
        <v>45231</v>
      </c>
      <c r="D6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1914553.8408852031</v>
      </c>
      <c r="E64" s="19">
        <f>IF(PaymentSchedule345[[#This Row],[PMT NO]]&lt;&gt;"",ScheduledPayment,"")</f>
        <v>8991.2567468977813</v>
      </c>
      <c r="F6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6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64" s="19">
        <f>IF(PaymentSchedule345[[#This Row],[PMT NO]]&lt;&gt;"",PaymentSchedule345[[#This Row],[TOTAL PAYMENT]]-PaymentSchedule345[[#This Row],[INTEREST]],"")</f>
        <v>1811.6798435782703</v>
      </c>
      <c r="I64" s="19">
        <f>IF(PaymentSchedule345[[#This Row],[PMT NO]]&lt;&gt;"",PaymentSchedule345[[#This Row],[BEGINNING BALANCE]]*(InterestRate/PaymentsPerYear),"")</f>
        <v>7179.5769033195111</v>
      </c>
      <c r="J6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1912742.1610416248</v>
      </c>
      <c r="K64" s="19">
        <f>IF(PaymentSchedule345[[#This Row],[PMT NO]]&lt;&gt;"",SUM(INDEX(PaymentSchedule345[INTEREST],1,1):PaymentSchedule345[[#This Row],[INTEREST]]),"")</f>
        <v>389278.76862720645</v>
      </c>
    </row>
    <row r="65" spans="2:11" x14ac:dyDescent="0.3">
      <c r="B65" s="21">
        <f>IF(LoanIsGood,IF(ROW()-ROW(PaymentSchedule345[[#Headers],[PMT NO]])&gt;ScheduledNumberOfPayments,"",ROW()-ROW(PaymentSchedule345[[#Headers],[PMT NO]])),"")</f>
        <v>54</v>
      </c>
      <c r="C65" s="20">
        <f>IF(PaymentSchedule345[[#This Row],[PMT NO]]&lt;&gt;"",EOMONTH(LoanStartDate,ROW(PaymentSchedule345[[#This Row],[PMT NO]])-ROW(PaymentSchedule345[[#Headers],[PMT NO]])-2)+DAY(LoanStartDate),"")</f>
        <v>45261</v>
      </c>
      <c r="D6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1912742.1610416248</v>
      </c>
      <c r="E65" s="19">
        <f>IF(PaymentSchedule345[[#This Row],[PMT NO]]&lt;&gt;"",ScheduledPayment,"")</f>
        <v>8991.2567468977813</v>
      </c>
      <c r="F6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6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65" s="19">
        <f>IF(PaymentSchedule345[[#This Row],[PMT NO]]&lt;&gt;"",PaymentSchedule345[[#This Row],[TOTAL PAYMENT]]-PaymentSchedule345[[#This Row],[INTEREST]],"")</f>
        <v>1818.4736429916884</v>
      </c>
      <c r="I65" s="19">
        <f>IF(PaymentSchedule345[[#This Row],[PMT NO]]&lt;&gt;"",PaymentSchedule345[[#This Row],[BEGINNING BALANCE]]*(InterestRate/PaymentsPerYear),"")</f>
        <v>7172.7831039060929</v>
      </c>
      <c r="J6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1910923.6873986332</v>
      </c>
      <c r="K65" s="19">
        <f>IF(PaymentSchedule345[[#This Row],[PMT NO]]&lt;&gt;"",SUM(INDEX(PaymentSchedule345[INTEREST],1,1):PaymentSchedule345[[#This Row],[INTEREST]]),"")</f>
        <v>396451.55173111253</v>
      </c>
    </row>
    <row r="66" spans="2:11" x14ac:dyDescent="0.3">
      <c r="B66" s="21">
        <f>IF(LoanIsGood,IF(ROW()-ROW(PaymentSchedule345[[#Headers],[PMT NO]])&gt;ScheduledNumberOfPayments,"",ROW()-ROW(PaymentSchedule345[[#Headers],[PMT NO]])),"")</f>
        <v>55</v>
      </c>
      <c r="C66" s="20">
        <f>IF(PaymentSchedule345[[#This Row],[PMT NO]]&lt;&gt;"",EOMONTH(LoanStartDate,ROW(PaymentSchedule345[[#This Row],[PMT NO]])-ROW(PaymentSchedule345[[#Headers],[PMT NO]])-2)+DAY(LoanStartDate),"")</f>
        <v>45292</v>
      </c>
      <c r="D6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1910923.6873986332</v>
      </c>
      <c r="E66" s="19">
        <f>IF(PaymentSchedule345[[#This Row],[PMT NO]]&lt;&gt;"",ScheduledPayment,"")</f>
        <v>8991.2567468977813</v>
      </c>
      <c r="F6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6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66" s="19">
        <f>IF(PaymentSchedule345[[#This Row],[PMT NO]]&lt;&gt;"",PaymentSchedule345[[#This Row],[TOTAL PAYMENT]]-PaymentSchedule345[[#This Row],[INTEREST]],"")</f>
        <v>1825.2929191529074</v>
      </c>
      <c r="I66" s="19">
        <f>IF(PaymentSchedule345[[#This Row],[PMT NO]]&lt;&gt;"",PaymentSchedule345[[#This Row],[BEGINNING BALANCE]]*(InterestRate/PaymentsPerYear),"")</f>
        <v>7165.9638277448739</v>
      </c>
      <c r="J6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1909098.3944794803</v>
      </c>
      <c r="K66" s="19">
        <f>IF(PaymentSchedule345[[#This Row],[PMT NO]]&lt;&gt;"",SUM(INDEX(PaymentSchedule345[INTEREST],1,1):PaymentSchedule345[[#This Row],[INTEREST]]),"")</f>
        <v>403617.51555885741</v>
      </c>
    </row>
    <row r="67" spans="2:11" x14ac:dyDescent="0.3">
      <c r="B67" s="21">
        <f>IF(LoanIsGood,IF(ROW()-ROW(PaymentSchedule345[[#Headers],[PMT NO]])&gt;ScheduledNumberOfPayments,"",ROW()-ROW(PaymentSchedule345[[#Headers],[PMT NO]])),"")</f>
        <v>56</v>
      </c>
      <c r="C67" s="20">
        <f>IF(PaymentSchedule345[[#This Row],[PMT NO]]&lt;&gt;"",EOMONTH(LoanStartDate,ROW(PaymentSchedule345[[#This Row],[PMT NO]])-ROW(PaymentSchedule345[[#Headers],[PMT NO]])-2)+DAY(LoanStartDate),"")</f>
        <v>45323</v>
      </c>
      <c r="D6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1909098.3944794803</v>
      </c>
      <c r="E67" s="19">
        <f>IF(PaymentSchedule345[[#This Row],[PMT NO]]&lt;&gt;"",ScheduledPayment,"")</f>
        <v>8991.2567468977813</v>
      </c>
      <c r="F6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6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67" s="19">
        <f>IF(PaymentSchedule345[[#This Row],[PMT NO]]&lt;&gt;"",PaymentSchedule345[[#This Row],[TOTAL PAYMENT]]-PaymentSchedule345[[#This Row],[INTEREST]],"")</f>
        <v>1832.1377675997301</v>
      </c>
      <c r="I67" s="19">
        <f>IF(PaymentSchedule345[[#This Row],[PMT NO]]&lt;&gt;"",PaymentSchedule345[[#This Row],[BEGINNING BALANCE]]*(InterestRate/PaymentsPerYear),"")</f>
        <v>7159.1189792980513</v>
      </c>
      <c r="J6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1907266.2567118807</v>
      </c>
      <c r="K67" s="19">
        <f>IF(PaymentSchedule345[[#This Row],[PMT NO]]&lt;&gt;"",SUM(INDEX(PaymentSchedule345[INTEREST],1,1):PaymentSchedule345[[#This Row],[INTEREST]]),"")</f>
        <v>410776.63453815546</v>
      </c>
    </row>
    <row r="68" spans="2:11" x14ac:dyDescent="0.3">
      <c r="B68" s="21">
        <f>IF(LoanIsGood,IF(ROW()-ROW(PaymentSchedule345[[#Headers],[PMT NO]])&gt;ScheduledNumberOfPayments,"",ROW()-ROW(PaymentSchedule345[[#Headers],[PMT NO]])),"")</f>
        <v>57</v>
      </c>
      <c r="C68" s="20">
        <f>IF(PaymentSchedule345[[#This Row],[PMT NO]]&lt;&gt;"",EOMONTH(LoanStartDate,ROW(PaymentSchedule345[[#This Row],[PMT NO]])-ROW(PaymentSchedule345[[#Headers],[PMT NO]])-2)+DAY(LoanStartDate),"")</f>
        <v>45352</v>
      </c>
      <c r="D6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1907266.2567118807</v>
      </c>
      <c r="E68" s="19">
        <f>IF(PaymentSchedule345[[#This Row],[PMT NO]]&lt;&gt;"",ScheduledPayment,"")</f>
        <v>8991.2567468977813</v>
      </c>
      <c r="F6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6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68" s="19">
        <f>IF(PaymentSchedule345[[#This Row],[PMT NO]]&lt;&gt;"",PaymentSchedule345[[#This Row],[TOTAL PAYMENT]]-PaymentSchedule345[[#This Row],[INTEREST]],"")</f>
        <v>1839.0082842282291</v>
      </c>
      <c r="I68" s="19">
        <f>IF(PaymentSchedule345[[#This Row],[PMT NO]]&lt;&gt;"",PaymentSchedule345[[#This Row],[BEGINNING BALANCE]]*(InterestRate/PaymentsPerYear),"")</f>
        <v>7152.2484626695523</v>
      </c>
      <c r="J6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1905427.2484276525</v>
      </c>
      <c r="K68" s="19">
        <f>IF(PaymentSchedule345[[#This Row],[PMT NO]]&lt;&gt;"",SUM(INDEX(PaymentSchedule345[INTEREST],1,1):PaymentSchedule345[[#This Row],[INTEREST]]),"")</f>
        <v>417928.88300082501</v>
      </c>
    </row>
    <row r="69" spans="2:11" x14ac:dyDescent="0.3">
      <c r="B69" s="21">
        <f>IF(LoanIsGood,IF(ROW()-ROW(PaymentSchedule345[[#Headers],[PMT NO]])&gt;ScheduledNumberOfPayments,"",ROW()-ROW(PaymentSchedule345[[#Headers],[PMT NO]])),"")</f>
        <v>58</v>
      </c>
      <c r="C69" s="20">
        <f>IF(PaymentSchedule345[[#This Row],[PMT NO]]&lt;&gt;"",EOMONTH(LoanStartDate,ROW(PaymentSchedule345[[#This Row],[PMT NO]])-ROW(PaymentSchedule345[[#Headers],[PMT NO]])-2)+DAY(LoanStartDate),"")</f>
        <v>45383</v>
      </c>
      <c r="D6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1905427.2484276525</v>
      </c>
      <c r="E69" s="19">
        <f>IF(PaymentSchedule345[[#This Row],[PMT NO]]&lt;&gt;"",ScheduledPayment,"")</f>
        <v>8991.2567468977813</v>
      </c>
      <c r="F6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6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69" s="19">
        <f>IF(PaymentSchedule345[[#This Row],[PMT NO]]&lt;&gt;"",PaymentSchedule345[[#This Row],[TOTAL PAYMENT]]-PaymentSchedule345[[#This Row],[INTEREST]],"")</f>
        <v>1845.9045652940849</v>
      </c>
      <c r="I69" s="19">
        <f>IF(PaymentSchedule345[[#This Row],[PMT NO]]&lt;&gt;"",PaymentSchedule345[[#This Row],[BEGINNING BALANCE]]*(InterestRate/PaymentsPerYear),"")</f>
        <v>7145.3521816036964</v>
      </c>
      <c r="J6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1903581.3438623585</v>
      </c>
      <c r="K69" s="19">
        <f>IF(PaymentSchedule345[[#This Row],[PMT NO]]&lt;&gt;"",SUM(INDEX(PaymentSchedule345[INTEREST],1,1):PaymentSchedule345[[#This Row],[INTEREST]]),"")</f>
        <v>425074.23518242873</v>
      </c>
    </row>
    <row r="70" spans="2:11" x14ac:dyDescent="0.3">
      <c r="B70" s="21">
        <f>IF(LoanIsGood,IF(ROW()-ROW(PaymentSchedule345[[#Headers],[PMT NO]])&gt;ScheduledNumberOfPayments,"",ROW()-ROW(PaymentSchedule345[[#Headers],[PMT NO]])),"")</f>
        <v>59</v>
      </c>
      <c r="C70" s="20">
        <f>IF(PaymentSchedule345[[#This Row],[PMT NO]]&lt;&gt;"",EOMONTH(LoanStartDate,ROW(PaymentSchedule345[[#This Row],[PMT NO]])-ROW(PaymentSchedule345[[#Headers],[PMT NO]])-2)+DAY(LoanStartDate),"")</f>
        <v>45413</v>
      </c>
      <c r="D7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1903581.3438623585</v>
      </c>
      <c r="E70" s="19">
        <f>IF(PaymentSchedule345[[#This Row],[PMT NO]]&lt;&gt;"",ScheduledPayment,"")</f>
        <v>8991.2567468977813</v>
      </c>
      <c r="F7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7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70" s="19">
        <f>IF(PaymentSchedule345[[#This Row],[PMT NO]]&lt;&gt;"",PaymentSchedule345[[#This Row],[TOTAL PAYMENT]]-PaymentSchedule345[[#This Row],[INTEREST]],"")</f>
        <v>1852.8267074139376</v>
      </c>
      <c r="I70" s="19">
        <f>IF(PaymentSchedule345[[#This Row],[PMT NO]]&lt;&gt;"",PaymentSchedule345[[#This Row],[BEGINNING BALANCE]]*(InterestRate/PaymentsPerYear),"")</f>
        <v>7138.4300394838438</v>
      </c>
      <c r="J7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1901728.5171549446</v>
      </c>
      <c r="K70" s="19">
        <f>IF(PaymentSchedule345[[#This Row],[PMT NO]]&lt;&gt;"",SUM(INDEX(PaymentSchedule345[INTEREST],1,1):PaymentSchedule345[[#This Row],[INTEREST]]),"")</f>
        <v>432212.66522191255</v>
      </c>
    </row>
    <row r="71" spans="2:11" x14ac:dyDescent="0.3">
      <c r="B71" s="21">
        <f>IF(LoanIsGood,IF(ROW()-ROW(PaymentSchedule345[[#Headers],[PMT NO]])&gt;ScheduledNumberOfPayments,"",ROW()-ROW(PaymentSchedule345[[#Headers],[PMT NO]])),"")</f>
        <v>60</v>
      </c>
      <c r="C71" s="20">
        <f>IF(PaymentSchedule345[[#This Row],[PMT NO]]&lt;&gt;"",EOMONTH(LoanStartDate,ROW(PaymentSchedule345[[#This Row],[PMT NO]])-ROW(PaymentSchedule345[[#Headers],[PMT NO]])-2)+DAY(LoanStartDate),"")</f>
        <v>45444</v>
      </c>
      <c r="D7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1901728.5171549446</v>
      </c>
      <c r="E71" s="19">
        <f>IF(PaymentSchedule345[[#This Row],[PMT NO]]&lt;&gt;"",ScheduledPayment,"")</f>
        <v>8991.2567468977813</v>
      </c>
      <c r="F7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7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71" s="19">
        <f>IF(PaymentSchedule345[[#This Row],[PMT NO]]&lt;&gt;"",PaymentSchedule345[[#This Row],[TOTAL PAYMENT]]-PaymentSchedule345[[#This Row],[INTEREST]],"")</f>
        <v>1859.7748075667396</v>
      </c>
      <c r="I71" s="19">
        <f>IF(PaymentSchedule345[[#This Row],[PMT NO]]&lt;&gt;"",PaymentSchedule345[[#This Row],[BEGINNING BALANCE]]*(InterestRate/PaymentsPerYear),"")</f>
        <v>7131.4819393310418</v>
      </c>
      <c r="J7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1899868.7423473778</v>
      </c>
      <c r="K71" s="19">
        <f>IF(PaymentSchedule345[[#This Row],[PMT NO]]&lt;&gt;"",SUM(INDEX(PaymentSchedule345[INTEREST],1,1):PaymentSchedule345[[#This Row],[INTEREST]]),"")</f>
        <v>439344.1471612436</v>
      </c>
    </row>
    <row r="72" spans="2:11" x14ac:dyDescent="0.3">
      <c r="B72" s="21">
        <f>IF(LoanIsGood,IF(ROW()-ROW(PaymentSchedule345[[#Headers],[PMT NO]])&gt;ScheduledNumberOfPayments,"",ROW()-ROW(PaymentSchedule345[[#Headers],[PMT NO]])),"")</f>
        <v>61</v>
      </c>
      <c r="C72" s="20">
        <f>IF(PaymentSchedule345[[#This Row],[PMT NO]]&lt;&gt;"",EOMONTH(LoanStartDate,ROW(PaymentSchedule345[[#This Row],[PMT NO]])-ROW(PaymentSchedule345[[#Headers],[PMT NO]])-2)+DAY(LoanStartDate),"")</f>
        <v>45474</v>
      </c>
      <c r="D7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1899868.7423473778</v>
      </c>
      <c r="E72" s="19">
        <f>IF(PaymentSchedule345[[#This Row],[PMT NO]]&lt;&gt;"",ScheduledPayment,"")</f>
        <v>8991.2567468977813</v>
      </c>
      <c r="F7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7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72" s="19">
        <f>IF(PaymentSchedule345[[#This Row],[PMT NO]]&lt;&gt;"",PaymentSchedule345[[#This Row],[TOTAL PAYMENT]]-PaymentSchedule345[[#This Row],[INTEREST]],"")</f>
        <v>1866.748963095115</v>
      </c>
      <c r="I72" s="19">
        <f>IF(PaymentSchedule345[[#This Row],[PMT NO]]&lt;&gt;"",PaymentSchedule345[[#This Row],[BEGINNING BALANCE]]*(InterestRate/PaymentsPerYear),"")</f>
        <v>7124.5077838026664</v>
      </c>
      <c r="J7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1898001.9933842828</v>
      </c>
      <c r="K72" s="19">
        <f>IF(PaymentSchedule345[[#This Row],[PMT NO]]&lt;&gt;"",SUM(INDEX(PaymentSchedule345[INTEREST],1,1):PaymentSchedule345[[#This Row],[INTEREST]]),"")</f>
        <v>446468.65494504629</v>
      </c>
    </row>
    <row r="73" spans="2:11" x14ac:dyDescent="0.3">
      <c r="B73" s="21">
        <f>IF(LoanIsGood,IF(ROW()-ROW(PaymentSchedule345[[#Headers],[PMT NO]])&gt;ScheduledNumberOfPayments,"",ROW()-ROW(PaymentSchedule345[[#Headers],[PMT NO]])),"")</f>
        <v>62</v>
      </c>
      <c r="C73" s="20">
        <f>IF(PaymentSchedule345[[#This Row],[PMT NO]]&lt;&gt;"",EOMONTH(LoanStartDate,ROW(PaymentSchedule345[[#This Row],[PMT NO]])-ROW(PaymentSchedule345[[#Headers],[PMT NO]])-2)+DAY(LoanStartDate),"")</f>
        <v>45505</v>
      </c>
      <c r="D7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1898001.9933842828</v>
      </c>
      <c r="E73" s="19">
        <f>IF(PaymentSchedule345[[#This Row],[PMT NO]]&lt;&gt;"",ScheduledPayment,"")</f>
        <v>8991.2567468977813</v>
      </c>
      <c r="F7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7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73" s="19">
        <f>IF(PaymentSchedule345[[#This Row],[PMT NO]]&lt;&gt;"",PaymentSchedule345[[#This Row],[TOTAL PAYMENT]]-PaymentSchedule345[[#This Row],[INTEREST]],"")</f>
        <v>1873.7492717067207</v>
      </c>
      <c r="I73" s="19">
        <f>IF(PaymentSchedule345[[#This Row],[PMT NO]]&lt;&gt;"",PaymentSchedule345[[#This Row],[BEGINNING BALANCE]]*(InterestRate/PaymentsPerYear),"")</f>
        <v>7117.5074751910606</v>
      </c>
      <c r="J7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1896128.2441125761</v>
      </c>
      <c r="K73" s="19">
        <f>IF(PaymentSchedule345[[#This Row],[PMT NO]]&lt;&gt;"",SUM(INDEX(PaymentSchedule345[INTEREST],1,1):PaymentSchedule345[[#This Row],[INTEREST]]),"")</f>
        <v>453586.16242023738</v>
      </c>
    </row>
    <row r="74" spans="2:11" x14ac:dyDescent="0.3">
      <c r="B74" s="21">
        <f>IF(LoanIsGood,IF(ROW()-ROW(PaymentSchedule345[[#Headers],[PMT NO]])&gt;ScheduledNumberOfPayments,"",ROW()-ROW(PaymentSchedule345[[#Headers],[PMT NO]])),"")</f>
        <v>63</v>
      </c>
      <c r="C74" s="20">
        <f>IF(PaymentSchedule345[[#This Row],[PMT NO]]&lt;&gt;"",EOMONTH(LoanStartDate,ROW(PaymentSchedule345[[#This Row],[PMT NO]])-ROW(PaymentSchedule345[[#Headers],[PMT NO]])-2)+DAY(LoanStartDate),"")</f>
        <v>45536</v>
      </c>
      <c r="D7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1896128.2441125761</v>
      </c>
      <c r="E74" s="19">
        <f>IF(PaymentSchedule345[[#This Row],[PMT NO]]&lt;&gt;"",ScheduledPayment,"")</f>
        <v>8991.2567468977813</v>
      </c>
      <c r="F7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7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74" s="19">
        <f>IF(PaymentSchedule345[[#This Row],[PMT NO]]&lt;&gt;"",PaymentSchedule345[[#This Row],[TOTAL PAYMENT]]-PaymentSchedule345[[#This Row],[INTEREST]],"")</f>
        <v>1880.7758314756211</v>
      </c>
      <c r="I74" s="19">
        <f>IF(PaymentSchedule345[[#This Row],[PMT NO]]&lt;&gt;"",PaymentSchedule345[[#This Row],[BEGINNING BALANCE]]*(InterestRate/PaymentsPerYear),"")</f>
        <v>7110.4809154221603</v>
      </c>
      <c r="J7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1894247.4682811005</v>
      </c>
      <c r="K74" s="19">
        <f>IF(PaymentSchedule345[[#This Row],[PMT NO]]&lt;&gt;"",SUM(INDEX(PaymentSchedule345[INTEREST],1,1):PaymentSchedule345[[#This Row],[INTEREST]]),"")</f>
        <v>460696.64333565952</v>
      </c>
    </row>
    <row r="75" spans="2:11" x14ac:dyDescent="0.3">
      <c r="B75" s="21">
        <f>IF(LoanIsGood,IF(ROW()-ROW(PaymentSchedule345[[#Headers],[PMT NO]])&gt;ScheduledNumberOfPayments,"",ROW()-ROW(PaymentSchedule345[[#Headers],[PMT NO]])),"")</f>
        <v>64</v>
      </c>
      <c r="C75" s="20">
        <f>IF(PaymentSchedule345[[#This Row],[PMT NO]]&lt;&gt;"",EOMONTH(LoanStartDate,ROW(PaymentSchedule345[[#This Row],[PMT NO]])-ROW(PaymentSchedule345[[#Headers],[PMT NO]])-2)+DAY(LoanStartDate),"")</f>
        <v>45566</v>
      </c>
      <c r="D7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1894247.4682811005</v>
      </c>
      <c r="E75" s="19">
        <f>IF(PaymentSchedule345[[#This Row],[PMT NO]]&lt;&gt;"",ScheduledPayment,"")</f>
        <v>8991.2567468977813</v>
      </c>
      <c r="F7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7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75" s="19">
        <f>IF(PaymentSchedule345[[#This Row],[PMT NO]]&lt;&gt;"",PaymentSchedule345[[#This Row],[TOTAL PAYMENT]]-PaymentSchedule345[[#This Row],[INTEREST]],"")</f>
        <v>1887.8287408436545</v>
      </c>
      <c r="I75" s="19">
        <f>IF(PaymentSchedule345[[#This Row],[PMT NO]]&lt;&gt;"",PaymentSchedule345[[#This Row],[BEGINNING BALANCE]]*(InterestRate/PaymentsPerYear),"")</f>
        <v>7103.4280060541269</v>
      </c>
      <c r="J7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1892359.6395402569</v>
      </c>
      <c r="K75" s="19">
        <f>IF(PaymentSchedule345[[#This Row],[PMT NO]]&lt;&gt;"",SUM(INDEX(PaymentSchedule345[INTEREST],1,1):PaymentSchedule345[[#This Row],[INTEREST]]),"")</f>
        <v>467800.07134171366</v>
      </c>
    </row>
    <row r="76" spans="2:11" x14ac:dyDescent="0.3">
      <c r="B76" s="21">
        <f>IF(LoanIsGood,IF(ROW()-ROW(PaymentSchedule345[[#Headers],[PMT NO]])&gt;ScheduledNumberOfPayments,"",ROW()-ROW(PaymentSchedule345[[#Headers],[PMT NO]])),"")</f>
        <v>65</v>
      </c>
      <c r="C76" s="20">
        <f>IF(PaymentSchedule345[[#This Row],[PMT NO]]&lt;&gt;"",EOMONTH(LoanStartDate,ROW(PaymentSchedule345[[#This Row],[PMT NO]])-ROW(PaymentSchedule345[[#Headers],[PMT NO]])-2)+DAY(LoanStartDate),"")</f>
        <v>45597</v>
      </c>
      <c r="D7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1892359.6395402569</v>
      </c>
      <c r="E76" s="19">
        <f>IF(PaymentSchedule345[[#This Row],[PMT NO]]&lt;&gt;"",ScheduledPayment,"")</f>
        <v>8991.2567468977813</v>
      </c>
      <c r="F7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7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76" s="19">
        <f>IF(PaymentSchedule345[[#This Row],[PMT NO]]&lt;&gt;"",PaymentSchedule345[[#This Row],[TOTAL PAYMENT]]-PaymentSchedule345[[#This Row],[INTEREST]],"")</f>
        <v>1894.9080986218178</v>
      </c>
      <c r="I76" s="19">
        <f>IF(PaymentSchedule345[[#This Row],[PMT NO]]&lt;&gt;"",PaymentSchedule345[[#This Row],[BEGINNING BALANCE]]*(InterestRate/PaymentsPerYear),"")</f>
        <v>7096.3486482759636</v>
      </c>
      <c r="J7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1890464.7314416352</v>
      </c>
      <c r="K76" s="19">
        <f>IF(PaymentSchedule345[[#This Row],[PMT NO]]&lt;&gt;"",SUM(INDEX(PaymentSchedule345[INTEREST],1,1):PaymentSchedule345[[#This Row],[INTEREST]]),"")</f>
        <v>474896.4199899896</v>
      </c>
    </row>
    <row r="77" spans="2:11" x14ac:dyDescent="0.3">
      <c r="B77" s="21">
        <f>IF(LoanIsGood,IF(ROW()-ROW(PaymentSchedule345[[#Headers],[PMT NO]])&gt;ScheduledNumberOfPayments,"",ROW()-ROW(PaymentSchedule345[[#Headers],[PMT NO]])),"")</f>
        <v>66</v>
      </c>
      <c r="C77" s="20">
        <f>IF(PaymentSchedule345[[#This Row],[PMT NO]]&lt;&gt;"",EOMONTH(LoanStartDate,ROW(PaymentSchedule345[[#This Row],[PMT NO]])-ROW(PaymentSchedule345[[#Headers],[PMT NO]])-2)+DAY(LoanStartDate),"")</f>
        <v>45627</v>
      </c>
      <c r="D7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1890464.7314416352</v>
      </c>
      <c r="E77" s="19">
        <f>IF(PaymentSchedule345[[#This Row],[PMT NO]]&lt;&gt;"",ScheduledPayment,"")</f>
        <v>8991.2567468977813</v>
      </c>
      <c r="F7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7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77" s="19">
        <f>IF(PaymentSchedule345[[#This Row],[PMT NO]]&lt;&gt;"",PaymentSchedule345[[#This Row],[TOTAL PAYMENT]]-PaymentSchedule345[[#This Row],[INTEREST]],"")</f>
        <v>1902.0140039916496</v>
      </c>
      <c r="I77" s="19">
        <f>IF(PaymentSchedule345[[#This Row],[PMT NO]]&lt;&gt;"",PaymentSchedule345[[#This Row],[BEGINNING BALANCE]]*(InterestRate/PaymentsPerYear),"")</f>
        <v>7089.2427429061318</v>
      </c>
      <c r="J7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1888562.7174376436</v>
      </c>
      <c r="K77" s="19">
        <f>IF(PaymentSchedule345[[#This Row],[PMT NO]]&lt;&gt;"",SUM(INDEX(PaymentSchedule345[INTEREST],1,1):PaymentSchedule345[[#This Row],[INTEREST]]),"")</f>
        <v>481985.66273289575</v>
      </c>
    </row>
    <row r="78" spans="2:11" x14ac:dyDescent="0.3">
      <c r="B78" s="21">
        <f>IF(LoanIsGood,IF(ROW()-ROW(PaymentSchedule345[[#Headers],[PMT NO]])&gt;ScheduledNumberOfPayments,"",ROW()-ROW(PaymentSchedule345[[#Headers],[PMT NO]])),"")</f>
        <v>67</v>
      </c>
      <c r="C78" s="20">
        <f>IF(PaymentSchedule345[[#This Row],[PMT NO]]&lt;&gt;"",EOMONTH(LoanStartDate,ROW(PaymentSchedule345[[#This Row],[PMT NO]])-ROW(PaymentSchedule345[[#Headers],[PMT NO]])-2)+DAY(LoanStartDate),"")</f>
        <v>45658</v>
      </c>
      <c r="D7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1888562.7174376436</v>
      </c>
      <c r="E78" s="19">
        <f>IF(PaymentSchedule345[[#This Row],[PMT NO]]&lt;&gt;"",ScheduledPayment,"")</f>
        <v>8991.2567468977813</v>
      </c>
      <c r="F7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7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78" s="19">
        <f>IF(PaymentSchedule345[[#This Row],[PMT NO]]&lt;&gt;"",PaymentSchedule345[[#This Row],[TOTAL PAYMENT]]-PaymentSchedule345[[#This Row],[INTEREST]],"")</f>
        <v>1909.1465565066183</v>
      </c>
      <c r="I78" s="19">
        <f>IF(PaymentSchedule345[[#This Row],[PMT NO]]&lt;&gt;"",PaymentSchedule345[[#This Row],[BEGINNING BALANCE]]*(InterestRate/PaymentsPerYear),"")</f>
        <v>7082.1101903911631</v>
      </c>
      <c r="J7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1886653.5708811369</v>
      </c>
      <c r="K78" s="19">
        <f>IF(PaymentSchedule345[[#This Row],[PMT NO]]&lt;&gt;"",SUM(INDEX(PaymentSchedule345[INTEREST],1,1):PaymentSchedule345[[#This Row],[INTEREST]]),"")</f>
        <v>489067.77292328695</v>
      </c>
    </row>
    <row r="79" spans="2:11" x14ac:dyDescent="0.3">
      <c r="B79" s="21">
        <f>IF(LoanIsGood,IF(ROW()-ROW(PaymentSchedule345[[#Headers],[PMT NO]])&gt;ScheduledNumberOfPayments,"",ROW()-ROW(PaymentSchedule345[[#Headers],[PMT NO]])),"")</f>
        <v>68</v>
      </c>
      <c r="C79" s="20">
        <f>IF(PaymentSchedule345[[#This Row],[PMT NO]]&lt;&gt;"",EOMONTH(LoanStartDate,ROW(PaymentSchedule345[[#This Row],[PMT NO]])-ROW(PaymentSchedule345[[#Headers],[PMT NO]])-2)+DAY(LoanStartDate),"")</f>
        <v>45689</v>
      </c>
      <c r="D7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1886653.5708811369</v>
      </c>
      <c r="E79" s="19">
        <f>IF(PaymentSchedule345[[#This Row],[PMT NO]]&lt;&gt;"",ScheduledPayment,"")</f>
        <v>8991.2567468977813</v>
      </c>
      <c r="F7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7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79" s="19">
        <f>IF(PaymentSchedule345[[#This Row],[PMT NO]]&lt;&gt;"",PaymentSchedule345[[#This Row],[TOTAL PAYMENT]]-PaymentSchedule345[[#This Row],[INTEREST]],"")</f>
        <v>1916.3058560935178</v>
      </c>
      <c r="I79" s="19">
        <f>IF(PaymentSchedule345[[#This Row],[PMT NO]]&lt;&gt;"",PaymentSchedule345[[#This Row],[BEGINNING BALANCE]]*(InterestRate/PaymentsPerYear),"")</f>
        <v>7074.9508908042635</v>
      </c>
      <c r="J7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1884737.2650250434</v>
      </c>
      <c r="K79" s="19">
        <f>IF(PaymentSchedule345[[#This Row],[PMT NO]]&lt;&gt;"",SUM(INDEX(PaymentSchedule345[INTEREST],1,1):PaymentSchedule345[[#This Row],[INTEREST]]),"")</f>
        <v>496142.72381409124</v>
      </c>
    </row>
    <row r="80" spans="2:11" x14ac:dyDescent="0.3">
      <c r="B80" s="21">
        <f>IF(LoanIsGood,IF(ROW()-ROW(PaymentSchedule345[[#Headers],[PMT NO]])&gt;ScheduledNumberOfPayments,"",ROW()-ROW(PaymentSchedule345[[#Headers],[PMT NO]])),"")</f>
        <v>69</v>
      </c>
      <c r="C80" s="20">
        <f>IF(PaymentSchedule345[[#This Row],[PMT NO]]&lt;&gt;"",EOMONTH(LoanStartDate,ROW(PaymentSchedule345[[#This Row],[PMT NO]])-ROW(PaymentSchedule345[[#Headers],[PMT NO]])-2)+DAY(LoanStartDate),"")</f>
        <v>45717</v>
      </c>
      <c r="D8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1884737.2650250434</v>
      </c>
      <c r="E80" s="19">
        <f>IF(PaymentSchedule345[[#This Row],[PMT NO]]&lt;&gt;"",ScheduledPayment,"")</f>
        <v>8991.2567468977813</v>
      </c>
      <c r="F8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8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80" s="19">
        <f>IF(PaymentSchedule345[[#This Row],[PMT NO]]&lt;&gt;"",PaymentSchedule345[[#This Row],[TOTAL PAYMENT]]-PaymentSchedule345[[#This Row],[INTEREST]],"")</f>
        <v>1923.4920030538688</v>
      </c>
      <c r="I80" s="19">
        <f>IF(PaymentSchedule345[[#This Row],[PMT NO]]&lt;&gt;"",PaymentSchedule345[[#This Row],[BEGINNING BALANCE]]*(InterestRate/PaymentsPerYear),"")</f>
        <v>7067.7647438439126</v>
      </c>
      <c r="J8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1882813.7730219895</v>
      </c>
      <c r="K80" s="19">
        <f>IF(PaymentSchedule345[[#This Row],[PMT NO]]&lt;&gt;"",SUM(INDEX(PaymentSchedule345[INTEREST],1,1):PaymentSchedule345[[#This Row],[INTEREST]]),"")</f>
        <v>503210.48855793517</v>
      </c>
    </row>
    <row r="81" spans="2:11" x14ac:dyDescent="0.3">
      <c r="B81" s="21">
        <f>IF(LoanIsGood,IF(ROW()-ROW(PaymentSchedule345[[#Headers],[PMT NO]])&gt;ScheduledNumberOfPayments,"",ROW()-ROW(PaymentSchedule345[[#Headers],[PMT NO]])),"")</f>
        <v>70</v>
      </c>
      <c r="C81" s="20">
        <f>IF(PaymentSchedule345[[#This Row],[PMT NO]]&lt;&gt;"",EOMONTH(LoanStartDate,ROW(PaymentSchedule345[[#This Row],[PMT NO]])-ROW(PaymentSchedule345[[#Headers],[PMT NO]])-2)+DAY(LoanStartDate),"")</f>
        <v>45748</v>
      </c>
      <c r="D8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1882813.7730219895</v>
      </c>
      <c r="E81" s="19">
        <f>IF(PaymentSchedule345[[#This Row],[PMT NO]]&lt;&gt;"",ScheduledPayment,"")</f>
        <v>8991.2567468977813</v>
      </c>
      <c r="F8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8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81" s="19">
        <f>IF(PaymentSchedule345[[#This Row],[PMT NO]]&lt;&gt;"",PaymentSchedule345[[#This Row],[TOTAL PAYMENT]]-PaymentSchedule345[[#This Row],[INTEREST]],"")</f>
        <v>1930.7050980653212</v>
      </c>
      <c r="I81" s="19">
        <f>IF(PaymentSchedule345[[#This Row],[PMT NO]]&lt;&gt;"",PaymentSchedule345[[#This Row],[BEGINNING BALANCE]]*(InterestRate/PaymentsPerYear),"")</f>
        <v>7060.5516488324602</v>
      </c>
      <c r="J8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1880883.0679239242</v>
      </c>
      <c r="K81" s="19">
        <f>IF(PaymentSchedule345[[#This Row],[PMT NO]]&lt;&gt;"",SUM(INDEX(PaymentSchedule345[INTEREST],1,1):PaymentSchedule345[[#This Row],[INTEREST]]),"")</f>
        <v>510271.04020676762</v>
      </c>
    </row>
    <row r="82" spans="2:11" x14ac:dyDescent="0.3">
      <c r="B82" s="21">
        <f>IF(LoanIsGood,IF(ROW()-ROW(PaymentSchedule345[[#Headers],[PMT NO]])&gt;ScheduledNumberOfPayments,"",ROW()-ROW(PaymentSchedule345[[#Headers],[PMT NO]])),"")</f>
        <v>71</v>
      </c>
      <c r="C82" s="20">
        <f>IF(PaymentSchedule345[[#This Row],[PMT NO]]&lt;&gt;"",EOMONTH(LoanStartDate,ROW(PaymentSchedule345[[#This Row],[PMT NO]])-ROW(PaymentSchedule345[[#Headers],[PMT NO]])-2)+DAY(LoanStartDate),"")</f>
        <v>45778</v>
      </c>
      <c r="D8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1880883.0679239242</v>
      </c>
      <c r="E82" s="19">
        <f>IF(PaymentSchedule345[[#This Row],[PMT NO]]&lt;&gt;"",ScheduledPayment,"")</f>
        <v>8991.2567468977813</v>
      </c>
      <c r="F8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8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82" s="19">
        <f>IF(PaymentSchedule345[[#This Row],[PMT NO]]&lt;&gt;"",PaymentSchedule345[[#This Row],[TOTAL PAYMENT]]-PaymentSchedule345[[#This Row],[INTEREST]],"")</f>
        <v>1937.9452421830656</v>
      </c>
      <c r="I82" s="19">
        <f>IF(PaymentSchedule345[[#This Row],[PMT NO]]&lt;&gt;"",PaymentSchedule345[[#This Row],[BEGINNING BALANCE]]*(InterestRate/PaymentsPerYear),"")</f>
        <v>7053.3115047147157</v>
      </c>
      <c r="J8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1878945.1226817411</v>
      </c>
      <c r="K82" s="19">
        <f>IF(PaymentSchedule345[[#This Row],[PMT NO]]&lt;&gt;"",SUM(INDEX(PaymentSchedule345[INTEREST],1,1):PaymentSchedule345[[#This Row],[INTEREST]]),"")</f>
        <v>517324.35171148233</v>
      </c>
    </row>
    <row r="83" spans="2:11" x14ac:dyDescent="0.3">
      <c r="B83" s="21">
        <f>IF(LoanIsGood,IF(ROW()-ROW(PaymentSchedule345[[#Headers],[PMT NO]])&gt;ScheduledNumberOfPayments,"",ROW()-ROW(PaymentSchedule345[[#Headers],[PMT NO]])),"")</f>
        <v>72</v>
      </c>
      <c r="C83" s="20">
        <f>IF(PaymentSchedule345[[#This Row],[PMT NO]]&lt;&gt;"",EOMONTH(LoanStartDate,ROW(PaymentSchedule345[[#This Row],[PMT NO]])-ROW(PaymentSchedule345[[#Headers],[PMT NO]])-2)+DAY(LoanStartDate),"")</f>
        <v>45809</v>
      </c>
      <c r="D8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1878945.1226817411</v>
      </c>
      <c r="E83" s="19">
        <f>IF(PaymentSchedule345[[#This Row],[PMT NO]]&lt;&gt;"",ScheduledPayment,"")</f>
        <v>8991.2567468977813</v>
      </c>
      <c r="F8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8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83" s="19">
        <f>IF(PaymentSchedule345[[#This Row],[PMT NO]]&lt;&gt;"",PaymentSchedule345[[#This Row],[TOTAL PAYMENT]]-PaymentSchedule345[[#This Row],[INTEREST]],"")</f>
        <v>1945.2125368412526</v>
      </c>
      <c r="I83" s="19">
        <f>IF(PaymentSchedule345[[#This Row],[PMT NO]]&lt;&gt;"",PaymentSchedule345[[#This Row],[BEGINNING BALANCE]]*(InterestRate/PaymentsPerYear),"")</f>
        <v>7046.0442100565288</v>
      </c>
      <c r="J8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1876999.9101449</v>
      </c>
      <c r="K83" s="19">
        <f>IF(PaymentSchedule345[[#This Row],[PMT NO]]&lt;&gt;"",SUM(INDEX(PaymentSchedule345[INTEREST],1,1):PaymentSchedule345[[#This Row],[INTEREST]]),"")</f>
        <v>524370.39592153882</v>
      </c>
    </row>
    <row r="84" spans="2:11" x14ac:dyDescent="0.3">
      <c r="B84" s="21">
        <f>IF(LoanIsGood,IF(ROW()-ROW(PaymentSchedule345[[#Headers],[PMT NO]])&gt;ScheduledNumberOfPayments,"",ROW()-ROW(PaymentSchedule345[[#Headers],[PMT NO]])),"")</f>
        <v>73</v>
      </c>
      <c r="C84" s="20">
        <f>IF(PaymentSchedule345[[#This Row],[PMT NO]]&lt;&gt;"",EOMONTH(LoanStartDate,ROW(PaymentSchedule345[[#This Row],[PMT NO]])-ROW(PaymentSchedule345[[#Headers],[PMT NO]])-2)+DAY(LoanStartDate),"")</f>
        <v>45839</v>
      </c>
      <c r="D8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1876999.9101449</v>
      </c>
      <c r="E84" s="19">
        <f>IF(PaymentSchedule345[[#This Row],[PMT NO]]&lt;&gt;"",ScheduledPayment,"")</f>
        <v>8991.2567468977813</v>
      </c>
      <c r="F8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8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84" s="19">
        <f>IF(PaymentSchedule345[[#This Row],[PMT NO]]&lt;&gt;"",PaymentSchedule345[[#This Row],[TOTAL PAYMENT]]-PaymentSchedule345[[#This Row],[INTEREST]],"")</f>
        <v>1952.507083854407</v>
      </c>
      <c r="I84" s="19">
        <f>IF(PaymentSchedule345[[#This Row],[PMT NO]]&lt;&gt;"",PaymentSchedule345[[#This Row],[BEGINNING BALANCE]]*(InterestRate/PaymentsPerYear),"")</f>
        <v>7038.7496630433743</v>
      </c>
      <c r="J8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1875047.4030610456</v>
      </c>
      <c r="K84" s="19">
        <f>IF(PaymentSchedule345[[#This Row],[PMT NO]]&lt;&gt;"",SUM(INDEX(PaymentSchedule345[INTEREST],1,1):PaymentSchedule345[[#This Row],[INTEREST]]),"")</f>
        <v>531409.14558458223</v>
      </c>
    </row>
    <row r="85" spans="2:11" x14ac:dyDescent="0.3">
      <c r="B85" s="21">
        <f>IF(LoanIsGood,IF(ROW()-ROW(PaymentSchedule345[[#Headers],[PMT NO]])&gt;ScheduledNumberOfPayments,"",ROW()-ROW(PaymentSchedule345[[#Headers],[PMT NO]])),"")</f>
        <v>74</v>
      </c>
      <c r="C85" s="20">
        <f>IF(PaymentSchedule345[[#This Row],[PMT NO]]&lt;&gt;"",EOMONTH(LoanStartDate,ROW(PaymentSchedule345[[#This Row],[PMT NO]])-ROW(PaymentSchedule345[[#Headers],[PMT NO]])-2)+DAY(LoanStartDate),"")</f>
        <v>45870</v>
      </c>
      <c r="D8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1875047.4030610456</v>
      </c>
      <c r="E85" s="19">
        <f>IF(PaymentSchedule345[[#This Row],[PMT NO]]&lt;&gt;"",ScheduledPayment,"")</f>
        <v>8991.2567468977813</v>
      </c>
      <c r="F8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8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85" s="19">
        <f>IF(PaymentSchedule345[[#This Row],[PMT NO]]&lt;&gt;"",PaymentSchedule345[[#This Row],[TOTAL PAYMENT]]-PaymentSchedule345[[#This Row],[INTEREST]],"")</f>
        <v>1959.8289854188606</v>
      </c>
      <c r="I85" s="19">
        <f>IF(PaymentSchedule345[[#This Row],[PMT NO]]&lt;&gt;"",PaymentSchedule345[[#This Row],[BEGINNING BALANCE]]*(InterestRate/PaymentsPerYear),"")</f>
        <v>7031.4277614789207</v>
      </c>
      <c r="J8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1873087.5740756267</v>
      </c>
      <c r="K85" s="19">
        <f>IF(PaymentSchedule345[[#This Row],[PMT NO]]&lt;&gt;"",SUM(INDEX(PaymentSchedule345[INTEREST],1,1):PaymentSchedule345[[#This Row],[INTEREST]]),"")</f>
        <v>538440.57334606117</v>
      </c>
    </row>
    <row r="86" spans="2:11" x14ac:dyDescent="0.3">
      <c r="B86" s="21">
        <f>IF(LoanIsGood,IF(ROW()-ROW(PaymentSchedule345[[#Headers],[PMT NO]])&gt;ScheduledNumberOfPayments,"",ROW()-ROW(PaymentSchedule345[[#Headers],[PMT NO]])),"")</f>
        <v>75</v>
      </c>
      <c r="C86" s="20">
        <f>IF(PaymentSchedule345[[#This Row],[PMT NO]]&lt;&gt;"",EOMONTH(LoanStartDate,ROW(PaymentSchedule345[[#This Row],[PMT NO]])-ROW(PaymentSchedule345[[#Headers],[PMT NO]])-2)+DAY(LoanStartDate),"")</f>
        <v>45901</v>
      </c>
      <c r="D8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1873087.5740756267</v>
      </c>
      <c r="E86" s="19">
        <f>IF(PaymentSchedule345[[#This Row],[PMT NO]]&lt;&gt;"",ScheduledPayment,"")</f>
        <v>8991.2567468977813</v>
      </c>
      <c r="F8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8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86" s="19">
        <f>IF(PaymentSchedule345[[#This Row],[PMT NO]]&lt;&gt;"",PaymentSchedule345[[#This Row],[TOTAL PAYMENT]]-PaymentSchedule345[[#This Row],[INTEREST]],"")</f>
        <v>1967.1783441141815</v>
      </c>
      <c r="I86" s="19">
        <f>IF(PaymentSchedule345[[#This Row],[PMT NO]]&lt;&gt;"",PaymentSchedule345[[#This Row],[BEGINNING BALANCE]]*(InterestRate/PaymentsPerYear),"")</f>
        <v>7024.0784027835998</v>
      </c>
      <c r="J8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1871120.3957315125</v>
      </c>
      <c r="K86" s="19">
        <f>IF(PaymentSchedule345[[#This Row],[PMT NO]]&lt;&gt;"",SUM(INDEX(PaymentSchedule345[INTEREST],1,1):PaymentSchedule345[[#This Row],[INTEREST]]),"")</f>
        <v>545464.65174884477</v>
      </c>
    </row>
    <row r="87" spans="2:11" x14ac:dyDescent="0.3">
      <c r="B87" s="21">
        <f>IF(LoanIsGood,IF(ROW()-ROW(PaymentSchedule345[[#Headers],[PMT NO]])&gt;ScheduledNumberOfPayments,"",ROW()-ROW(PaymentSchedule345[[#Headers],[PMT NO]])),"")</f>
        <v>76</v>
      </c>
      <c r="C87" s="20">
        <f>IF(PaymentSchedule345[[#This Row],[PMT NO]]&lt;&gt;"",EOMONTH(LoanStartDate,ROW(PaymentSchedule345[[#This Row],[PMT NO]])-ROW(PaymentSchedule345[[#Headers],[PMT NO]])-2)+DAY(LoanStartDate),"")</f>
        <v>45931</v>
      </c>
      <c r="D8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1871120.3957315125</v>
      </c>
      <c r="E87" s="19">
        <f>IF(PaymentSchedule345[[#This Row],[PMT NO]]&lt;&gt;"",ScheduledPayment,"")</f>
        <v>8991.2567468977813</v>
      </c>
      <c r="F8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8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87" s="19">
        <f>IF(PaymentSchedule345[[#This Row],[PMT NO]]&lt;&gt;"",PaymentSchedule345[[#This Row],[TOTAL PAYMENT]]-PaymentSchedule345[[#This Row],[INTEREST]],"")</f>
        <v>1974.5552629046097</v>
      </c>
      <c r="I87" s="19">
        <f>IF(PaymentSchedule345[[#This Row],[PMT NO]]&lt;&gt;"",PaymentSchedule345[[#This Row],[BEGINNING BALANCE]]*(InterestRate/PaymentsPerYear),"")</f>
        <v>7016.7014839931717</v>
      </c>
      <c r="J8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1869145.8404686078</v>
      </c>
      <c r="K87" s="19">
        <f>IF(PaymentSchedule345[[#This Row],[PMT NO]]&lt;&gt;"",SUM(INDEX(PaymentSchedule345[INTEREST],1,1):PaymentSchedule345[[#This Row],[INTEREST]]),"")</f>
        <v>552481.35323283798</v>
      </c>
    </row>
    <row r="88" spans="2:11" x14ac:dyDescent="0.3">
      <c r="B88" s="21">
        <f>IF(LoanIsGood,IF(ROW()-ROW(PaymentSchedule345[[#Headers],[PMT NO]])&gt;ScheduledNumberOfPayments,"",ROW()-ROW(PaymentSchedule345[[#Headers],[PMT NO]])),"")</f>
        <v>77</v>
      </c>
      <c r="C88" s="20">
        <f>IF(PaymentSchedule345[[#This Row],[PMT NO]]&lt;&gt;"",EOMONTH(LoanStartDate,ROW(PaymentSchedule345[[#This Row],[PMT NO]])-ROW(PaymentSchedule345[[#Headers],[PMT NO]])-2)+DAY(LoanStartDate),"")</f>
        <v>45962</v>
      </c>
      <c r="D8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1869145.8404686078</v>
      </c>
      <c r="E88" s="19">
        <f>IF(PaymentSchedule345[[#This Row],[PMT NO]]&lt;&gt;"",ScheduledPayment,"")</f>
        <v>8991.2567468977813</v>
      </c>
      <c r="F8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8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88" s="19">
        <f>IF(PaymentSchedule345[[#This Row],[PMT NO]]&lt;&gt;"",PaymentSchedule345[[#This Row],[TOTAL PAYMENT]]-PaymentSchedule345[[#This Row],[INTEREST]],"")</f>
        <v>1981.9598451405018</v>
      </c>
      <c r="I88" s="19">
        <f>IF(PaymentSchedule345[[#This Row],[PMT NO]]&lt;&gt;"",PaymentSchedule345[[#This Row],[BEGINNING BALANCE]]*(InterestRate/PaymentsPerYear),"")</f>
        <v>7009.2969017572796</v>
      </c>
      <c r="J8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1867163.8806234673</v>
      </c>
      <c r="K88" s="19">
        <f>IF(PaymentSchedule345[[#This Row],[PMT NO]]&lt;&gt;"",SUM(INDEX(PaymentSchedule345[INTEREST],1,1):PaymentSchedule345[[#This Row],[INTEREST]]),"")</f>
        <v>559490.65013459523</v>
      </c>
    </row>
    <row r="89" spans="2:11" x14ac:dyDescent="0.3">
      <c r="B89" s="21">
        <f>IF(LoanIsGood,IF(ROW()-ROW(PaymentSchedule345[[#Headers],[PMT NO]])&gt;ScheduledNumberOfPayments,"",ROW()-ROW(PaymentSchedule345[[#Headers],[PMT NO]])),"")</f>
        <v>78</v>
      </c>
      <c r="C89" s="20">
        <f>IF(PaymentSchedule345[[#This Row],[PMT NO]]&lt;&gt;"",EOMONTH(LoanStartDate,ROW(PaymentSchedule345[[#This Row],[PMT NO]])-ROW(PaymentSchedule345[[#Headers],[PMT NO]])-2)+DAY(LoanStartDate),"")</f>
        <v>45992</v>
      </c>
      <c r="D8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1867163.8806234673</v>
      </c>
      <c r="E89" s="19">
        <f>IF(PaymentSchedule345[[#This Row],[PMT NO]]&lt;&gt;"",ScheduledPayment,"")</f>
        <v>8991.2567468977813</v>
      </c>
      <c r="F8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8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89" s="19">
        <f>IF(PaymentSchedule345[[#This Row],[PMT NO]]&lt;&gt;"",PaymentSchedule345[[#This Row],[TOTAL PAYMENT]]-PaymentSchedule345[[#This Row],[INTEREST]],"")</f>
        <v>1989.3921945597795</v>
      </c>
      <c r="I89" s="19">
        <f>IF(PaymentSchedule345[[#This Row],[PMT NO]]&lt;&gt;"",PaymentSchedule345[[#This Row],[BEGINNING BALANCE]]*(InterestRate/PaymentsPerYear),"")</f>
        <v>7001.8645523380019</v>
      </c>
      <c r="J8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1865174.4884289075</v>
      </c>
      <c r="K89" s="19">
        <f>IF(PaymentSchedule345[[#This Row],[PMT NO]]&lt;&gt;"",SUM(INDEX(PaymentSchedule345[INTEREST],1,1):PaymentSchedule345[[#This Row],[INTEREST]]),"")</f>
        <v>566492.51468693325</v>
      </c>
    </row>
    <row r="90" spans="2:11" x14ac:dyDescent="0.3">
      <c r="B90" s="21">
        <f>IF(LoanIsGood,IF(ROW()-ROW(PaymentSchedule345[[#Headers],[PMT NO]])&gt;ScheduledNumberOfPayments,"",ROW()-ROW(PaymentSchedule345[[#Headers],[PMT NO]])),"")</f>
        <v>79</v>
      </c>
      <c r="C90" s="20">
        <f>IF(PaymentSchedule345[[#This Row],[PMT NO]]&lt;&gt;"",EOMONTH(LoanStartDate,ROW(PaymentSchedule345[[#This Row],[PMT NO]])-ROW(PaymentSchedule345[[#Headers],[PMT NO]])-2)+DAY(LoanStartDate),"")</f>
        <v>46023</v>
      </c>
      <c r="D9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1865174.4884289075</v>
      </c>
      <c r="E90" s="19">
        <f>IF(PaymentSchedule345[[#This Row],[PMT NO]]&lt;&gt;"",ScheduledPayment,"")</f>
        <v>8991.2567468977813</v>
      </c>
      <c r="F9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9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90" s="19">
        <f>IF(PaymentSchedule345[[#This Row],[PMT NO]]&lt;&gt;"",PaymentSchedule345[[#This Row],[TOTAL PAYMENT]]-PaymentSchedule345[[#This Row],[INTEREST]],"")</f>
        <v>1996.8524152893788</v>
      </c>
      <c r="I90" s="19">
        <f>IF(PaymentSchedule345[[#This Row],[PMT NO]]&lt;&gt;"",PaymentSchedule345[[#This Row],[BEGINNING BALANCE]]*(InterestRate/PaymentsPerYear),"")</f>
        <v>6994.4043316084026</v>
      </c>
      <c r="J9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1863177.6360136182</v>
      </c>
      <c r="K90" s="19">
        <f>IF(PaymentSchedule345[[#This Row],[PMT NO]]&lt;&gt;"",SUM(INDEX(PaymentSchedule345[INTEREST],1,1):PaymentSchedule345[[#This Row],[INTEREST]]),"")</f>
        <v>573486.9190185417</v>
      </c>
    </row>
    <row r="91" spans="2:11" x14ac:dyDescent="0.3">
      <c r="B91" s="21">
        <f>IF(LoanIsGood,IF(ROW()-ROW(PaymentSchedule345[[#Headers],[PMT NO]])&gt;ScheduledNumberOfPayments,"",ROW()-ROW(PaymentSchedule345[[#Headers],[PMT NO]])),"")</f>
        <v>80</v>
      </c>
      <c r="C91" s="20">
        <f>IF(PaymentSchedule345[[#This Row],[PMT NO]]&lt;&gt;"",EOMONTH(LoanStartDate,ROW(PaymentSchedule345[[#This Row],[PMT NO]])-ROW(PaymentSchedule345[[#Headers],[PMT NO]])-2)+DAY(LoanStartDate),"")</f>
        <v>46054</v>
      </c>
      <c r="D9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1863177.6360136182</v>
      </c>
      <c r="E91" s="19">
        <f>IF(PaymentSchedule345[[#This Row],[PMT NO]]&lt;&gt;"",ScheduledPayment,"")</f>
        <v>8991.2567468977813</v>
      </c>
      <c r="F9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9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91" s="19">
        <f>IF(PaymentSchedule345[[#This Row],[PMT NO]]&lt;&gt;"",PaymentSchedule345[[#This Row],[TOTAL PAYMENT]]-PaymentSchedule345[[#This Row],[INTEREST]],"")</f>
        <v>2004.3406118467137</v>
      </c>
      <c r="I91" s="19">
        <f>IF(PaymentSchedule345[[#This Row],[PMT NO]]&lt;&gt;"",PaymentSchedule345[[#This Row],[BEGINNING BALANCE]]*(InterestRate/PaymentsPerYear),"")</f>
        <v>6986.9161350510676</v>
      </c>
      <c r="J9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1861173.2954017716</v>
      </c>
      <c r="K91" s="19">
        <f>IF(PaymentSchedule345[[#This Row],[PMT NO]]&lt;&gt;"",SUM(INDEX(PaymentSchedule345[INTEREST],1,1):PaymentSchedule345[[#This Row],[INTEREST]]),"")</f>
        <v>580473.83515359275</v>
      </c>
    </row>
    <row r="92" spans="2:11" x14ac:dyDescent="0.3">
      <c r="B92" s="21">
        <f>IF(LoanIsGood,IF(ROW()-ROW(PaymentSchedule345[[#Headers],[PMT NO]])&gt;ScheduledNumberOfPayments,"",ROW()-ROW(PaymentSchedule345[[#Headers],[PMT NO]])),"")</f>
        <v>81</v>
      </c>
      <c r="C92" s="20">
        <f>IF(PaymentSchedule345[[#This Row],[PMT NO]]&lt;&gt;"",EOMONTH(LoanStartDate,ROW(PaymentSchedule345[[#This Row],[PMT NO]])-ROW(PaymentSchedule345[[#Headers],[PMT NO]])-2)+DAY(LoanStartDate),"")</f>
        <v>46082</v>
      </c>
      <c r="D9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1861173.2954017716</v>
      </c>
      <c r="E92" s="19">
        <f>IF(PaymentSchedule345[[#This Row],[PMT NO]]&lt;&gt;"",ScheduledPayment,"")</f>
        <v>8991.2567468977813</v>
      </c>
      <c r="F9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9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92" s="19">
        <f>IF(PaymentSchedule345[[#This Row],[PMT NO]]&lt;&gt;"",PaymentSchedule345[[#This Row],[TOTAL PAYMENT]]-PaymentSchedule345[[#This Row],[INTEREST]],"")</f>
        <v>2011.8568891411387</v>
      </c>
      <c r="I92" s="19">
        <f>IF(PaymentSchedule345[[#This Row],[PMT NO]]&lt;&gt;"",PaymentSchedule345[[#This Row],[BEGINNING BALANCE]]*(InterestRate/PaymentsPerYear),"")</f>
        <v>6979.3998577566426</v>
      </c>
      <c r="J9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1859161.4385126305</v>
      </c>
      <c r="K92" s="19">
        <f>IF(PaymentSchedule345[[#This Row],[PMT NO]]&lt;&gt;"",SUM(INDEX(PaymentSchedule345[INTEREST],1,1):PaymentSchedule345[[#This Row],[INTEREST]]),"")</f>
        <v>587453.23501134943</v>
      </c>
    </row>
    <row r="93" spans="2:11" x14ac:dyDescent="0.3">
      <c r="B93" s="21">
        <f>IF(LoanIsGood,IF(ROW()-ROW(PaymentSchedule345[[#Headers],[PMT NO]])&gt;ScheduledNumberOfPayments,"",ROW()-ROW(PaymentSchedule345[[#Headers],[PMT NO]])),"")</f>
        <v>82</v>
      </c>
      <c r="C93" s="20">
        <f>IF(PaymentSchedule345[[#This Row],[PMT NO]]&lt;&gt;"",EOMONTH(LoanStartDate,ROW(PaymentSchedule345[[#This Row],[PMT NO]])-ROW(PaymentSchedule345[[#Headers],[PMT NO]])-2)+DAY(LoanStartDate),"")</f>
        <v>46113</v>
      </c>
      <c r="D9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1859161.4385126305</v>
      </c>
      <c r="E93" s="19">
        <f>IF(PaymentSchedule345[[#This Row],[PMT NO]]&lt;&gt;"",ScheduledPayment,"")</f>
        <v>8991.2567468977813</v>
      </c>
      <c r="F9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9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93" s="19">
        <f>IF(PaymentSchedule345[[#This Row],[PMT NO]]&lt;&gt;"",PaymentSchedule345[[#This Row],[TOTAL PAYMENT]]-PaymentSchedule345[[#This Row],[INTEREST]],"")</f>
        <v>2019.4013524754173</v>
      </c>
      <c r="I93" s="19">
        <f>IF(PaymentSchedule345[[#This Row],[PMT NO]]&lt;&gt;"",PaymentSchedule345[[#This Row],[BEGINNING BALANCE]]*(InterestRate/PaymentsPerYear),"")</f>
        <v>6971.855394422364</v>
      </c>
      <c r="J9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1857142.0371601551</v>
      </c>
      <c r="K93" s="19">
        <f>IF(PaymentSchedule345[[#This Row],[PMT NO]]&lt;&gt;"",SUM(INDEX(PaymentSchedule345[INTEREST],1,1):PaymentSchedule345[[#This Row],[INTEREST]]),"")</f>
        <v>594425.09040577174</v>
      </c>
    </row>
    <row r="94" spans="2:11" x14ac:dyDescent="0.3">
      <c r="B94" s="21">
        <f>IF(LoanIsGood,IF(ROW()-ROW(PaymentSchedule345[[#Headers],[PMT NO]])&gt;ScheduledNumberOfPayments,"",ROW()-ROW(PaymentSchedule345[[#Headers],[PMT NO]])),"")</f>
        <v>83</v>
      </c>
      <c r="C94" s="20">
        <f>IF(PaymentSchedule345[[#This Row],[PMT NO]]&lt;&gt;"",EOMONTH(LoanStartDate,ROW(PaymentSchedule345[[#This Row],[PMT NO]])-ROW(PaymentSchedule345[[#Headers],[PMT NO]])-2)+DAY(LoanStartDate),"")</f>
        <v>46143</v>
      </c>
      <c r="D9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1857142.0371601551</v>
      </c>
      <c r="E94" s="19">
        <f>IF(PaymentSchedule345[[#This Row],[PMT NO]]&lt;&gt;"",ScheduledPayment,"")</f>
        <v>8991.2567468977813</v>
      </c>
      <c r="F9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9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94" s="19">
        <f>IF(PaymentSchedule345[[#This Row],[PMT NO]]&lt;&gt;"",PaymentSchedule345[[#This Row],[TOTAL PAYMENT]]-PaymentSchedule345[[#This Row],[INTEREST]],"")</f>
        <v>2026.9741075472002</v>
      </c>
      <c r="I94" s="19">
        <f>IF(PaymentSchedule345[[#This Row],[PMT NO]]&lt;&gt;"",PaymentSchedule345[[#This Row],[BEGINNING BALANCE]]*(InterestRate/PaymentsPerYear),"")</f>
        <v>6964.2826393505811</v>
      </c>
      <c r="J9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1855115.0630526079</v>
      </c>
      <c r="K94" s="19">
        <f>IF(PaymentSchedule345[[#This Row],[PMT NO]]&lt;&gt;"",SUM(INDEX(PaymentSchedule345[INTEREST],1,1):PaymentSchedule345[[#This Row],[INTEREST]]),"")</f>
        <v>601389.37304512237</v>
      </c>
    </row>
    <row r="95" spans="2:11" x14ac:dyDescent="0.3">
      <c r="B95" s="21">
        <f>IF(LoanIsGood,IF(ROW()-ROW(PaymentSchedule345[[#Headers],[PMT NO]])&gt;ScheduledNumberOfPayments,"",ROW()-ROW(PaymentSchedule345[[#Headers],[PMT NO]])),"")</f>
        <v>84</v>
      </c>
      <c r="C95" s="20">
        <f>IF(PaymentSchedule345[[#This Row],[PMT NO]]&lt;&gt;"",EOMONTH(LoanStartDate,ROW(PaymentSchedule345[[#This Row],[PMT NO]])-ROW(PaymentSchedule345[[#Headers],[PMT NO]])-2)+DAY(LoanStartDate),"")</f>
        <v>46174</v>
      </c>
      <c r="D9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1855115.0630526079</v>
      </c>
      <c r="E95" s="19">
        <f>IF(PaymentSchedule345[[#This Row],[PMT NO]]&lt;&gt;"",ScheduledPayment,"")</f>
        <v>8991.2567468977813</v>
      </c>
      <c r="F9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9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95" s="19">
        <f>IF(PaymentSchedule345[[#This Row],[PMT NO]]&lt;&gt;"",PaymentSchedule345[[#This Row],[TOTAL PAYMENT]]-PaymentSchedule345[[#This Row],[INTEREST]],"")</f>
        <v>2034.5752604505014</v>
      </c>
      <c r="I95" s="19">
        <f>IF(PaymentSchedule345[[#This Row],[PMT NO]]&lt;&gt;"",PaymentSchedule345[[#This Row],[BEGINNING BALANCE]]*(InterestRate/PaymentsPerYear),"")</f>
        <v>6956.6814864472799</v>
      </c>
      <c r="J9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1853080.4877921573</v>
      </c>
      <c r="K95" s="19">
        <f>IF(PaymentSchedule345[[#This Row],[PMT NO]]&lt;&gt;"",SUM(INDEX(PaymentSchedule345[INTEREST],1,1):PaymentSchedule345[[#This Row],[INTEREST]]),"")</f>
        <v>608346.05453156959</v>
      </c>
    </row>
    <row r="96" spans="2:11" x14ac:dyDescent="0.3">
      <c r="B96" s="21">
        <f>IF(LoanIsGood,IF(ROW()-ROW(PaymentSchedule345[[#Headers],[PMT NO]])&gt;ScheduledNumberOfPayments,"",ROW()-ROW(PaymentSchedule345[[#Headers],[PMT NO]])),"")</f>
        <v>85</v>
      </c>
      <c r="C96" s="20">
        <f>IF(PaymentSchedule345[[#This Row],[PMT NO]]&lt;&gt;"",EOMONTH(LoanStartDate,ROW(PaymentSchedule345[[#This Row],[PMT NO]])-ROW(PaymentSchedule345[[#Headers],[PMT NO]])-2)+DAY(LoanStartDate),"")</f>
        <v>46204</v>
      </c>
      <c r="D9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1853080.4877921573</v>
      </c>
      <c r="E96" s="19">
        <f>IF(PaymentSchedule345[[#This Row],[PMT NO]]&lt;&gt;"",ScheduledPayment,"")</f>
        <v>8991.2567468977813</v>
      </c>
      <c r="F9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9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96" s="19">
        <f>IF(PaymentSchedule345[[#This Row],[PMT NO]]&lt;&gt;"",PaymentSchedule345[[#This Row],[TOTAL PAYMENT]]-PaymentSchedule345[[#This Row],[INTEREST]],"")</f>
        <v>2042.2049176771916</v>
      </c>
      <c r="I96" s="19">
        <f>IF(PaymentSchedule345[[#This Row],[PMT NO]]&lt;&gt;"",PaymentSchedule345[[#This Row],[BEGINNING BALANCE]]*(InterestRate/PaymentsPerYear),"")</f>
        <v>6949.0518292205898</v>
      </c>
      <c r="J9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1851038.2828744801</v>
      </c>
      <c r="K96" s="19">
        <f>IF(PaymentSchedule345[[#This Row],[PMT NO]]&lt;&gt;"",SUM(INDEX(PaymentSchedule345[INTEREST],1,1):PaymentSchedule345[[#This Row],[INTEREST]]),"")</f>
        <v>615295.1063607902</v>
      </c>
    </row>
    <row r="97" spans="2:11" x14ac:dyDescent="0.3">
      <c r="B97" s="21">
        <f>IF(LoanIsGood,IF(ROW()-ROW(PaymentSchedule345[[#Headers],[PMT NO]])&gt;ScheduledNumberOfPayments,"",ROW()-ROW(PaymentSchedule345[[#Headers],[PMT NO]])),"")</f>
        <v>86</v>
      </c>
      <c r="C97" s="20">
        <f>IF(PaymentSchedule345[[#This Row],[PMT NO]]&lt;&gt;"",EOMONTH(LoanStartDate,ROW(PaymentSchedule345[[#This Row],[PMT NO]])-ROW(PaymentSchedule345[[#Headers],[PMT NO]])-2)+DAY(LoanStartDate),"")</f>
        <v>46235</v>
      </c>
      <c r="D9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1851038.2828744801</v>
      </c>
      <c r="E97" s="19">
        <f>IF(PaymentSchedule345[[#This Row],[PMT NO]]&lt;&gt;"",ScheduledPayment,"")</f>
        <v>8991.2567468977813</v>
      </c>
      <c r="F9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9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97" s="19">
        <f>IF(PaymentSchedule345[[#This Row],[PMT NO]]&lt;&gt;"",PaymentSchedule345[[#This Row],[TOTAL PAYMENT]]-PaymentSchedule345[[#This Row],[INTEREST]],"")</f>
        <v>2049.8631861184813</v>
      </c>
      <c r="I97" s="19">
        <f>IF(PaymentSchedule345[[#This Row],[PMT NO]]&lt;&gt;"",PaymentSchedule345[[#This Row],[BEGINNING BALANCE]]*(InterestRate/PaymentsPerYear),"")</f>
        <v>6941.3935607793001</v>
      </c>
      <c r="J9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1848988.4196883617</v>
      </c>
      <c r="K97" s="19">
        <f>IF(PaymentSchedule345[[#This Row],[PMT NO]]&lt;&gt;"",SUM(INDEX(PaymentSchedule345[INTEREST],1,1):PaymentSchedule345[[#This Row],[INTEREST]]),"")</f>
        <v>622236.49992156948</v>
      </c>
    </row>
    <row r="98" spans="2:11" x14ac:dyDescent="0.3">
      <c r="B98" s="21">
        <f>IF(LoanIsGood,IF(ROW()-ROW(PaymentSchedule345[[#Headers],[PMT NO]])&gt;ScheduledNumberOfPayments,"",ROW()-ROW(PaymentSchedule345[[#Headers],[PMT NO]])),"")</f>
        <v>87</v>
      </c>
      <c r="C98" s="20">
        <f>IF(PaymentSchedule345[[#This Row],[PMT NO]]&lt;&gt;"",EOMONTH(LoanStartDate,ROW(PaymentSchedule345[[#This Row],[PMT NO]])-ROW(PaymentSchedule345[[#Headers],[PMT NO]])-2)+DAY(LoanStartDate),"")</f>
        <v>46266</v>
      </c>
      <c r="D9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1848988.4196883617</v>
      </c>
      <c r="E98" s="19">
        <f>IF(PaymentSchedule345[[#This Row],[PMT NO]]&lt;&gt;"",ScheduledPayment,"")</f>
        <v>8991.2567468977813</v>
      </c>
      <c r="F9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9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98" s="19">
        <f>IF(PaymentSchedule345[[#This Row],[PMT NO]]&lt;&gt;"",PaymentSchedule345[[#This Row],[TOTAL PAYMENT]]-PaymentSchedule345[[#This Row],[INTEREST]],"")</f>
        <v>2057.5501730664255</v>
      </c>
      <c r="I98" s="19">
        <f>IF(PaymentSchedule345[[#This Row],[PMT NO]]&lt;&gt;"",PaymentSchedule345[[#This Row],[BEGINNING BALANCE]]*(InterestRate/PaymentsPerYear),"")</f>
        <v>6933.7065738313559</v>
      </c>
      <c r="J9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1846930.8695152954</v>
      </c>
      <c r="K98" s="19">
        <f>IF(PaymentSchedule345[[#This Row],[PMT NO]]&lt;&gt;"",SUM(INDEX(PaymentSchedule345[INTEREST],1,1):PaymentSchedule345[[#This Row],[INTEREST]]),"")</f>
        <v>629170.20649540087</v>
      </c>
    </row>
    <row r="99" spans="2:11" x14ac:dyDescent="0.3">
      <c r="B99" s="21">
        <f>IF(LoanIsGood,IF(ROW()-ROW(PaymentSchedule345[[#Headers],[PMT NO]])&gt;ScheduledNumberOfPayments,"",ROW()-ROW(PaymentSchedule345[[#Headers],[PMT NO]])),"")</f>
        <v>88</v>
      </c>
      <c r="C99" s="20">
        <f>IF(PaymentSchedule345[[#This Row],[PMT NO]]&lt;&gt;"",EOMONTH(LoanStartDate,ROW(PaymentSchedule345[[#This Row],[PMT NO]])-ROW(PaymentSchedule345[[#Headers],[PMT NO]])-2)+DAY(LoanStartDate),"")</f>
        <v>46296</v>
      </c>
      <c r="D9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1846930.8695152954</v>
      </c>
      <c r="E99" s="19">
        <f>IF(PaymentSchedule345[[#This Row],[PMT NO]]&lt;&gt;"",ScheduledPayment,"")</f>
        <v>8991.2567468977813</v>
      </c>
      <c r="F9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9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99" s="19">
        <f>IF(PaymentSchedule345[[#This Row],[PMT NO]]&lt;&gt;"",PaymentSchedule345[[#This Row],[TOTAL PAYMENT]]-PaymentSchedule345[[#This Row],[INTEREST]],"")</f>
        <v>2065.2659862154242</v>
      </c>
      <c r="I99" s="19">
        <f>IF(PaymentSchedule345[[#This Row],[PMT NO]]&lt;&gt;"",PaymentSchedule345[[#This Row],[BEGINNING BALANCE]]*(InterestRate/PaymentsPerYear),"")</f>
        <v>6925.9907606823572</v>
      </c>
      <c r="J9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1844865.6035290801</v>
      </c>
      <c r="K99" s="19">
        <f>IF(PaymentSchedule345[[#This Row],[PMT NO]]&lt;&gt;"",SUM(INDEX(PaymentSchedule345[INTEREST],1,1):PaymentSchedule345[[#This Row],[INTEREST]]),"")</f>
        <v>636096.19725608325</v>
      </c>
    </row>
    <row r="100" spans="2:11" x14ac:dyDescent="0.3">
      <c r="B100" s="21">
        <f>IF(LoanIsGood,IF(ROW()-ROW(PaymentSchedule345[[#Headers],[PMT NO]])&gt;ScheduledNumberOfPayments,"",ROW()-ROW(PaymentSchedule345[[#Headers],[PMT NO]])),"")</f>
        <v>89</v>
      </c>
      <c r="C100" s="20">
        <f>IF(PaymentSchedule345[[#This Row],[PMT NO]]&lt;&gt;"",EOMONTH(LoanStartDate,ROW(PaymentSchedule345[[#This Row],[PMT NO]])-ROW(PaymentSchedule345[[#Headers],[PMT NO]])-2)+DAY(LoanStartDate),"")</f>
        <v>46327</v>
      </c>
      <c r="D10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1844865.6035290801</v>
      </c>
      <c r="E100" s="19">
        <f>IF(PaymentSchedule345[[#This Row],[PMT NO]]&lt;&gt;"",ScheduledPayment,"")</f>
        <v>8991.2567468977813</v>
      </c>
      <c r="F10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0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00" s="19">
        <f>IF(PaymentSchedule345[[#This Row],[PMT NO]]&lt;&gt;"",PaymentSchedule345[[#This Row],[TOTAL PAYMENT]]-PaymentSchedule345[[#This Row],[INTEREST]],"")</f>
        <v>2073.0107336637311</v>
      </c>
      <c r="I100" s="19">
        <f>IF(PaymentSchedule345[[#This Row],[PMT NO]]&lt;&gt;"",PaymentSchedule345[[#This Row],[BEGINNING BALANCE]]*(InterestRate/PaymentsPerYear),"")</f>
        <v>6918.2460132340502</v>
      </c>
      <c r="J10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1842792.5927954162</v>
      </c>
      <c r="K100" s="19">
        <f>IF(PaymentSchedule345[[#This Row],[PMT NO]]&lt;&gt;"",SUM(INDEX(PaymentSchedule345[INTEREST],1,1):PaymentSchedule345[[#This Row],[INTEREST]]),"")</f>
        <v>643014.44326931727</v>
      </c>
    </row>
    <row r="101" spans="2:11" x14ac:dyDescent="0.3">
      <c r="B101" s="21">
        <f>IF(LoanIsGood,IF(ROW()-ROW(PaymentSchedule345[[#Headers],[PMT NO]])&gt;ScheduledNumberOfPayments,"",ROW()-ROW(PaymentSchedule345[[#Headers],[PMT NO]])),"")</f>
        <v>90</v>
      </c>
      <c r="C101" s="20">
        <f>IF(PaymentSchedule345[[#This Row],[PMT NO]]&lt;&gt;"",EOMONTH(LoanStartDate,ROW(PaymentSchedule345[[#This Row],[PMT NO]])-ROW(PaymentSchedule345[[#Headers],[PMT NO]])-2)+DAY(LoanStartDate),"")</f>
        <v>46357</v>
      </c>
      <c r="D10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1842792.5927954162</v>
      </c>
      <c r="E101" s="19">
        <f>IF(PaymentSchedule345[[#This Row],[PMT NO]]&lt;&gt;"",ScheduledPayment,"")</f>
        <v>8991.2567468977813</v>
      </c>
      <c r="F10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0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01" s="19">
        <f>IF(PaymentSchedule345[[#This Row],[PMT NO]]&lt;&gt;"",PaymentSchedule345[[#This Row],[TOTAL PAYMENT]]-PaymentSchedule345[[#This Row],[INTEREST]],"")</f>
        <v>2080.784523914971</v>
      </c>
      <c r="I101" s="19">
        <f>IF(PaymentSchedule345[[#This Row],[PMT NO]]&lt;&gt;"",PaymentSchedule345[[#This Row],[BEGINNING BALANCE]]*(InterestRate/PaymentsPerYear),"")</f>
        <v>6910.4722229828103</v>
      </c>
      <c r="J10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1840711.8082715012</v>
      </c>
      <c r="K101" s="19">
        <f>IF(PaymentSchedule345[[#This Row],[PMT NO]]&lt;&gt;"",SUM(INDEX(PaymentSchedule345[INTEREST],1,1):PaymentSchedule345[[#This Row],[INTEREST]]),"")</f>
        <v>649924.91549230006</v>
      </c>
    </row>
    <row r="102" spans="2:11" x14ac:dyDescent="0.3">
      <c r="B102" s="21">
        <f>IF(LoanIsGood,IF(ROW()-ROW(PaymentSchedule345[[#Headers],[PMT NO]])&gt;ScheduledNumberOfPayments,"",ROW()-ROW(PaymentSchedule345[[#Headers],[PMT NO]])),"")</f>
        <v>91</v>
      </c>
      <c r="C102" s="20">
        <f>IF(PaymentSchedule345[[#This Row],[PMT NO]]&lt;&gt;"",EOMONTH(LoanStartDate,ROW(PaymentSchedule345[[#This Row],[PMT NO]])-ROW(PaymentSchedule345[[#Headers],[PMT NO]])-2)+DAY(LoanStartDate),"")</f>
        <v>46388</v>
      </c>
      <c r="D10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1840711.8082715012</v>
      </c>
      <c r="E102" s="19">
        <f>IF(PaymentSchedule345[[#This Row],[PMT NO]]&lt;&gt;"",ScheduledPayment,"")</f>
        <v>8991.2567468977813</v>
      </c>
      <c r="F10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0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02" s="19">
        <f>IF(PaymentSchedule345[[#This Row],[PMT NO]]&lt;&gt;"",PaymentSchedule345[[#This Row],[TOTAL PAYMENT]]-PaymentSchedule345[[#This Row],[INTEREST]],"")</f>
        <v>2088.587465879652</v>
      </c>
      <c r="I102" s="19">
        <f>IF(PaymentSchedule345[[#This Row],[PMT NO]]&lt;&gt;"",PaymentSchedule345[[#This Row],[BEGINNING BALANCE]]*(InterestRate/PaymentsPerYear),"")</f>
        <v>6902.6692810181294</v>
      </c>
      <c r="J10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1838623.2208056215</v>
      </c>
      <c r="K102" s="19">
        <f>IF(PaymentSchedule345[[#This Row],[PMT NO]]&lt;&gt;"",SUM(INDEX(PaymentSchedule345[INTEREST],1,1):PaymentSchedule345[[#This Row],[INTEREST]]),"")</f>
        <v>656827.58477331814</v>
      </c>
    </row>
    <row r="103" spans="2:11" x14ac:dyDescent="0.3">
      <c r="B103" s="21">
        <f>IF(LoanIsGood,IF(ROW()-ROW(PaymentSchedule345[[#Headers],[PMT NO]])&gt;ScheduledNumberOfPayments,"",ROW()-ROW(PaymentSchedule345[[#Headers],[PMT NO]])),"")</f>
        <v>92</v>
      </c>
      <c r="C103" s="20">
        <f>IF(PaymentSchedule345[[#This Row],[PMT NO]]&lt;&gt;"",EOMONTH(LoanStartDate,ROW(PaymentSchedule345[[#This Row],[PMT NO]])-ROW(PaymentSchedule345[[#Headers],[PMT NO]])-2)+DAY(LoanStartDate),"")</f>
        <v>46419</v>
      </c>
      <c r="D10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1838623.2208056215</v>
      </c>
      <c r="E103" s="19">
        <f>IF(PaymentSchedule345[[#This Row],[PMT NO]]&lt;&gt;"",ScheduledPayment,"")</f>
        <v>8991.2567468977813</v>
      </c>
      <c r="F10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0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03" s="19">
        <f>IF(PaymentSchedule345[[#This Row],[PMT NO]]&lt;&gt;"",PaymentSchedule345[[#This Row],[TOTAL PAYMENT]]-PaymentSchedule345[[#This Row],[INTEREST]],"")</f>
        <v>2096.4196688767015</v>
      </c>
      <c r="I103" s="19">
        <f>IF(PaymentSchedule345[[#This Row],[PMT NO]]&lt;&gt;"",PaymentSchedule345[[#This Row],[BEGINNING BALANCE]]*(InterestRate/PaymentsPerYear),"")</f>
        <v>6894.8370780210798</v>
      </c>
      <c r="J10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1836526.8011367447</v>
      </c>
      <c r="K103" s="19">
        <f>IF(PaymentSchedule345[[#This Row],[PMT NO]]&lt;&gt;"",SUM(INDEX(PaymentSchedule345[INTEREST],1,1):PaymentSchedule345[[#This Row],[INTEREST]]),"")</f>
        <v>663722.42185133917</v>
      </c>
    </row>
    <row r="104" spans="2:11" x14ac:dyDescent="0.3">
      <c r="B104" s="21">
        <f>IF(LoanIsGood,IF(ROW()-ROW(PaymentSchedule345[[#Headers],[PMT NO]])&gt;ScheduledNumberOfPayments,"",ROW()-ROW(PaymentSchedule345[[#Headers],[PMT NO]])),"")</f>
        <v>93</v>
      </c>
      <c r="C104" s="20">
        <f>IF(PaymentSchedule345[[#This Row],[PMT NO]]&lt;&gt;"",EOMONTH(LoanStartDate,ROW(PaymentSchedule345[[#This Row],[PMT NO]])-ROW(PaymentSchedule345[[#Headers],[PMT NO]])-2)+DAY(LoanStartDate),"")</f>
        <v>46447</v>
      </c>
      <c r="D10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1836526.8011367447</v>
      </c>
      <c r="E104" s="19">
        <f>IF(PaymentSchedule345[[#This Row],[PMT NO]]&lt;&gt;"",ScheduledPayment,"")</f>
        <v>8991.2567468977813</v>
      </c>
      <c r="F10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0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04" s="19">
        <f>IF(PaymentSchedule345[[#This Row],[PMT NO]]&lt;&gt;"",PaymentSchedule345[[#This Row],[TOTAL PAYMENT]]-PaymentSchedule345[[#This Row],[INTEREST]],"")</f>
        <v>2104.2812426349892</v>
      </c>
      <c r="I104" s="19">
        <f>IF(PaymentSchedule345[[#This Row],[PMT NO]]&lt;&gt;"",PaymentSchedule345[[#This Row],[BEGINNING BALANCE]]*(InterestRate/PaymentsPerYear),"")</f>
        <v>6886.9755042627921</v>
      </c>
      <c r="J10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1834422.5198941096</v>
      </c>
      <c r="K104" s="19">
        <f>IF(PaymentSchedule345[[#This Row],[PMT NO]]&lt;&gt;"",SUM(INDEX(PaymentSchedule345[INTEREST],1,1):PaymentSchedule345[[#This Row],[INTEREST]]),"")</f>
        <v>670609.39735560201</v>
      </c>
    </row>
    <row r="105" spans="2:11" x14ac:dyDescent="0.3">
      <c r="B105" s="21">
        <f>IF(LoanIsGood,IF(ROW()-ROW(PaymentSchedule345[[#Headers],[PMT NO]])&gt;ScheduledNumberOfPayments,"",ROW()-ROW(PaymentSchedule345[[#Headers],[PMT NO]])),"")</f>
        <v>94</v>
      </c>
      <c r="C105" s="20">
        <f>IF(PaymentSchedule345[[#This Row],[PMT NO]]&lt;&gt;"",EOMONTH(LoanStartDate,ROW(PaymentSchedule345[[#This Row],[PMT NO]])-ROW(PaymentSchedule345[[#Headers],[PMT NO]])-2)+DAY(LoanStartDate),"")</f>
        <v>46478</v>
      </c>
      <c r="D10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1834422.5198941096</v>
      </c>
      <c r="E105" s="19">
        <f>IF(PaymentSchedule345[[#This Row],[PMT NO]]&lt;&gt;"",ScheduledPayment,"")</f>
        <v>8991.2567468977813</v>
      </c>
      <c r="F10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0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05" s="19">
        <f>IF(PaymentSchedule345[[#This Row],[PMT NO]]&lt;&gt;"",PaymentSchedule345[[#This Row],[TOTAL PAYMENT]]-PaymentSchedule345[[#This Row],[INTEREST]],"")</f>
        <v>2112.172297294871</v>
      </c>
      <c r="I105" s="19">
        <f>IF(PaymentSchedule345[[#This Row],[PMT NO]]&lt;&gt;"",PaymentSchedule345[[#This Row],[BEGINNING BALANCE]]*(InterestRate/PaymentsPerYear),"")</f>
        <v>6879.0844496029104</v>
      </c>
      <c r="J10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1832310.3475968146</v>
      </c>
      <c r="K105" s="19">
        <f>IF(PaymentSchedule345[[#This Row],[PMT NO]]&lt;&gt;"",SUM(INDEX(PaymentSchedule345[INTEREST],1,1):PaymentSchedule345[[#This Row],[INTEREST]]),"")</f>
        <v>677488.48180520488</v>
      </c>
    </row>
    <row r="106" spans="2:11" x14ac:dyDescent="0.3">
      <c r="B106" s="21">
        <f>IF(LoanIsGood,IF(ROW()-ROW(PaymentSchedule345[[#Headers],[PMT NO]])&gt;ScheduledNumberOfPayments,"",ROW()-ROW(PaymentSchedule345[[#Headers],[PMT NO]])),"")</f>
        <v>95</v>
      </c>
      <c r="C106" s="20">
        <f>IF(PaymentSchedule345[[#This Row],[PMT NO]]&lt;&gt;"",EOMONTH(LoanStartDate,ROW(PaymentSchedule345[[#This Row],[PMT NO]])-ROW(PaymentSchedule345[[#Headers],[PMT NO]])-2)+DAY(LoanStartDate),"")</f>
        <v>46508</v>
      </c>
      <c r="D10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1832310.3475968146</v>
      </c>
      <c r="E106" s="19">
        <f>IF(PaymentSchedule345[[#This Row],[PMT NO]]&lt;&gt;"",ScheduledPayment,"")</f>
        <v>8991.2567468977813</v>
      </c>
      <c r="F10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0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06" s="19">
        <f>IF(PaymentSchedule345[[#This Row],[PMT NO]]&lt;&gt;"",PaymentSchedule345[[#This Row],[TOTAL PAYMENT]]-PaymentSchedule345[[#This Row],[INTEREST]],"")</f>
        <v>2120.092943409727</v>
      </c>
      <c r="I106" s="19">
        <f>IF(PaymentSchedule345[[#This Row],[PMT NO]]&lt;&gt;"",PaymentSchedule345[[#This Row],[BEGINNING BALANCE]]*(InterestRate/PaymentsPerYear),"")</f>
        <v>6871.1638034880543</v>
      </c>
      <c r="J10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1830190.2546534049</v>
      </c>
      <c r="K106" s="19">
        <f>IF(PaymentSchedule345[[#This Row],[PMT NO]]&lt;&gt;"",SUM(INDEX(PaymentSchedule345[INTEREST],1,1):PaymentSchedule345[[#This Row],[INTEREST]]),"")</f>
        <v>684359.6456086929</v>
      </c>
    </row>
    <row r="107" spans="2:11" x14ac:dyDescent="0.3">
      <c r="B107" s="21">
        <f>IF(LoanIsGood,IF(ROW()-ROW(PaymentSchedule345[[#Headers],[PMT NO]])&gt;ScheduledNumberOfPayments,"",ROW()-ROW(PaymentSchedule345[[#Headers],[PMT NO]])),"")</f>
        <v>96</v>
      </c>
      <c r="C107" s="20">
        <f>IF(PaymentSchedule345[[#This Row],[PMT NO]]&lt;&gt;"",EOMONTH(LoanStartDate,ROW(PaymentSchedule345[[#This Row],[PMT NO]])-ROW(PaymentSchedule345[[#Headers],[PMT NO]])-2)+DAY(LoanStartDate),"")</f>
        <v>46539</v>
      </c>
      <c r="D10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1830190.2546534049</v>
      </c>
      <c r="E107" s="19">
        <f>IF(PaymentSchedule345[[#This Row],[PMT NO]]&lt;&gt;"",ScheduledPayment,"")</f>
        <v>8991.2567468977813</v>
      </c>
      <c r="F10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0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07" s="19">
        <f>IF(PaymentSchedule345[[#This Row],[PMT NO]]&lt;&gt;"",PaymentSchedule345[[#This Row],[TOTAL PAYMENT]]-PaymentSchedule345[[#This Row],[INTEREST]],"")</f>
        <v>2128.0432919475134</v>
      </c>
      <c r="I107" s="19">
        <f>IF(PaymentSchedule345[[#This Row],[PMT NO]]&lt;&gt;"",PaymentSchedule345[[#This Row],[BEGINNING BALANCE]]*(InterestRate/PaymentsPerYear),"")</f>
        <v>6863.213454950268</v>
      </c>
      <c r="J10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1828062.2113614574</v>
      </c>
      <c r="K107" s="19">
        <f>IF(PaymentSchedule345[[#This Row],[PMT NO]]&lt;&gt;"",SUM(INDEX(PaymentSchedule345[INTEREST],1,1):PaymentSchedule345[[#This Row],[INTEREST]]),"")</f>
        <v>691222.85906364315</v>
      </c>
    </row>
    <row r="108" spans="2:11" x14ac:dyDescent="0.3">
      <c r="B108" s="21">
        <f>IF(LoanIsGood,IF(ROW()-ROW(PaymentSchedule345[[#Headers],[PMT NO]])&gt;ScheduledNumberOfPayments,"",ROW()-ROW(PaymentSchedule345[[#Headers],[PMT NO]])),"")</f>
        <v>97</v>
      </c>
      <c r="C108" s="20">
        <f>IF(PaymentSchedule345[[#This Row],[PMT NO]]&lt;&gt;"",EOMONTH(LoanStartDate,ROW(PaymentSchedule345[[#This Row],[PMT NO]])-ROW(PaymentSchedule345[[#Headers],[PMT NO]])-2)+DAY(LoanStartDate),"")</f>
        <v>46569</v>
      </c>
      <c r="D10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1828062.2113614574</v>
      </c>
      <c r="E108" s="19">
        <f>IF(PaymentSchedule345[[#This Row],[PMT NO]]&lt;&gt;"",ScheduledPayment,"")</f>
        <v>8991.2567468977813</v>
      </c>
      <c r="F10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0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08" s="19">
        <f>IF(PaymentSchedule345[[#This Row],[PMT NO]]&lt;&gt;"",PaymentSchedule345[[#This Row],[TOTAL PAYMENT]]-PaymentSchedule345[[#This Row],[INTEREST]],"")</f>
        <v>2136.0234542923163</v>
      </c>
      <c r="I108" s="19">
        <f>IF(PaymentSchedule345[[#This Row],[PMT NO]]&lt;&gt;"",PaymentSchedule345[[#This Row],[BEGINNING BALANCE]]*(InterestRate/PaymentsPerYear),"")</f>
        <v>6855.2332926054651</v>
      </c>
      <c r="J10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1825926.1879071651</v>
      </c>
      <c r="K108" s="19">
        <f>IF(PaymentSchedule345[[#This Row],[PMT NO]]&lt;&gt;"",SUM(INDEX(PaymentSchedule345[INTEREST],1,1):PaymentSchedule345[[#This Row],[INTEREST]]),"")</f>
        <v>698078.09235624864</v>
      </c>
    </row>
    <row r="109" spans="2:11" x14ac:dyDescent="0.3">
      <c r="B109" s="21">
        <f>IF(LoanIsGood,IF(ROW()-ROW(PaymentSchedule345[[#Headers],[PMT NO]])&gt;ScheduledNumberOfPayments,"",ROW()-ROW(PaymentSchedule345[[#Headers],[PMT NO]])),"")</f>
        <v>98</v>
      </c>
      <c r="C109" s="20">
        <f>IF(PaymentSchedule345[[#This Row],[PMT NO]]&lt;&gt;"",EOMONTH(LoanStartDate,ROW(PaymentSchedule345[[#This Row],[PMT NO]])-ROW(PaymentSchedule345[[#Headers],[PMT NO]])-2)+DAY(LoanStartDate),"")</f>
        <v>46600</v>
      </c>
      <c r="D10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1825926.1879071651</v>
      </c>
      <c r="E109" s="19">
        <f>IF(PaymentSchedule345[[#This Row],[PMT NO]]&lt;&gt;"",ScheduledPayment,"")</f>
        <v>8991.2567468977813</v>
      </c>
      <c r="F10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0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09" s="19">
        <f>IF(PaymentSchedule345[[#This Row],[PMT NO]]&lt;&gt;"",PaymentSchedule345[[#This Row],[TOTAL PAYMENT]]-PaymentSchedule345[[#This Row],[INTEREST]],"")</f>
        <v>2144.033542245912</v>
      </c>
      <c r="I109" s="19">
        <f>IF(PaymentSchedule345[[#This Row],[PMT NO]]&lt;&gt;"",PaymentSchedule345[[#This Row],[BEGINNING BALANCE]]*(InterestRate/PaymentsPerYear),"")</f>
        <v>6847.2232046518693</v>
      </c>
      <c r="J10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1823782.1543649193</v>
      </c>
      <c r="K109" s="19">
        <f>IF(PaymentSchedule345[[#This Row],[PMT NO]]&lt;&gt;"",SUM(INDEX(PaymentSchedule345[INTEREST],1,1):PaymentSchedule345[[#This Row],[INTEREST]]),"")</f>
        <v>704925.31556090049</v>
      </c>
    </row>
    <row r="110" spans="2:11" x14ac:dyDescent="0.3">
      <c r="B110" s="21">
        <f>IF(LoanIsGood,IF(ROW()-ROW(PaymentSchedule345[[#Headers],[PMT NO]])&gt;ScheduledNumberOfPayments,"",ROW()-ROW(PaymentSchedule345[[#Headers],[PMT NO]])),"")</f>
        <v>99</v>
      </c>
      <c r="C110" s="20">
        <f>IF(PaymentSchedule345[[#This Row],[PMT NO]]&lt;&gt;"",EOMONTH(LoanStartDate,ROW(PaymentSchedule345[[#This Row],[PMT NO]])-ROW(PaymentSchedule345[[#Headers],[PMT NO]])-2)+DAY(LoanStartDate),"")</f>
        <v>46631</v>
      </c>
      <c r="D11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1823782.1543649193</v>
      </c>
      <c r="E110" s="19">
        <f>IF(PaymentSchedule345[[#This Row],[PMT NO]]&lt;&gt;"",ScheduledPayment,"")</f>
        <v>8991.2567468977813</v>
      </c>
      <c r="F11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1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10" s="19">
        <f>IF(PaymentSchedule345[[#This Row],[PMT NO]]&lt;&gt;"",PaymentSchedule345[[#This Row],[TOTAL PAYMENT]]-PaymentSchedule345[[#This Row],[INTEREST]],"")</f>
        <v>2152.0736680293339</v>
      </c>
      <c r="I110" s="19">
        <f>IF(PaymentSchedule345[[#This Row],[PMT NO]]&lt;&gt;"",PaymentSchedule345[[#This Row],[BEGINNING BALANCE]]*(InterestRate/PaymentsPerYear),"")</f>
        <v>6839.1830788684474</v>
      </c>
      <c r="J11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1821630.0806968899</v>
      </c>
      <c r="K110" s="19">
        <f>IF(PaymentSchedule345[[#This Row],[PMT NO]]&lt;&gt;"",SUM(INDEX(PaymentSchedule345[INTEREST],1,1):PaymentSchedule345[[#This Row],[INTEREST]]),"")</f>
        <v>711764.49863976892</v>
      </c>
    </row>
    <row r="111" spans="2:11" x14ac:dyDescent="0.3">
      <c r="B111" s="21">
        <f>IF(LoanIsGood,IF(ROW()-ROW(PaymentSchedule345[[#Headers],[PMT NO]])&gt;ScheduledNumberOfPayments,"",ROW()-ROW(PaymentSchedule345[[#Headers],[PMT NO]])),"")</f>
        <v>100</v>
      </c>
      <c r="C111" s="20">
        <f>IF(PaymentSchedule345[[#This Row],[PMT NO]]&lt;&gt;"",EOMONTH(LoanStartDate,ROW(PaymentSchedule345[[#This Row],[PMT NO]])-ROW(PaymentSchedule345[[#Headers],[PMT NO]])-2)+DAY(LoanStartDate),"")</f>
        <v>46661</v>
      </c>
      <c r="D11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1821630.0806968899</v>
      </c>
      <c r="E111" s="19">
        <f>IF(PaymentSchedule345[[#This Row],[PMT NO]]&lt;&gt;"",ScheduledPayment,"")</f>
        <v>8991.2567468977813</v>
      </c>
      <c r="F11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1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11" s="19">
        <f>IF(PaymentSchedule345[[#This Row],[PMT NO]]&lt;&gt;"",PaymentSchedule345[[#This Row],[TOTAL PAYMENT]]-PaymentSchedule345[[#This Row],[INTEREST]],"")</f>
        <v>2160.1439442844448</v>
      </c>
      <c r="I111" s="19">
        <f>IF(PaymentSchedule345[[#This Row],[PMT NO]]&lt;&gt;"",PaymentSchedule345[[#This Row],[BEGINNING BALANCE]]*(InterestRate/PaymentsPerYear),"")</f>
        <v>6831.1128026133365</v>
      </c>
      <c r="J11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1819469.9367526055</v>
      </c>
      <c r="K111" s="19">
        <f>IF(PaymentSchedule345[[#This Row],[PMT NO]]&lt;&gt;"",SUM(INDEX(PaymentSchedule345[INTEREST],1,1):PaymentSchedule345[[#This Row],[INTEREST]]),"")</f>
        <v>718595.61144238221</v>
      </c>
    </row>
    <row r="112" spans="2:11" x14ac:dyDescent="0.3">
      <c r="B112" s="21">
        <f>IF(LoanIsGood,IF(ROW()-ROW(PaymentSchedule345[[#Headers],[PMT NO]])&gt;ScheduledNumberOfPayments,"",ROW()-ROW(PaymentSchedule345[[#Headers],[PMT NO]])),"")</f>
        <v>101</v>
      </c>
      <c r="C112" s="20">
        <f>IF(PaymentSchedule345[[#This Row],[PMT NO]]&lt;&gt;"",EOMONTH(LoanStartDate,ROW(PaymentSchedule345[[#This Row],[PMT NO]])-ROW(PaymentSchedule345[[#Headers],[PMT NO]])-2)+DAY(LoanStartDate),"")</f>
        <v>46692</v>
      </c>
      <c r="D11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1819469.9367526055</v>
      </c>
      <c r="E112" s="19">
        <f>IF(PaymentSchedule345[[#This Row],[PMT NO]]&lt;&gt;"",ScheduledPayment,"")</f>
        <v>8991.2567468977813</v>
      </c>
      <c r="F11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1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12" s="19">
        <f>IF(PaymentSchedule345[[#This Row],[PMT NO]]&lt;&gt;"",PaymentSchedule345[[#This Row],[TOTAL PAYMENT]]-PaymentSchedule345[[#This Row],[INTEREST]],"")</f>
        <v>2168.2444840755106</v>
      </c>
      <c r="I112" s="19">
        <f>IF(PaymentSchedule345[[#This Row],[PMT NO]]&lt;&gt;"",PaymentSchedule345[[#This Row],[BEGINNING BALANCE]]*(InterestRate/PaymentsPerYear),"")</f>
        <v>6823.0122628222707</v>
      </c>
      <c r="J11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1817301.6922685299</v>
      </c>
      <c r="K112" s="19">
        <f>IF(PaymentSchedule345[[#This Row],[PMT NO]]&lt;&gt;"",SUM(INDEX(PaymentSchedule345[INTEREST],1,1):PaymentSchedule345[[#This Row],[INTEREST]]),"")</f>
        <v>725418.62370520446</v>
      </c>
    </row>
    <row r="113" spans="2:11" x14ac:dyDescent="0.3">
      <c r="B113" s="21">
        <f>IF(LoanIsGood,IF(ROW()-ROW(PaymentSchedule345[[#Headers],[PMT NO]])&gt;ScheduledNumberOfPayments,"",ROW()-ROW(PaymentSchedule345[[#Headers],[PMT NO]])),"")</f>
        <v>102</v>
      </c>
      <c r="C113" s="20">
        <f>IF(PaymentSchedule345[[#This Row],[PMT NO]]&lt;&gt;"",EOMONTH(LoanStartDate,ROW(PaymentSchedule345[[#This Row],[PMT NO]])-ROW(PaymentSchedule345[[#Headers],[PMT NO]])-2)+DAY(LoanStartDate),"")</f>
        <v>46722</v>
      </c>
      <c r="D11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1817301.6922685299</v>
      </c>
      <c r="E113" s="19">
        <f>IF(PaymentSchedule345[[#This Row],[PMT NO]]&lt;&gt;"",ScheduledPayment,"")</f>
        <v>8991.2567468977813</v>
      </c>
      <c r="F11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1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13" s="19">
        <f>IF(PaymentSchedule345[[#This Row],[PMT NO]]&lt;&gt;"",PaymentSchedule345[[#This Row],[TOTAL PAYMENT]]-PaymentSchedule345[[#This Row],[INTEREST]],"")</f>
        <v>2176.3754008907945</v>
      </c>
      <c r="I113" s="19">
        <f>IF(PaymentSchedule345[[#This Row],[PMT NO]]&lt;&gt;"",PaymentSchedule345[[#This Row],[BEGINNING BALANCE]]*(InterestRate/PaymentsPerYear),"")</f>
        <v>6814.8813460069869</v>
      </c>
      <c r="J11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1815125.3168676391</v>
      </c>
      <c r="K113" s="19">
        <f>IF(PaymentSchedule345[[#This Row],[PMT NO]]&lt;&gt;"",SUM(INDEX(PaymentSchedule345[INTEREST],1,1):PaymentSchedule345[[#This Row],[INTEREST]]),"")</f>
        <v>732233.50505121145</v>
      </c>
    </row>
    <row r="114" spans="2:11" x14ac:dyDescent="0.3">
      <c r="B114" s="21">
        <f>IF(LoanIsGood,IF(ROW()-ROW(PaymentSchedule345[[#Headers],[PMT NO]])&gt;ScheduledNumberOfPayments,"",ROW()-ROW(PaymentSchedule345[[#Headers],[PMT NO]])),"")</f>
        <v>103</v>
      </c>
      <c r="C114" s="20">
        <f>IF(PaymentSchedule345[[#This Row],[PMT NO]]&lt;&gt;"",EOMONTH(LoanStartDate,ROW(PaymentSchedule345[[#This Row],[PMT NO]])-ROW(PaymentSchedule345[[#Headers],[PMT NO]])-2)+DAY(LoanStartDate),"")</f>
        <v>46753</v>
      </c>
      <c r="D11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1815125.3168676391</v>
      </c>
      <c r="E114" s="19">
        <f>IF(PaymentSchedule345[[#This Row],[PMT NO]]&lt;&gt;"",ScheduledPayment,"")</f>
        <v>8991.2567468977813</v>
      </c>
      <c r="F11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1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14" s="19">
        <f>IF(PaymentSchedule345[[#This Row],[PMT NO]]&lt;&gt;"",PaymentSchedule345[[#This Row],[TOTAL PAYMENT]]-PaymentSchedule345[[#This Row],[INTEREST]],"")</f>
        <v>2184.5368086441349</v>
      </c>
      <c r="I114" s="19">
        <f>IF(PaymentSchedule345[[#This Row],[PMT NO]]&lt;&gt;"",PaymentSchedule345[[#This Row],[BEGINNING BALANCE]]*(InterestRate/PaymentsPerYear),"")</f>
        <v>6806.7199382536464</v>
      </c>
      <c r="J11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1812940.7800589949</v>
      </c>
      <c r="K114" s="19">
        <f>IF(PaymentSchedule345[[#This Row],[PMT NO]]&lt;&gt;"",SUM(INDEX(PaymentSchedule345[INTEREST],1,1):PaymentSchedule345[[#This Row],[INTEREST]]),"")</f>
        <v>739040.22498946509</v>
      </c>
    </row>
    <row r="115" spans="2:11" x14ac:dyDescent="0.3">
      <c r="B115" s="21">
        <f>IF(LoanIsGood,IF(ROW()-ROW(PaymentSchedule345[[#Headers],[PMT NO]])&gt;ScheduledNumberOfPayments,"",ROW()-ROW(PaymentSchedule345[[#Headers],[PMT NO]])),"")</f>
        <v>104</v>
      </c>
      <c r="C115" s="20">
        <f>IF(PaymentSchedule345[[#This Row],[PMT NO]]&lt;&gt;"",EOMONTH(LoanStartDate,ROW(PaymentSchedule345[[#This Row],[PMT NO]])-ROW(PaymentSchedule345[[#Headers],[PMT NO]])-2)+DAY(LoanStartDate),"")</f>
        <v>46784</v>
      </c>
      <c r="D11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1812940.7800589949</v>
      </c>
      <c r="E115" s="19">
        <f>IF(PaymentSchedule345[[#This Row],[PMT NO]]&lt;&gt;"",ScheduledPayment,"")</f>
        <v>8991.2567468977813</v>
      </c>
      <c r="F11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1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15" s="19">
        <f>IF(PaymentSchedule345[[#This Row],[PMT NO]]&lt;&gt;"",PaymentSchedule345[[#This Row],[TOTAL PAYMENT]]-PaymentSchedule345[[#This Row],[INTEREST]],"")</f>
        <v>2192.728821676551</v>
      </c>
      <c r="I115" s="19">
        <f>IF(PaymentSchedule345[[#This Row],[PMT NO]]&lt;&gt;"",PaymentSchedule345[[#This Row],[BEGINNING BALANCE]]*(InterestRate/PaymentsPerYear),"")</f>
        <v>6798.5279252212304</v>
      </c>
      <c r="J11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1810748.0512373184</v>
      </c>
      <c r="K115" s="19">
        <f>IF(PaymentSchedule345[[#This Row],[PMT NO]]&lt;&gt;"",SUM(INDEX(PaymentSchedule345[INTEREST],1,1):PaymentSchedule345[[#This Row],[INTEREST]]),"")</f>
        <v>745838.75291468634</v>
      </c>
    </row>
    <row r="116" spans="2:11" x14ac:dyDescent="0.3">
      <c r="B116" s="21">
        <f>IF(LoanIsGood,IF(ROW()-ROW(PaymentSchedule345[[#Headers],[PMT NO]])&gt;ScheduledNumberOfPayments,"",ROW()-ROW(PaymentSchedule345[[#Headers],[PMT NO]])),"")</f>
        <v>105</v>
      </c>
      <c r="C116" s="20">
        <f>IF(PaymentSchedule345[[#This Row],[PMT NO]]&lt;&gt;"",EOMONTH(LoanStartDate,ROW(PaymentSchedule345[[#This Row],[PMT NO]])-ROW(PaymentSchedule345[[#Headers],[PMT NO]])-2)+DAY(LoanStartDate),"")</f>
        <v>46813</v>
      </c>
      <c r="D11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1810748.0512373184</v>
      </c>
      <c r="E116" s="19">
        <f>IF(PaymentSchedule345[[#This Row],[PMT NO]]&lt;&gt;"",ScheduledPayment,"")</f>
        <v>8991.2567468977813</v>
      </c>
      <c r="F11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1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16" s="19">
        <f>IF(PaymentSchedule345[[#This Row],[PMT NO]]&lt;&gt;"",PaymentSchedule345[[#This Row],[TOTAL PAYMENT]]-PaymentSchedule345[[#This Row],[INTEREST]],"")</f>
        <v>2200.9515547578376</v>
      </c>
      <c r="I116" s="19">
        <f>IF(PaymentSchedule345[[#This Row],[PMT NO]]&lt;&gt;"",PaymentSchedule345[[#This Row],[BEGINNING BALANCE]]*(InterestRate/PaymentsPerYear),"")</f>
        <v>6790.3051921399438</v>
      </c>
      <c r="J11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1808547.0996825607</v>
      </c>
      <c r="K116" s="19">
        <f>IF(PaymentSchedule345[[#This Row],[PMT NO]]&lt;&gt;"",SUM(INDEX(PaymentSchedule345[INTEREST],1,1):PaymentSchedule345[[#This Row],[INTEREST]]),"")</f>
        <v>752629.05810682627</v>
      </c>
    </row>
    <row r="117" spans="2:11" x14ac:dyDescent="0.3">
      <c r="B117" s="21">
        <f>IF(LoanIsGood,IF(ROW()-ROW(PaymentSchedule345[[#Headers],[PMT NO]])&gt;ScheduledNumberOfPayments,"",ROW()-ROW(PaymentSchedule345[[#Headers],[PMT NO]])),"")</f>
        <v>106</v>
      </c>
      <c r="C117" s="20">
        <f>IF(PaymentSchedule345[[#This Row],[PMT NO]]&lt;&gt;"",EOMONTH(LoanStartDate,ROW(PaymentSchedule345[[#This Row],[PMT NO]])-ROW(PaymentSchedule345[[#Headers],[PMT NO]])-2)+DAY(LoanStartDate),"")</f>
        <v>46844</v>
      </c>
      <c r="D11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1808547.0996825607</v>
      </c>
      <c r="E117" s="19">
        <f>IF(PaymentSchedule345[[#This Row],[PMT NO]]&lt;&gt;"",ScheduledPayment,"")</f>
        <v>8991.2567468977813</v>
      </c>
      <c r="F11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1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17" s="19">
        <f>IF(PaymentSchedule345[[#This Row],[PMT NO]]&lt;&gt;"",PaymentSchedule345[[#This Row],[TOTAL PAYMENT]]-PaymentSchedule345[[#This Row],[INTEREST]],"")</f>
        <v>2209.2051230881789</v>
      </c>
      <c r="I117" s="19">
        <f>IF(PaymentSchedule345[[#This Row],[PMT NO]]&lt;&gt;"",PaymentSchedule345[[#This Row],[BEGINNING BALANCE]]*(InterestRate/PaymentsPerYear),"")</f>
        <v>6782.0516238096025</v>
      </c>
      <c r="J11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1806337.8945594726</v>
      </c>
      <c r="K117" s="19">
        <f>IF(PaymentSchedule345[[#This Row],[PMT NO]]&lt;&gt;"",SUM(INDEX(PaymentSchedule345[INTEREST],1,1):PaymentSchedule345[[#This Row],[INTEREST]]),"")</f>
        <v>759411.10973063589</v>
      </c>
    </row>
    <row r="118" spans="2:11" x14ac:dyDescent="0.3">
      <c r="B118" s="21">
        <f>IF(LoanIsGood,IF(ROW()-ROW(PaymentSchedule345[[#Headers],[PMT NO]])&gt;ScheduledNumberOfPayments,"",ROW()-ROW(PaymentSchedule345[[#Headers],[PMT NO]])),"")</f>
        <v>107</v>
      </c>
      <c r="C118" s="20">
        <f>IF(PaymentSchedule345[[#This Row],[PMT NO]]&lt;&gt;"",EOMONTH(LoanStartDate,ROW(PaymentSchedule345[[#This Row],[PMT NO]])-ROW(PaymentSchedule345[[#Headers],[PMT NO]])-2)+DAY(LoanStartDate),"")</f>
        <v>46874</v>
      </c>
      <c r="D11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1806337.8945594726</v>
      </c>
      <c r="E118" s="19">
        <f>IF(PaymentSchedule345[[#This Row],[PMT NO]]&lt;&gt;"",ScheduledPayment,"")</f>
        <v>8991.2567468977813</v>
      </c>
      <c r="F11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1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18" s="19">
        <f>IF(PaymentSchedule345[[#This Row],[PMT NO]]&lt;&gt;"",PaymentSchedule345[[#This Row],[TOTAL PAYMENT]]-PaymentSchedule345[[#This Row],[INTEREST]],"")</f>
        <v>2217.4896422997599</v>
      </c>
      <c r="I118" s="19">
        <f>IF(PaymentSchedule345[[#This Row],[PMT NO]]&lt;&gt;"",PaymentSchedule345[[#This Row],[BEGINNING BALANCE]]*(InterestRate/PaymentsPerYear),"")</f>
        <v>6773.7671045980214</v>
      </c>
      <c r="J11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1804120.4049171729</v>
      </c>
      <c r="K118" s="19">
        <f>IF(PaymentSchedule345[[#This Row],[PMT NO]]&lt;&gt;"",SUM(INDEX(PaymentSchedule345[INTEREST],1,1):PaymentSchedule345[[#This Row],[INTEREST]]),"")</f>
        <v>766184.87683523388</v>
      </c>
    </row>
    <row r="119" spans="2:11" x14ac:dyDescent="0.3">
      <c r="B119" s="21">
        <f>IF(LoanIsGood,IF(ROW()-ROW(PaymentSchedule345[[#Headers],[PMT NO]])&gt;ScheduledNumberOfPayments,"",ROW()-ROW(PaymentSchedule345[[#Headers],[PMT NO]])),"")</f>
        <v>108</v>
      </c>
      <c r="C119" s="20">
        <f>IF(PaymentSchedule345[[#This Row],[PMT NO]]&lt;&gt;"",EOMONTH(LoanStartDate,ROW(PaymentSchedule345[[#This Row],[PMT NO]])-ROW(PaymentSchedule345[[#Headers],[PMT NO]])-2)+DAY(LoanStartDate),"")</f>
        <v>46905</v>
      </c>
      <c r="D11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1804120.4049171729</v>
      </c>
      <c r="E119" s="19">
        <f>IF(PaymentSchedule345[[#This Row],[PMT NO]]&lt;&gt;"",ScheduledPayment,"")</f>
        <v>8991.2567468977813</v>
      </c>
      <c r="F11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1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19" s="19">
        <f>IF(PaymentSchedule345[[#This Row],[PMT NO]]&lt;&gt;"",PaymentSchedule345[[#This Row],[TOTAL PAYMENT]]-PaymentSchedule345[[#This Row],[INTEREST]],"")</f>
        <v>2225.8052284583837</v>
      </c>
      <c r="I119" s="19">
        <f>IF(PaymentSchedule345[[#This Row],[PMT NO]]&lt;&gt;"",PaymentSchedule345[[#This Row],[BEGINNING BALANCE]]*(InterestRate/PaymentsPerYear),"")</f>
        <v>6765.4515184393977</v>
      </c>
      <c r="J11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1801894.5996887144</v>
      </c>
      <c r="K119" s="19">
        <f>IF(PaymentSchedule345[[#This Row],[PMT NO]]&lt;&gt;"",SUM(INDEX(PaymentSchedule345[INTEREST],1,1):PaymentSchedule345[[#This Row],[INTEREST]]),"")</f>
        <v>772950.32835367334</v>
      </c>
    </row>
    <row r="120" spans="2:11" x14ac:dyDescent="0.3">
      <c r="B120" s="21">
        <f>IF(LoanIsGood,IF(ROW()-ROW(PaymentSchedule345[[#Headers],[PMT NO]])&gt;ScheduledNumberOfPayments,"",ROW()-ROW(PaymentSchedule345[[#Headers],[PMT NO]])),"")</f>
        <v>109</v>
      </c>
      <c r="C120" s="20">
        <f>IF(PaymentSchedule345[[#This Row],[PMT NO]]&lt;&gt;"",EOMONTH(LoanStartDate,ROW(PaymentSchedule345[[#This Row],[PMT NO]])-ROW(PaymentSchedule345[[#Headers],[PMT NO]])-2)+DAY(LoanStartDate),"")</f>
        <v>46935</v>
      </c>
      <c r="D12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1801894.5996887144</v>
      </c>
      <c r="E120" s="19">
        <f>IF(PaymentSchedule345[[#This Row],[PMT NO]]&lt;&gt;"",ScheduledPayment,"")</f>
        <v>8991.2567468977813</v>
      </c>
      <c r="F12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2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20" s="19">
        <f>IF(PaymentSchedule345[[#This Row],[PMT NO]]&lt;&gt;"",PaymentSchedule345[[#This Row],[TOTAL PAYMENT]]-PaymentSchedule345[[#This Row],[INTEREST]],"")</f>
        <v>2234.1519980651028</v>
      </c>
      <c r="I120" s="19">
        <f>IF(PaymentSchedule345[[#This Row],[PMT NO]]&lt;&gt;"",PaymentSchedule345[[#This Row],[BEGINNING BALANCE]]*(InterestRate/PaymentsPerYear),"")</f>
        <v>6757.1047488326785</v>
      </c>
      <c r="J12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1799660.4476906492</v>
      </c>
      <c r="K120" s="19">
        <f>IF(PaymentSchedule345[[#This Row],[PMT NO]]&lt;&gt;"",SUM(INDEX(PaymentSchedule345[INTEREST],1,1):PaymentSchedule345[[#This Row],[INTEREST]]),"")</f>
        <v>779707.43310250598</v>
      </c>
    </row>
    <row r="121" spans="2:11" x14ac:dyDescent="0.3">
      <c r="B121" s="21">
        <f>IF(LoanIsGood,IF(ROW()-ROW(PaymentSchedule345[[#Headers],[PMT NO]])&gt;ScheduledNumberOfPayments,"",ROW()-ROW(PaymentSchedule345[[#Headers],[PMT NO]])),"")</f>
        <v>110</v>
      </c>
      <c r="C121" s="20">
        <f>IF(PaymentSchedule345[[#This Row],[PMT NO]]&lt;&gt;"",EOMONTH(LoanStartDate,ROW(PaymentSchedule345[[#This Row],[PMT NO]])-ROW(PaymentSchedule345[[#Headers],[PMT NO]])-2)+DAY(LoanStartDate),"")</f>
        <v>46966</v>
      </c>
      <c r="D12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1799660.4476906492</v>
      </c>
      <c r="E121" s="19">
        <f>IF(PaymentSchedule345[[#This Row],[PMT NO]]&lt;&gt;"",ScheduledPayment,"")</f>
        <v>8991.2567468977813</v>
      </c>
      <c r="F12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2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21" s="19">
        <f>IF(PaymentSchedule345[[#This Row],[PMT NO]]&lt;&gt;"",PaymentSchedule345[[#This Row],[TOTAL PAYMENT]]-PaymentSchedule345[[#This Row],[INTEREST]],"")</f>
        <v>2242.5300680578475</v>
      </c>
      <c r="I121" s="19">
        <f>IF(PaymentSchedule345[[#This Row],[PMT NO]]&lt;&gt;"",PaymentSchedule345[[#This Row],[BEGINNING BALANCE]]*(InterestRate/PaymentsPerYear),"")</f>
        <v>6748.7266788399338</v>
      </c>
      <c r="J12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1797417.9176225914</v>
      </c>
      <c r="K121" s="19">
        <f>IF(PaymentSchedule345[[#This Row],[PMT NO]]&lt;&gt;"",SUM(INDEX(PaymentSchedule345[INTEREST],1,1):PaymentSchedule345[[#This Row],[INTEREST]]),"")</f>
        <v>786456.15978134586</v>
      </c>
    </row>
    <row r="122" spans="2:11" x14ac:dyDescent="0.3">
      <c r="B122" s="21">
        <f>IF(LoanIsGood,IF(ROW()-ROW(PaymentSchedule345[[#Headers],[PMT NO]])&gt;ScheduledNumberOfPayments,"",ROW()-ROW(PaymentSchedule345[[#Headers],[PMT NO]])),"")</f>
        <v>111</v>
      </c>
      <c r="C122" s="20">
        <f>IF(PaymentSchedule345[[#This Row],[PMT NO]]&lt;&gt;"",EOMONTH(LoanStartDate,ROW(PaymentSchedule345[[#This Row],[PMT NO]])-ROW(PaymentSchedule345[[#Headers],[PMT NO]])-2)+DAY(LoanStartDate),"")</f>
        <v>46997</v>
      </c>
      <c r="D12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1797417.9176225914</v>
      </c>
      <c r="E122" s="19">
        <f>IF(PaymentSchedule345[[#This Row],[PMT NO]]&lt;&gt;"",ScheduledPayment,"")</f>
        <v>8991.2567468977813</v>
      </c>
      <c r="F12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2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22" s="19">
        <f>IF(PaymentSchedule345[[#This Row],[PMT NO]]&lt;&gt;"",PaymentSchedule345[[#This Row],[TOTAL PAYMENT]]-PaymentSchedule345[[#This Row],[INTEREST]],"")</f>
        <v>2250.9395558130636</v>
      </c>
      <c r="I122" s="19">
        <f>IF(PaymentSchedule345[[#This Row],[PMT NO]]&lt;&gt;"",PaymentSchedule345[[#This Row],[BEGINNING BALANCE]]*(InterestRate/PaymentsPerYear),"")</f>
        <v>6740.3171910847177</v>
      </c>
      <c r="J12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1795166.9780667783</v>
      </c>
      <c r="K122" s="19">
        <f>IF(PaymentSchedule345[[#This Row],[PMT NO]]&lt;&gt;"",SUM(INDEX(PaymentSchedule345[INTEREST],1,1):PaymentSchedule345[[#This Row],[INTEREST]]),"")</f>
        <v>793196.4769724306</v>
      </c>
    </row>
    <row r="123" spans="2:11" x14ac:dyDescent="0.3">
      <c r="B123" s="21">
        <f>IF(LoanIsGood,IF(ROW()-ROW(PaymentSchedule345[[#Headers],[PMT NO]])&gt;ScheduledNumberOfPayments,"",ROW()-ROW(PaymentSchedule345[[#Headers],[PMT NO]])),"")</f>
        <v>112</v>
      </c>
      <c r="C123" s="20">
        <f>IF(PaymentSchedule345[[#This Row],[PMT NO]]&lt;&gt;"",EOMONTH(LoanStartDate,ROW(PaymentSchedule345[[#This Row],[PMT NO]])-ROW(PaymentSchedule345[[#Headers],[PMT NO]])-2)+DAY(LoanStartDate),"")</f>
        <v>47027</v>
      </c>
      <c r="D12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1795166.9780667783</v>
      </c>
      <c r="E123" s="19">
        <f>IF(PaymentSchedule345[[#This Row],[PMT NO]]&lt;&gt;"",ScheduledPayment,"")</f>
        <v>8991.2567468977813</v>
      </c>
      <c r="F12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2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23" s="19">
        <f>IF(PaymentSchedule345[[#This Row],[PMT NO]]&lt;&gt;"",PaymentSchedule345[[#This Row],[TOTAL PAYMENT]]-PaymentSchedule345[[#This Row],[INTEREST]],"")</f>
        <v>2259.3805791473633</v>
      </c>
      <c r="I123" s="19">
        <f>IF(PaymentSchedule345[[#This Row],[PMT NO]]&lt;&gt;"",PaymentSchedule345[[#This Row],[BEGINNING BALANCE]]*(InterestRate/PaymentsPerYear),"")</f>
        <v>6731.8761677504181</v>
      </c>
      <c r="J12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1792907.597487631</v>
      </c>
      <c r="K123" s="19">
        <f>IF(PaymentSchedule345[[#This Row],[PMT NO]]&lt;&gt;"",SUM(INDEX(PaymentSchedule345[INTEREST],1,1):PaymentSchedule345[[#This Row],[INTEREST]]),"")</f>
        <v>799928.35314018105</v>
      </c>
    </row>
    <row r="124" spans="2:11" x14ac:dyDescent="0.3">
      <c r="B124" s="21">
        <f>IF(LoanIsGood,IF(ROW()-ROW(PaymentSchedule345[[#Headers],[PMT NO]])&gt;ScheduledNumberOfPayments,"",ROW()-ROW(PaymentSchedule345[[#Headers],[PMT NO]])),"")</f>
        <v>113</v>
      </c>
      <c r="C124" s="20">
        <f>IF(PaymentSchedule345[[#This Row],[PMT NO]]&lt;&gt;"",EOMONTH(LoanStartDate,ROW(PaymentSchedule345[[#This Row],[PMT NO]])-ROW(PaymentSchedule345[[#Headers],[PMT NO]])-2)+DAY(LoanStartDate),"")</f>
        <v>47058</v>
      </c>
      <c r="D12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1792907.597487631</v>
      </c>
      <c r="E124" s="19">
        <f>IF(PaymentSchedule345[[#This Row],[PMT NO]]&lt;&gt;"",ScheduledPayment,"")</f>
        <v>8991.2567468977813</v>
      </c>
      <c r="F12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2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24" s="19">
        <f>IF(PaymentSchedule345[[#This Row],[PMT NO]]&lt;&gt;"",PaymentSchedule345[[#This Row],[TOTAL PAYMENT]]-PaymentSchedule345[[#This Row],[INTEREST]],"")</f>
        <v>2267.8532563191657</v>
      </c>
      <c r="I124" s="19">
        <f>IF(PaymentSchedule345[[#This Row],[PMT NO]]&lt;&gt;"",PaymentSchedule345[[#This Row],[BEGINNING BALANCE]]*(InterestRate/PaymentsPerYear),"")</f>
        <v>6723.4034905786157</v>
      </c>
      <c r="J12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1790639.7442313118</v>
      </c>
      <c r="K124" s="19">
        <f>IF(PaymentSchedule345[[#This Row],[PMT NO]]&lt;&gt;"",SUM(INDEX(PaymentSchedule345[INTEREST],1,1):PaymentSchedule345[[#This Row],[INTEREST]]),"")</f>
        <v>806651.75663075969</v>
      </c>
    </row>
    <row r="125" spans="2:11" x14ac:dyDescent="0.3">
      <c r="B125" s="21">
        <f>IF(LoanIsGood,IF(ROW()-ROW(PaymentSchedule345[[#Headers],[PMT NO]])&gt;ScheduledNumberOfPayments,"",ROW()-ROW(PaymentSchedule345[[#Headers],[PMT NO]])),"")</f>
        <v>114</v>
      </c>
      <c r="C125" s="20">
        <f>IF(PaymentSchedule345[[#This Row],[PMT NO]]&lt;&gt;"",EOMONTH(LoanStartDate,ROW(PaymentSchedule345[[#This Row],[PMT NO]])-ROW(PaymentSchedule345[[#Headers],[PMT NO]])-2)+DAY(LoanStartDate),"")</f>
        <v>47088</v>
      </c>
      <c r="D12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1790639.7442313118</v>
      </c>
      <c r="E125" s="19">
        <f>IF(PaymentSchedule345[[#This Row],[PMT NO]]&lt;&gt;"",ScheduledPayment,"")</f>
        <v>8991.2567468977813</v>
      </c>
      <c r="F12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2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25" s="19">
        <f>IF(PaymentSchedule345[[#This Row],[PMT NO]]&lt;&gt;"",PaymentSchedule345[[#This Row],[TOTAL PAYMENT]]-PaymentSchedule345[[#This Row],[INTEREST]],"")</f>
        <v>2276.3577060303624</v>
      </c>
      <c r="I125" s="19">
        <f>IF(PaymentSchedule345[[#This Row],[PMT NO]]&lt;&gt;"",PaymentSchedule345[[#This Row],[BEGINNING BALANCE]]*(InterestRate/PaymentsPerYear),"")</f>
        <v>6714.899040867419</v>
      </c>
      <c r="J12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1788363.3865252815</v>
      </c>
      <c r="K125" s="19">
        <f>IF(PaymentSchedule345[[#This Row],[PMT NO]]&lt;&gt;"",SUM(INDEX(PaymentSchedule345[INTEREST],1,1):PaymentSchedule345[[#This Row],[INTEREST]]),"")</f>
        <v>813366.65567162714</v>
      </c>
    </row>
    <row r="126" spans="2:11" x14ac:dyDescent="0.3">
      <c r="B126" s="21">
        <f>IF(LoanIsGood,IF(ROW()-ROW(PaymentSchedule345[[#Headers],[PMT NO]])&gt;ScheduledNumberOfPayments,"",ROW()-ROW(PaymentSchedule345[[#Headers],[PMT NO]])),"")</f>
        <v>115</v>
      </c>
      <c r="C126" s="20">
        <f>IF(PaymentSchedule345[[#This Row],[PMT NO]]&lt;&gt;"",EOMONTH(LoanStartDate,ROW(PaymentSchedule345[[#This Row],[PMT NO]])-ROW(PaymentSchedule345[[#Headers],[PMT NO]])-2)+DAY(LoanStartDate),"")</f>
        <v>47119</v>
      </c>
      <c r="D12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1788363.3865252815</v>
      </c>
      <c r="E126" s="19">
        <f>IF(PaymentSchedule345[[#This Row],[PMT NO]]&lt;&gt;"",ScheduledPayment,"")</f>
        <v>8991.2567468977813</v>
      </c>
      <c r="F12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2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26" s="19">
        <f>IF(PaymentSchedule345[[#This Row],[PMT NO]]&lt;&gt;"",PaymentSchedule345[[#This Row],[TOTAL PAYMENT]]-PaymentSchedule345[[#This Row],[INTEREST]],"")</f>
        <v>2284.8940474279761</v>
      </c>
      <c r="I126" s="19">
        <f>IF(PaymentSchedule345[[#This Row],[PMT NO]]&lt;&gt;"",PaymentSchedule345[[#This Row],[BEGINNING BALANCE]]*(InterestRate/PaymentsPerYear),"")</f>
        <v>6706.3626994698052</v>
      </c>
      <c r="J12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1786078.4924778535</v>
      </c>
      <c r="K126" s="19">
        <f>IF(PaymentSchedule345[[#This Row],[PMT NO]]&lt;&gt;"",SUM(INDEX(PaymentSchedule345[INTEREST],1,1):PaymentSchedule345[[#This Row],[INTEREST]]),"")</f>
        <v>820073.01837109693</v>
      </c>
    </row>
    <row r="127" spans="2:11" x14ac:dyDescent="0.3">
      <c r="B127" s="21">
        <f>IF(LoanIsGood,IF(ROW()-ROW(PaymentSchedule345[[#Headers],[PMT NO]])&gt;ScheduledNumberOfPayments,"",ROW()-ROW(PaymentSchedule345[[#Headers],[PMT NO]])),"")</f>
        <v>116</v>
      </c>
      <c r="C127" s="20">
        <f>IF(PaymentSchedule345[[#This Row],[PMT NO]]&lt;&gt;"",EOMONTH(LoanStartDate,ROW(PaymentSchedule345[[#This Row],[PMT NO]])-ROW(PaymentSchedule345[[#Headers],[PMT NO]])-2)+DAY(LoanStartDate),"")</f>
        <v>47150</v>
      </c>
      <c r="D12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1786078.4924778535</v>
      </c>
      <c r="E127" s="19">
        <f>IF(PaymentSchedule345[[#This Row],[PMT NO]]&lt;&gt;"",ScheduledPayment,"")</f>
        <v>8991.2567468977813</v>
      </c>
      <c r="F12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2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27" s="19">
        <f>IF(PaymentSchedule345[[#This Row],[PMT NO]]&lt;&gt;"",PaymentSchedule345[[#This Row],[TOTAL PAYMENT]]-PaymentSchedule345[[#This Row],[INTEREST]],"")</f>
        <v>2293.462400105831</v>
      </c>
      <c r="I127" s="19">
        <f>IF(PaymentSchedule345[[#This Row],[PMT NO]]&lt;&gt;"",PaymentSchedule345[[#This Row],[BEGINNING BALANCE]]*(InterestRate/PaymentsPerYear),"")</f>
        <v>6697.7943467919504</v>
      </c>
      <c r="J12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1783785.0300777478</v>
      </c>
      <c r="K127" s="19">
        <f>IF(PaymentSchedule345[[#This Row],[PMT NO]]&lt;&gt;"",SUM(INDEX(PaymentSchedule345[INTEREST],1,1):PaymentSchedule345[[#This Row],[INTEREST]]),"")</f>
        <v>826770.81271788885</v>
      </c>
    </row>
    <row r="128" spans="2:11" x14ac:dyDescent="0.3">
      <c r="B128" s="21">
        <f>IF(LoanIsGood,IF(ROW()-ROW(PaymentSchedule345[[#Headers],[PMT NO]])&gt;ScheduledNumberOfPayments,"",ROW()-ROW(PaymentSchedule345[[#Headers],[PMT NO]])),"")</f>
        <v>117</v>
      </c>
      <c r="C128" s="20">
        <f>IF(PaymentSchedule345[[#This Row],[PMT NO]]&lt;&gt;"",EOMONTH(LoanStartDate,ROW(PaymentSchedule345[[#This Row],[PMT NO]])-ROW(PaymentSchedule345[[#Headers],[PMT NO]])-2)+DAY(LoanStartDate),"")</f>
        <v>47178</v>
      </c>
      <c r="D12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1783785.0300777478</v>
      </c>
      <c r="E128" s="19">
        <f>IF(PaymentSchedule345[[#This Row],[PMT NO]]&lt;&gt;"",ScheduledPayment,"")</f>
        <v>8991.2567468977813</v>
      </c>
      <c r="F12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2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28" s="19">
        <f>IF(PaymentSchedule345[[#This Row],[PMT NO]]&lt;&gt;"",PaymentSchedule345[[#This Row],[TOTAL PAYMENT]]-PaymentSchedule345[[#This Row],[INTEREST]],"")</f>
        <v>2302.0628841062271</v>
      </c>
      <c r="I128" s="19">
        <f>IF(PaymentSchedule345[[#This Row],[PMT NO]]&lt;&gt;"",PaymentSchedule345[[#This Row],[BEGINNING BALANCE]]*(InterestRate/PaymentsPerYear),"")</f>
        <v>6689.1938627915542</v>
      </c>
      <c r="J12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1781482.9671936415</v>
      </c>
      <c r="K128" s="19">
        <f>IF(PaymentSchedule345[[#This Row],[PMT NO]]&lt;&gt;"",SUM(INDEX(PaymentSchedule345[INTEREST],1,1):PaymentSchedule345[[#This Row],[INTEREST]]),"")</f>
        <v>833460.00658068038</v>
      </c>
    </row>
    <row r="129" spans="2:11" x14ac:dyDescent="0.3">
      <c r="B129" s="21">
        <f>IF(LoanIsGood,IF(ROW()-ROW(PaymentSchedule345[[#Headers],[PMT NO]])&gt;ScheduledNumberOfPayments,"",ROW()-ROW(PaymentSchedule345[[#Headers],[PMT NO]])),"")</f>
        <v>118</v>
      </c>
      <c r="C129" s="20">
        <f>IF(PaymentSchedule345[[#This Row],[PMT NO]]&lt;&gt;"",EOMONTH(LoanStartDate,ROW(PaymentSchedule345[[#This Row],[PMT NO]])-ROW(PaymentSchedule345[[#Headers],[PMT NO]])-2)+DAY(LoanStartDate),"")</f>
        <v>47209</v>
      </c>
      <c r="D12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1781482.9671936415</v>
      </c>
      <c r="E129" s="19">
        <f>IF(PaymentSchedule345[[#This Row],[PMT NO]]&lt;&gt;"",ScheduledPayment,"")</f>
        <v>8991.2567468977813</v>
      </c>
      <c r="F12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2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29" s="19">
        <f>IF(PaymentSchedule345[[#This Row],[PMT NO]]&lt;&gt;"",PaymentSchedule345[[#This Row],[TOTAL PAYMENT]]-PaymentSchedule345[[#This Row],[INTEREST]],"")</f>
        <v>2310.6956199216265</v>
      </c>
      <c r="I129" s="19">
        <f>IF(PaymentSchedule345[[#This Row],[PMT NO]]&lt;&gt;"",PaymentSchedule345[[#This Row],[BEGINNING BALANCE]]*(InterestRate/PaymentsPerYear),"")</f>
        <v>6680.5611269761548</v>
      </c>
      <c r="J12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1779172.2715737198</v>
      </c>
      <c r="K129" s="19">
        <f>IF(PaymentSchedule345[[#This Row],[PMT NO]]&lt;&gt;"",SUM(INDEX(PaymentSchedule345[INTEREST],1,1):PaymentSchedule345[[#This Row],[INTEREST]]),"")</f>
        <v>840140.56770765653</v>
      </c>
    </row>
    <row r="130" spans="2:11" x14ac:dyDescent="0.3">
      <c r="B130" s="21">
        <f>IF(LoanIsGood,IF(ROW()-ROW(PaymentSchedule345[[#Headers],[PMT NO]])&gt;ScheduledNumberOfPayments,"",ROW()-ROW(PaymentSchedule345[[#Headers],[PMT NO]])),"")</f>
        <v>119</v>
      </c>
      <c r="C130" s="20">
        <f>IF(PaymentSchedule345[[#This Row],[PMT NO]]&lt;&gt;"",EOMONTH(LoanStartDate,ROW(PaymentSchedule345[[#This Row],[PMT NO]])-ROW(PaymentSchedule345[[#Headers],[PMT NO]])-2)+DAY(LoanStartDate),"")</f>
        <v>47239</v>
      </c>
      <c r="D13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1779172.2715737198</v>
      </c>
      <c r="E130" s="19">
        <f>IF(PaymentSchedule345[[#This Row],[PMT NO]]&lt;&gt;"",ScheduledPayment,"")</f>
        <v>8991.2567468977813</v>
      </c>
      <c r="F13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3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30" s="19">
        <f>IF(PaymentSchedule345[[#This Row],[PMT NO]]&lt;&gt;"",PaymentSchedule345[[#This Row],[TOTAL PAYMENT]]-PaymentSchedule345[[#This Row],[INTEREST]],"")</f>
        <v>2319.3607284963327</v>
      </c>
      <c r="I130" s="19">
        <f>IF(PaymentSchedule345[[#This Row],[PMT NO]]&lt;&gt;"",PaymentSchedule345[[#This Row],[BEGINNING BALANCE]]*(InterestRate/PaymentsPerYear),"")</f>
        <v>6671.8960184014486</v>
      </c>
      <c r="J13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1776852.9108452236</v>
      </c>
      <c r="K130" s="19">
        <f>IF(PaymentSchedule345[[#This Row],[PMT NO]]&lt;&gt;"",SUM(INDEX(PaymentSchedule345[INTEREST],1,1):PaymentSchedule345[[#This Row],[INTEREST]]),"")</f>
        <v>846812.46372605802</v>
      </c>
    </row>
    <row r="131" spans="2:11" x14ac:dyDescent="0.3">
      <c r="B131" s="21">
        <f>IF(LoanIsGood,IF(ROW()-ROW(PaymentSchedule345[[#Headers],[PMT NO]])&gt;ScheduledNumberOfPayments,"",ROW()-ROW(PaymentSchedule345[[#Headers],[PMT NO]])),"")</f>
        <v>120</v>
      </c>
      <c r="C131" s="20">
        <f>IF(PaymentSchedule345[[#This Row],[PMT NO]]&lt;&gt;"",EOMONTH(LoanStartDate,ROW(PaymentSchedule345[[#This Row],[PMT NO]])-ROW(PaymentSchedule345[[#Headers],[PMT NO]])-2)+DAY(LoanStartDate),"")</f>
        <v>47270</v>
      </c>
      <c r="D13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1776852.9108452236</v>
      </c>
      <c r="E131" s="19">
        <f>IF(PaymentSchedule345[[#This Row],[PMT NO]]&lt;&gt;"",ScheduledPayment,"")</f>
        <v>8991.2567468977813</v>
      </c>
      <c r="F13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3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31" s="19">
        <f>IF(PaymentSchedule345[[#This Row],[PMT NO]]&lt;&gt;"",PaymentSchedule345[[#This Row],[TOTAL PAYMENT]]-PaymentSchedule345[[#This Row],[INTEREST]],"")</f>
        <v>2328.0583312281933</v>
      </c>
      <c r="I131" s="19">
        <f>IF(PaymentSchedule345[[#This Row],[PMT NO]]&lt;&gt;"",PaymentSchedule345[[#This Row],[BEGINNING BALANCE]]*(InterestRate/PaymentsPerYear),"")</f>
        <v>6663.198415669588</v>
      </c>
      <c r="J13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1774524.8525139955</v>
      </c>
      <c r="K131" s="19">
        <f>IF(PaymentSchedule345[[#This Row],[PMT NO]]&lt;&gt;"",SUM(INDEX(PaymentSchedule345[INTEREST],1,1):PaymentSchedule345[[#This Row],[INTEREST]]),"")</f>
        <v>853475.66214172763</v>
      </c>
    </row>
    <row r="132" spans="2:11" x14ac:dyDescent="0.3">
      <c r="B132" s="21">
        <f>IF(LoanIsGood,IF(ROW()-ROW(PaymentSchedule345[[#Headers],[PMT NO]])&gt;ScheduledNumberOfPayments,"",ROW()-ROW(PaymentSchedule345[[#Headers],[PMT NO]])),"")</f>
        <v>121</v>
      </c>
      <c r="C132" s="20">
        <f>IF(PaymentSchedule345[[#This Row],[PMT NO]]&lt;&gt;"",EOMONTH(LoanStartDate,ROW(PaymentSchedule345[[#This Row],[PMT NO]])-ROW(PaymentSchedule345[[#Headers],[PMT NO]])-2)+DAY(LoanStartDate),"")</f>
        <v>47300</v>
      </c>
      <c r="D13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1774524.8525139955</v>
      </c>
      <c r="E132" s="19">
        <f>IF(PaymentSchedule345[[#This Row],[PMT NO]]&lt;&gt;"",ScheduledPayment,"")</f>
        <v>8991.2567468977813</v>
      </c>
      <c r="F13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3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32" s="19">
        <f>IF(PaymentSchedule345[[#This Row],[PMT NO]]&lt;&gt;"",PaymentSchedule345[[#This Row],[TOTAL PAYMENT]]-PaymentSchedule345[[#This Row],[INTEREST]],"")</f>
        <v>2336.7885499702988</v>
      </c>
      <c r="I132" s="19">
        <f>IF(PaymentSchedule345[[#This Row],[PMT NO]]&lt;&gt;"",PaymentSchedule345[[#This Row],[BEGINNING BALANCE]]*(InterestRate/PaymentsPerYear),"")</f>
        <v>6654.4681969274825</v>
      </c>
      <c r="J13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1772188.0639640251</v>
      </c>
      <c r="K132" s="19">
        <f>IF(PaymentSchedule345[[#This Row],[PMT NO]]&lt;&gt;"",SUM(INDEX(PaymentSchedule345[INTEREST],1,1):PaymentSchedule345[[#This Row],[INTEREST]]),"")</f>
        <v>860130.13033865509</v>
      </c>
    </row>
    <row r="133" spans="2:11" x14ac:dyDescent="0.3">
      <c r="B133" s="21">
        <f>IF(LoanIsGood,IF(ROW()-ROW(PaymentSchedule345[[#Headers],[PMT NO]])&gt;ScheduledNumberOfPayments,"",ROW()-ROW(PaymentSchedule345[[#Headers],[PMT NO]])),"")</f>
        <v>122</v>
      </c>
      <c r="C133" s="20">
        <f>IF(PaymentSchedule345[[#This Row],[PMT NO]]&lt;&gt;"",EOMONTH(LoanStartDate,ROW(PaymentSchedule345[[#This Row],[PMT NO]])-ROW(PaymentSchedule345[[#Headers],[PMT NO]])-2)+DAY(LoanStartDate),"")</f>
        <v>47331</v>
      </c>
      <c r="D13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1772188.0639640251</v>
      </c>
      <c r="E133" s="19">
        <f>IF(PaymentSchedule345[[#This Row],[PMT NO]]&lt;&gt;"",ScheduledPayment,"")</f>
        <v>8991.2567468977813</v>
      </c>
      <c r="F13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3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33" s="19">
        <f>IF(PaymentSchedule345[[#This Row],[PMT NO]]&lt;&gt;"",PaymentSchedule345[[#This Row],[TOTAL PAYMENT]]-PaymentSchedule345[[#This Row],[INTEREST]],"")</f>
        <v>2345.5515070326874</v>
      </c>
      <c r="I133" s="19">
        <f>IF(PaymentSchedule345[[#This Row],[PMT NO]]&lt;&gt;"",PaymentSchedule345[[#This Row],[BEGINNING BALANCE]]*(InterestRate/PaymentsPerYear),"")</f>
        <v>6645.705239865094</v>
      </c>
      <c r="J13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1769842.5124569924</v>
      </c>
      <c r="K133" s="19">
        <f>IF(PaymentSchedule345[[#This Row],[PMT NO]]&lt;&gt;"",SUM(INDEX(PaymentSchedule345[INTEREST],1,1):PaymentSchedule345[[#This Row],[INTEREST]]),"")</f>
        <v>866775.8355785202</v>
      </c>
    </row>
    <row r="134" spans="2:11" x14ac:dyDescent="0.3">
      <c r="B134" s="21">
        <f>IF(LoanIsGood,IF(ROW()-ROW(PaymentSchedule345[[#Headers],[PMT NO]])&gt;ScheduledNumberOfPayments,"",ROW()-ROW(PaymentSchedule345[[#Headers],[PMT NO]])),"")</f>
        <v>123</v>
      </c>
      <c r="C134" s="20">
        <f>IF(PaymentSchedule345[[#This Row],[PMT NO]]&lt;&gt;"",EOMONTH(LoanStartDate,ROW(PaymentSchedule345[[#This Row],[PMT NO]])-ROW(PaymentSchedule345[[#Headers],[PMT NO]])-2)+DAY(LoanStartDate),"")</f>
        <v>47362</v>
      </c>
      <c r="D13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1769842.5124569924</v>
      </c>
      <c r="E134" s="19">
        <f>IF(PaymentSchedule345[[#This Row],[PMT NO]]&lt;&gt;"",ScheduledPayment,"")</f>
        <v>8991.2567468977813</v>
      </c>
      <c r="F13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3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34" s="19">
        <f>IF(PaymentSchedule345[[#This Row],[PMT NO]]&lt;&gt;"",PaymentSchedule345[[#This Row],[TOTAL PAYMENT]]-PaymentSchedule345[[#This Row],[INTEREST]],"")</f>
        <v>2354.3473251840596</v>
      </c>
      <c r="I134" s="19">
        <f>IF(PaymentSchedule345[[#This Row],[PMT NO]]&lt;&gt;"",PaymentSchedule345[[#This Row],[BEGINNING BALANCE]]*(InterestRate/PaymentsPerYear),"")</f>
        <v>6636.9094217137217</v>
      </c>
      <c r="J13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1767488.1651318083</v>
      </c>
      <c r="K134" s="19">
        <f>IF(PaymentSchedule345[[#This Row],[PMT NO]]&lt;&gt;"",SUM(INDEX(PaymentSchedule345[INTEREST],1,1):PaymentSchedule345[[#This Row],[INTEREST]]),"")</f>
        <v>873412.74500023387</v>
      </c>
    </row>
    <row r="135" spans="2:11" x14ac:dyDescent="0.3">
      <c r="B135" s="21">
        <f>IF(LoanIsGood,IF(ROW()-ROW(PaymentSchedule345[[#Headers],[PMT NO]])&gt;ScheduledNumberOfPayments,"",ROW()-ROW(PaymentSchedule345[[#Headers],[PMT NO]])),"")</f>
        <v>124</v>
      </c>
      <c r="C135" s="20">
        <f>IF(PaymentSchedule345[[#This Row],[PMT NO]]&lt;&gt;"",EOMONTH(LoanStartDate,ROW(PaymentSchedule345[[#This Row],[PMT NO]])-ROW(PaymentSchedule345[[#Headers],[PMT NO]])-2)+DAY(LoanStartDate),"")</f>
        <v>47392</v>
      </c>
      <c r="D13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1767488.1651318083</v>
      </c>
      <c r="E135" s="19">
        <f>IF(PaymentSchedule345[[#This Row],[PMT NO]]&lt;&gt;"",ScheduledPayment,"")</f>
        <v>8991.2567468977813</v>
      </c>
      <c r="F13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3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35" s="19">
        <f>IF(PaymentSchedule345[[#This Row],[PMT NO]]&lt;&gt;"",PaymentSchedule345[[#This Row],[TOTAL PAYMENT]]-PaymentSchedule345[[#This Row],[INTEREST]],"")</f>
        <v>2363.1761276535008</v>
      </c>
      <c r="I135" s="19">
        <f>IF(PaymentSchedule345[[#This Row],[PMT NO]]&lt;&gt;"",PaymentSchedule345[[#This Row],[BEGINNING BALANCE]]*(InterestRate/PaymentsPerYear),"")</f>
        <v>6628.0806192442806</v>
      </c>
      <c r="J13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1765124.9890041547</v>
      </c>
      <c r="K135" s="19">
        <f>IF(PaymentSchedule345[[#This Row],[PMT NO]]&lt;&gt;"",SUM(INDEX(PaymentSchedule345[INTEREST],1,1):PaymentSchedule345[[#This Row],[INTEREST]]),"")</f>
        <v>880040.82561947813</v>
      </c>
    </row>
    <row r="136" spans="2:11" x14ac:dyDescent="0.3">
      <c r="B136" s="21">
        <f>IF(LoanIsGood,IF(ROW()-ROW(PaymentSchedule345[[#Headers],[PMT NO]])&gt;ScheduledNumberOfPayments,"",ROW()-ROW(PaymentSchedule345[[#Headers],[PMT NO]])),"")</f>
        <v>125</v>
      </c>
      <c r="C136" s="20">
        <f>IF(PaymentSchedule345[[#This Row],[PMT NO]]&lt;&gt;"",EOMONTH(LoanStartDate,ROW(PaymentSchedule345[[#This Row],[PMT NO]])-ROW(PaymentSchedule345[[#Headers],[PMT NO]])-2)+DAY(LoanStartDate),"")</f>
        <v>47423</v>
      </c>
      <c r="D13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1765124.9890041547</v>
      </c>
      <c r="E136" s="19">
        <f>IF(PaymentSchedule345[[#This Row],[PMT NO]]&lt;&gt;"",ScheduledPayment,"")</f>
        <v>8991.2567468977813</v>
      </c>
      <c r="F13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3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36" s="19">
        <f>IF(PaymentSchedule345[[#This Row],[PMT NO]]&lt;&gt;"",PaymentSchedule345[[#This Row],[TOTAL PAYMENT]]-PaymentSchedule345[[#This Row],[INTEREST]],"")</f>
        <v>2372.0380381322011</v>
      </c>
      <c r="I136" s="19">
        <f>IF(PaymentSchedule345[[#This Row],[PMT NO]]&lt;&gt;"",PaymentSchedule345[[#This Row],[BEGINNING BALANCE]]*(InterestRate/PaymentsPerYear),"")</f>
        <v>6619.2187087655802</v>
      </c>
      <c r="J13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1762752.9509660224</v>
      </c>
      <c r="K136" s="19">
        <f>IF(PaymentSchedule345[[#This Row],[PMT NO]]&lt;&gt;"",SUM(INDEX(PaymentSchedule345[INTEREST],1,1):PaymentSchedule345[[#This Row],[INTEREST]]),"")</f>
        <v>886660.0443282437</v>
      </c>
    </row>
    <row r="137" spans="2:11" x14ac:dyDescent="0.3">
      <c r="B137" s="21">
        <f>IF(LoanIsGood,IF(ROW()-ROW(PaymentSchedule345[[#Headers],[PMT NO]])&gt;ScheduledNumberOfPayments,"",ROW()-ROW(PaymentSchedule345[[#Headers],[PMT NO]])),"")</f>
        <v>126</v>
      </c>
      <c r="C137" s="20">
        <f>IF(PaymentSchedule345[[#This Row],[PMT NO]]&lt;&gt;"",EOMONTH(LoanStartDate,ROW(PaymentSchedule345[[#This Row],[PMT NO]])-ROW(PaymentSchedule345[[#Headers],[PMT NO]])-2)+DAY(LoanStartDate),"")</f>
        <v>47453</v>
      </c>
      <c r="D13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1762752.9509660224</v>
      </c>
      <c r="E137" s="19">
        <f>IF(PaymentSchedule345[[#This Row],[PMT NO]]&lt;&gt;"",ScheduledPayment,"")</f>
        <v>8991.2567468977813</v>
      </c>
      <c r="F13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3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37" s="19">
        <f>IF(PaymentSchedule345[[#This Row],[PMT NO]]&lt;&gt;"",PaymentSchedule345[[#This Row],[TOTAL PAYMENT]]-PaymentSchedule345[[#This Row],[INTEREST]],"")</f>
        <v>2380.9331807751978</v>
      </c>
      <c r="I137" s="19">
        <f>IF(PaymentSchedule345[[#This Row],[PMT NO]]&lt;&gt;"",PaymentSchedule345[[#This Row],[BEGINNING BALANCE]]*(InterestRate/PaymentsPerYear),"")</f>
        <v>6610.3235661225835</v>
      </c>
      <c r="J13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1760372.0177852472</v>
      </c>
      <c r="K137" s="19">
        <f>IF(PaymentSchedule345[[#This Row],[PMT NO]]&lt;&gt;"",SUM(INDEX(PaymentSchedule345[INTEREST],1,1):PaymentSchedule345[[#This Row],[INTEREST]]),"")</f>
        <v>893270.36789436627</v>
      </c>
    </row>
    <row r="138" spans="2:11" x14ac:dyDescent="0.3">
      <c r="B138" s="21">
        <f>IF(LoanIsGood,IF(ROW()-ROW(PaymentSchedule345[[#Headers],[PMT NO]])&gt;ScheduledNumberOfPayments,"",ROW()-ROW(PaymentSchedule345[[#Headers],[PMT NO]])),"")</f>
        <v>127</v>
      </c>
      <c r="C138" s="20">
        <f>IF(PaymentSchedule345[[#This Row],[PMT NO]]&lt;&gt;"",EOMONTH(LoanStartDate,ROW(PaymentSchedule345[[#This Row],[PMT NO]])-ROW(PaymentSchedule345[[#Headers],[PMT NO]])-2)+DAY(LoanStartDate),"")</f>
        <v>47484</v>
      </c>
      <c r="D13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1760372.0177852472</v>
      </c>
      <c r="E138" s="19">
        <f>IF(PaymentSchedule345[[#This Row],[PMT NO]]&lt;&gt;"",ScheduledPayment,"")</f>
        <v>8991.2567468977813</v>
      </c>
      <c r="F13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3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38" s="19">
        <f>IF(PaymentSchedule345[[#This Row],[PMT NO]]&lt;&gt;"",PaymentSchedule345[[#This Row],[TOTAL PAYMENT]]-PaymentSchedule345[[#This Row],[INTEREST]],"")</f>
        <v>2389.8616802031047</v>
      </c>
      <c r="I138" s="19">
        <f>IF(PaymentSchedule345[[#This Row],[PMT NO]]&lt;&gt;"",PaymentSchedule345[[#This Row],[BEGINNING BALANCE]]*(InterestRate/PaymentsPerYear),"")</f>
        <v>6601.3950666946766</v>
      </c>
      <c r="J13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1757982.1561050441</v>
      </c>
      <c r="K138" s="19">
        <f>IF(PaymentSchedule345[[#This Row],[PMT NO]]&lt;&gt;"",SUM(INDEX(PaymentSchedule345[INTEREST],1,1):PaymentSchedule345[[#This Row],[INTEREST]]),"")</f>
        <v>899871.76296106097</v>
      </c>
    </row>
    <row r="139" spans="2:11" x14ac:dyDescent="0.3">
      <c r="B139" s="21">
        <f>IF(LoanIsGood,IF(ROW()-ROW(PaymentSchedule345[[#Headers],[PMT NO]])&gt;ScheduledNumberOfPayments,"",ROW()-ROW(PaymentSchedule345[[#Headers],[PMT NO]])),"")</f>
        <v>128</v>
      </c>
      <c r="C139" s="20">
        <f>IF(PaymentSchedule345[[#This Row],[PMT NO]]&lt;&gt;"",EOMONTH(LoanStartDate,ROW(PaymentSchedule345[[#This Row],[PMT NO]])-ROW(PaymentSchedule345[[#Headers],[PMT NO]])-2)+DAY(LoanStartDate),"")</f>
        <v>47515</v>
      </c>
      <c r="D13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1757982.1561050441</v>
      </c>
      <c r="E139" s="19">
        <f>IF(PaymentSchedule345[[#This Row],[PMT NO]]&lt;&gt;"",ScheduledPayment,"")</f>
        <v>8991.2567468977813</v>
      </c>
      <c r="F13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3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39" s="19">
        <f>IF(PaymentSchedule345[[#This Row],[PMT NO]]&lt;&gt;"",PaymentSchedule345[[#This Row],[TOTAL PAYMENT]]-PaymentSchedule345[[#This Row],[INTEREST]],"")</f>
        <v>2398.8236615038668</v>
      </c>
      <c r="I139" s="19">
        <f>IF(PaymentSchedule345[[#This Row],[PMT NO]]&lt;&gt;"",PaymentSchedule345[[#This Row],[BEGINNING BALANCE]]*(InterestRate/PaymentsPerYear),"")</f>
        <v>6592.4330853939146</v>
      </c>
      <c r="J13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1755583.3324435402</v>
      </c>
      <c r="K139" s="19">
        <f>IF(PaymentSchedule345[[#This Row],[PMT NO]]&lt;&gt;"",SUM(INDEX(PaymentSchedule345[INTEREST],1,1):PaymentSchedule345[[#This Row],[INTEREST]]),"")</f>
        <v>906464.19604645483</v>
      </c>
    </row>
    <row r="140" spans="2:11" x14ac:dyDescent="0.3">
      <c r="B140" s="21">
        <f>IF(LoanIsGood,IF(ROW()-ROW(PaymentSchedule345[[#Headers],[PMT NO]])&gt;ScheduledNumberOfPayments,"",ROW()-ROW(PaymentSchedule345[[#Headers],[PMT NO]])),"")</f>
        <v>129</v>
      </c>
      <c r="C140" s="20">
        <f>IF(PaymentSchedule345[[#This Row],[PMT NO]]&lt;&gt;"",EOMONTH(LoanStartDate,ROW(PaymentSchedule345[[#This Row],[PMT NO]])-ROW(PaymentSchedule345[[#Headers],[PMT NO]])-2)+DAY(LoanStartDate),"")</f>
        <v>47543</v>
      </c>
      <c r="D14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1755583.3324435402</v>
      </c>
      <c r="E140" s="19">
        <f>IF(PaymentSchedule345[[#This Row],[PMT NO]]&lt;&gt;"",ScheduledPayment,"")</f>
        <v>8991.2567468977813</v>
      </c>
      <c r="F14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4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40" s="19">
        <f>IF(PaymentSchedule345[[#This Row],[PMT NO]]&lt;&gt;"",PaymentSchedule345[[#This Row],[TOTAL PAYMENT]]-PaymentSchedule345[[#This Row],[INTEREST]],"")</f>
        <v>2407.8192502345055</v>
      </c>
      <c r="I140" s="19">
        <f>IF(PaymentSchedule345[[#This Row],[PMT NO]]&lt;&gt;"",PaymentSchedule345[[#This Row],[BEGINNING BALANCE]]*(InterestRate/PaymentsPerYear),"")</f>
        <v>6583.4374966632759</v>
      </c>
      <c r="J14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1753175.5131933058</v>
      </c>
      <c r="K140" s="19">
        <f>IF(PaymentSchedule345[[#This Row],[PMT NO]]&lt;&gt;"",SUM(INDEX(PaymentSchedule345[INTEREST],1,1):PaymentSchedule345[[#This Row],[INTEREST]]),"")</f>
        <v>913047.63354311814</v>
      </c>
    </row>
    <row r="141" spans="2:11" x14ac:dyDescent="0.3">
      <c r="B141" s="21">
        <f>IF(LoanIsGood,IF(ROW()-ROW(PaymentSchedule345[[#Headers],[PMT NO]])&gt;ScheduledNumberOfPayments,"",ROW()-ROW(PaymentSchedule345[[#Headers],[PMT NO]])),"")</f>
        <v>130</v>
      </c>
      <c r="C141" s="20">
        <f>IF(PaymentSchedule345[[#This Row],[PMT NO]]&lt;&gt;"",EOMONTH(LoanStartDate,ROW(PaymentSchedule345[[#This Row],[PMT NO]])-ROW(PaymentSchedule345[[#Headers],[PMT NO]])-2)+DAY(LoanStartDate),"")</f>
        <v>47574</v>
      </c>
      <c r="D14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1753175.5131933058</v>
      </c>
      <c r="E141" s="19">
        <f>IF(PaymentSchedule345[[#This Row],[PMT NO]]&lt;&gt;"",ScheduledPayment,"")</f>
        <v>8991.2567468977813</v>
      </c>
      <c r="F14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4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41" s="19">
        <f>IF(PaymentSchedule345[[#This Row],[PMT NO]]&lt;&gt;"",PaymentSchedule345[[#This Row],[TOTAL PAYMENT]]-PaymentSchedule345[[#This Row],[INTEREST]],"")</f>
        <v>2416.8485724228849</v>
      </c>
      <c r="I141" s="19">
        <f>IF(PaymentSchedule345[[#This Row],[PMT NO]]&lt;&gt;"",PaymentSchedule345[[#This Row],[BEGINNING BALANCE]]*(InterestRate/PaymentsPerYear),"")</f>
        <v>6574.4081744748964</v>
      </c>
      <c r="J14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1750758.6646208828</v>
      </c>
      <c r="K141" s="19">
        <f>IF(PaymentSchedule345[[#This Row],[PMT NO]]&lt;&gt;"",SUM(INDEX(PaymentSchedule345[INTEREST],1,1):PaymentSchedule345[[#This Row],[INTEREST]]),"")</f>
        <v>919622.04171759298</v>
      </c>
    </row>
    <row r="142" spans="2:11" x14ac:dyDescent="0.3">
      <c r="B142" s="21">
        <f>IF(LoanIsGood,IF(ROW()-ROW(PaymentSchedule345[[#Headers],[PMT NO]])&gt;ScheduledNumberOfPayments,"",ROW()-ROW(PaymentSchedule345[[#Headers],[PMT NO]])),"")</f>
        <v>131</v>
      </c>
      <c r="C142" s="20">
        <f>IF(PaymentSchedule345[[#This Row],[PMT NO]]&lt;&gt;"",EOMONTH(LoanStartDate,ROW(PaymentSchedule345[[#This Row],[PMT NO]])-ROW(PaymentSchedule345[[#Headers],[PMT NO]])-2)+DAY(LoanStartDate),"")</f>
        <v>47604</v>
      </c>
      <c r="D14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1750758.6646208828</v>
      </c>
      <c r="E142" s="19">
        <f>IF(PaymentSchedule345[[#This Row],[PMT NO]]&lt;&gt;"",ScheduledPayment,"")</f>
        <v>8991.2567468977813</v>
      </c>
      <c r="F14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4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42" s="19">
        <f>IF(PaymentSchedule345[[#This Row],[PMT NO]]&lt;&gt;"",PaymentSchedule345[[#This Row],[TOTAL PAYMENT]]-PaymentSchedule345[[#This Row],[INTEREST]],"")</f>
        <v>2425.9117545694708</v>
      </c>
      <c r="I142" s="19">
        <f>IF(PaymentSchedule345[[#This Row],[PMT NO]]&lt;&gt;"",PaymentSchedule345[[#This Row],[BEGINNING BALANCE]]*(InterestRate/PaymentsPerYear),"")</f>
        <v>6565.3449923283106</v>
      </c>
      <c r="J14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1748332.7528663133</v>
      </c>
      <c r="K142" s="19">
        <f>IF(PaymentSchedule345[[#This Row],[PMT NO]]&lt;&gt;"",SUM(INDEX(PaymentSchedule345[INTEREST],1,1):PaymentSchedule345[[#This Row],[INTEREST]]),"")</f>
        <v>926187.38670992129</v>
      </c>
    </row>
    <row r="143" spans="2:11" x14ac:dyDescent="0.3">
      <c r="B143" s="21">
        <f>IF(LoanIsGood,IF(ROW()-ROW(PaymentSchedule345[[#Headers],[PMT NO]])&gt;ScheduledNumberOfPayments,"",ROW()-ROW(PaymentSchedule345[[#Headers],[PMT NO]])),"")</f>
        <v>132</v>
      </c>
      <c r="C143" s="20">
        <f>IF(PaymentSchedule345[[#This Row],[PMT NO]]&lt;&gt;"",EOMONTH(LoanStartDate,ROW(PaymentSchedule345[[#This Row],[PMT NO]])-ROW(PaymentSchedule345[[#Headers],[PMT NO]])-2)+DAY(LoanStartDate),"")</f>
        <v>47635</v>
      </c>
      <c r="D14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1748332.7528663133</v>
      </c>
      <c r="E143" s="19">
        <f>IF(PaymentSchedule345[[#This Row],[PMT NO]]&lt;&gt;"",ScheduledPayment,"")</f>
        <v>8991.2567468977813</v>
      </c>
      <c r="F14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4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43" s="19">
        <f>IF(PaymentSchedule345[[#This Row],[PMT NO]]&lt;&gt;"",PaymentSchedule345[[#This Row],[TOTAL PAYMENT]]-PaymentSchedule345[[#This Row],[INTEREST]],"")</f>
        <v>2435.0089236491067</v>
      </c>
      <c r="I143" s="19">
        <f>IF(PaymentSchedule345[[#This Row],[PMT NO]]&lt;&gt;"",PaymentSchedule345[[#This Row],[BEGINNING BALANCE]]*(InterestRate/PaymentsPerYear),"")</f>
        <v>6556.2478232486746</v>
      </c>
      <c r="J14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1745897.7439426642</v>
      </c>
      <c r="K143" s="19">
        <f>IF(PaymentSchedule345[[#This Row],[PMT NO]]&lt;&gt;"",SUM(INDEX(PaymentSchedule345[INTEREST],1,1):PaymentSchedule345[[#This Row],[INTEREST]]),"")</f>
        <v>932743.63453316991</v>
      </c>
    </row>
    <row r="144" spans="2:11" x14ac:dyDescent="0.3">
      <c r="B144" s="21">
        <f>IF(LoanIsGood,IF(ROW()-ROW(PaymentSchedule345[[#Headers],[PMT NO]])&gt;ScheduledNumberOfPayments,"",ROW()-ROW(PaymentSchedule345[[#Headers],[PMT NO]])),"")</f>
        <v>133</v>
      </c>
      <c r="C144" s="20">
        <f>IF(PaymentSchedule345[[#This Row],[PMT NO]]&lt;&gt;"",EOMONTH(LoanStartDate,ROW(PaymentSchedule345[[#This Row],[PMT NO]])-ROW(PaymentSchedule345[[#Headers],[PMT NO]])-2)+DAY(LoanStartDate),"")</f>
        <v>47665</v>
      </c>
      <c r="D14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1745897.7439426642</v>
      </c>
      <c r="E144" s="19">
        <f>IF(PaymentSchedule345[[#This Row],[PMT NO]]&lt;&gt;"",ScheduledPayment,"")</f>
        <v>8991.2567468977813</v>
      </c>
      <c r="F14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4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44" s="19">
        <f>IF(PaymentSchedule345[[#This Row],[PMT NO]]&lt;&gt;"",PaymentSchedule345[[#This Row],[TOTAL PAYMENT]]-PaymentSchedule345[[#This Row],[INTEREST]],"")</f>
        <v>2444.1402071127904</v>
      </c>
      <c r="I144" s="19">
        <f>IF(PaymentSchedule345[[#This Row],[PMT NO]]&lt;&gt;"",PaymentSchedule345[[#This Row],[BEGINNING BALANCE]]*(InterestRate/PaymentsPerYear),"")</f>
        <v>6547.1165397849909</v>
      </c>
      <c r="J14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1743453.6037355515</v>
      </c>
      <c r="K144" s="19">
        <f>IF(PaymentSchedule345[[#This Row],[PMT NO]]&lt;&gt;"",SUM(INDEX(PaymentSchedule345[INTEREST],1,1):PaymentSchedule345[[#This Row],[INTEREST]]),"")</f>
        <v>939290.75107295485</v>
      </c>
    </row>
    <row r="145" spans="2:11" x14ac:dyDescent="0.3">
      <c r="B145" s="21">
        <f>IF(LoanIsGood,IF(ROW()-ROW(PaymentSchedule345[[#Headers],[PMT NO]])&gt;ScheduledNumberOfPayments,"",ROW()-ROW(PaymentSchedule345[[#Headers],[PMT NO]])),"")</f>
        <v>134</v>
      </c>
      <c r="C145" s="20">
        <f>IF(PaymentSchedule345[[#This Row],[PMT NO]]&lt;&gt;"",EOMONTH(LoanStartDate,ROW(PaymentSchedule345[[#This Row],[PMT NO]])-ROW(PaymentSchedule345[[#Headers],[PMT NO]])-2)+DAY(LoanStartDate),"")</f>
        <v>47696</v>
      </c>
      <c r="D14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1743453.6037355515</v>
      </c>
      <c r="E145" s="19">
        <f>IF(PaymentSchedule345[[#This Row],[PMT NO]]&lt;&gt;"",ScheduledPayment,"")</f>
        <v>8991.2567468977813</v>
      </c>
      <c r="F14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4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45" s="19">
        <f>IF(PaymentSchedule345[[#This Row],[PMT NO]]&lt;&gt;"",PaymentSchedule345[[#This Row],[TOTAL PAYMENT]]-PaymentSchedule345[[#This Row],[INTEREST]],"")</f>
        <v>2453.3057328894638</v>
      </c>
      <c r="I145" s="19">
        <f>IF(PaymentSchedule345[[#This Row],[PMT NO]]&lt;&gt;"",PaymentSchedule345[[#This Row],[BEGINNING BALANCE]]*(InterestRate/PaymentsPerYear),"")</f>
        <v>6537.9510140083175</v>
      </c>
      <c r="J14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1741000.2980026619</v>
      </c>
      <c r="K145" s="19">
        <f>IF(PaymentSchedule345[[#This Row],[PMT NO]]&lt;&gt;"",SUM(INDEX(PaymentSchedule345[INTEREST],1,1):PaymentSchedule345[[#This Row],[INTEREST]]),"")</f>
        <v>945828.70208696323</v>
      </c>
    </row>
    <row r="146" spans="2:11" x14ac:dyDescent="0.3">
      <c r="B146" s="21">
        <f>IF(LoanIsGood,IF(ROW()-ROW(PaymentSchedule345[[#Headers],[PMT NO]])&gt;ScheduledNumberOfPayments,"",ROW()-ROW(PaymentSchedule345[[#Headers],[PMT NO]])),"")</f>
        <v>135</v>
      </c>
      <c r="C146" s="20">
        <f>IF(PaymentSchedule345[[#This Row],[PMT NO]]&lt;&gt;"",EOMONTH(LoanStartDate,ROW(PaymentSchedule345[[#This Row],[PMT NO]])-ROW(PaymentSchedule345[[#Headers],[PMT NO]])-2)+DAY(LoanStartDate),"")</f>
        <v>47727</v>
      </c>
      <c r="D14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1741000.2980026619</v>
      </c>
      <c r="E146" s="19">
        <f>IF(PaymentSchedule345[[#This Row],[PMT NO]]&lt;&gt;"",ScheduledPayment,"")</f>
        <v>8991.2567468977813</v>
      </c>
      <c r="F14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4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46" s="19">
        <f>IF(PaymentSchedule345[[#This Row],[PMT NO]]&lt;&gt;"",PaymentSchedule345[[#This Row],[TOTAL PAYMENT]]-PaymentSchedule345[[#This Row],[INTEREST]],"")</f>
        <v>2462.5056293877997</v>
      </c>
      <c r="I146" s="19">
        <f>IF(PaymentSchedule345[[#This Row],[PMT NO]]&lt;&gt;"",PaymentSchedule345[[#This Row],[BEGINNING BALANCE]]*(InterestRate/PaymentsPerYear),"")</f>
        <v>6528.7511175099817</v>
      </c>
      <c r="J14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1738537.7923732742</v>
      </c>
      <c r="K146" s="19">
        <f>IF(PaymentSchedule345[[#This Row],[PMT NO]]&lt;&gt;"",SUM(INDEX(PaymentSchedule345[INTEREST],1,1):PaymentSchedule345[[#This Row],[INTEREST]]),"")</f>
        <v>952357.45320447325</v>
      </c>
    </row>
    <row r="147" spans="2:11" x14ac:dyDescent="0.3">
      <c r="B147" s="21">
        <f>IF(LoanIsGood,IF(ROW()-ROW(PaymentSchedule345[[#Headers],[PMT NO]])&gt;ScheduledNumberOfPayments,"",ROW()-ROW(PaymentSchedule345[[#Headers],[PMT NO]])),"")</f>
        <v>136</v>
      </c>
      <c r="C147" s="20">
        <f>IF(PaymentSchedule345[[#This Row],[PMT NO]]&lt;&gt;"",EOMONTH(LoanStartDate,ROW(PaymentSchedule345[[#This Row],[PMT NO]])-ROW(PaymentSchedule345[[#Headers],[PMT NO]])-2)+DAY(LoanStartDate),"")</f>
        <v>47757</v>
      </c>
      <c r="D14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1738537.7923732742</v>
      </c>
      <c r="E147" s="19">
        <f>IF(PaymentSchedule345[[#This Row],[PMT NO]]&lt;&gt;"",ScheduledPayment,"")</f>
        <v>8991.2567468977813</v>
      </c>
      <c r="F14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4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47" s="19">
        <f>IF(PaymentSchedule345[[#This Row],[PMT NO]]&lt;&gt;"",PaymentSchedule345[[#This Row],[TOTAL PAYMENT]]-PaymentSchedule345[[#This Row],[INTEREST]],"")</f>
        <v>2471.740025498003</v>
      </c>
      <c r="I147" s="19">
        <f>IF(PaymentSchedule345[[#This Row],[PMT NO]]&lt;&gt;"",PaymentSchedule345[[#This Row],[BEGINNING BALANCE]]*(InterestRate/PaymentsPerYear),"")</f>
        <v>6519.5167213997784</v>
      </c>
      <c r="J14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1736066.0523477762</v>
      </c>
      <c r="K147" s="19">
        <f>IF(PaymentSchedule345[[#This Row],[PMT NO]]&lt;&gt;"",SUM(INDEX(PaymentSchedule345[INTEREST],1,1):PaymentSchedule345[[#This Row],[INTEREST]]),"")</f>
        <v>958876.96992587298</v>
      </c>
    </row>
    <row r="148" spans="2:11" x14ac:dyDescent="0.3">
      <c r="B148" s="21">
        <f>IF(LoanIsGood,IF(ROW()-ROW(PaymentSchedule345[[#Headers],[PMT NO]])&gt;ScheduledNumberOfPayments,"",ROW()-ROW(PaymentSchedule345[[#Headers],[PMT NO]])),"")</f>
        <v>137</v>
      </c>
      <c r="C148" s="20">
        <f>IF(PaymentSchedule345[[#This Row],[PMT NO]]&lt;&gt;"",EOMONTH(LoanStartDate,ROW(PaymentSchedule345[[#This Row],[PMT NO]])-ROW(PaymentSchedule345[[#Headers],[PMT NO]])-2)+DAY(LoanStartDate),"")</f>
        <v>47788</v>
      </c>
      <c r="D14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1736066.0523477762</v>
      </c>
      <c r="E148" s="19">
        <f>IF(PaymentSchedule345[[#This Row],[PMT NO]]&lt;&gt;"",ScheduledPayment,"")</f>
        <v>8991.2567468977813</v>
      </c>
      <c r="F14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4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48" s="19">
        <f>IF(PaymentSchedule345[[#This Row],[PMT NO]]&lt;&gt;"",PaymentSchedule345[[#This Row],[TOTAL PAYMENT]]-PaymentSchedule345[[#This Row],[INTEREST]],"")</f>
        <v>2481.0090505936205</v>
      </c>
      <c r="I148" s="19">
        <f>IF(PaymentSchedule345[[#This Row],[PMT NO]]&lt;&gt;"",PaymentSchedule345[[#This Row],[BEGINNING BALANCE]]*(InterestRate/PaymentsPerYear),"")</f>
        <v>6510.2476963041609</v>
      </c>
      <c r="J14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1733585.0432971825</v>
      </c>
      <c r="K148" s="19">
        <f>IF(PaymentSchedule345[[#This Row],[PMT NO]]&lt;&gt;"",SUM(INDEX(PaymentSchedule345[INTEREST],1,1):PaymentSchedule345[[#This Row],[INTEREST]]),"")</f>
        <v>965387.21762217709</v>
      </c>
    </row>
    <row r="149" spans="2:11" x14ac:dyDescent="0.3">
      <c r="B149" s="21">
        <f>IF(LoanIsGood,IF(ROW()-ROW(PaymentSchedule345[[#Headers],[PMT NO]])&gt;ScheduledNumberOfPayments,"",ROW()-ROW(PaymentSchedule345[[#Headers],[PMT NO]])),"")</f>
        <v>138</v>
      </c>
      <c r="C149" s="20">
        <f>IF(PaymentSchedule345[[#This Row],[PMT NO]]&lt;&gt;"",EOMONTH(LoanStartDate,ROW(PaymentSchedule345[[#This Row],[PMT NO]])-ROW(PaymentSchedule345[[#Headers],[PMT NO]])-2)+DAY(LoanStartDate),"")</f>
        <v>47818</v>
      </c>
      <c r="D14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1733585.0432971825</v>
      </c>
      <c r="E149" s="19">
        <f>IF(PaymentSchedule345[[#This Row],[PMT NO]]&lt;&gt;"",ScheduledPayment,"")</f>
        <v>8991.2567468977813</v>
      </c>
      <c r="F14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4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49" s="19">
        <f>IF(PaymentSchedule345[[#This Row],[PMT NO]]&lt;&gt;"",PaymentSchedule345[[#This Row],[TOTAL PAYMENT]]-PaymentSchedule345[[#This Row],[INTEREST]],"")</f>
        <v>2490.3128345333471</v>
      </c>
      <c r="I149" s="19">
        <f>IF(PaymentSchedule345[[#This Row],[PMT NO]]&lt;&gt;"",PaymentSchedule345[[#This Row],[BEGINNING BALANCE]]*(InterestRate/PaymentsPerYear),"")</f>
        <v>6500.9439123644343</v>
      </c>
      <c r="J14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1731094.7304626491</v>
      </c>
      <c r="K149" s="19">
        <f>IF(PaymentSchedule345[[#This Row],[PMT NO]]&lt;&gt;"",SUM(INDEX(PaymentSchedule345[INTEREST],1,1):PaymentSchedule345[[#This Row],[INTEREST]]),"")</f>
        <v>971888.16153454152</v>
      </c>
    </row>
    <row r="150" spans="2:11" x14ac:dyDescent="0.3">
      <c r="B150" s="21">
        <f>IF(LoanIsGood,IF(ROW()-ROW(PaymentSchedule345[[#Headers],[PMT NO]])&gt;ScheduledNumberOfPayments,"",ROW()-ROW(PaymentSchedule345[[#Headers],[PMT NO]])),"")</f>
        <v>139</v>
      </c>
      <c r="C150" s="20">
        <f>IF(PaymentSchedule345[[#This Row],[PMT NO]]&lt;&gt;"",EOMONTH(LoanStartDate,ROW(PaymentSchedule345[[#This Row],[PMT NO]])-ROW(PaymentSchedule345[[#Headers],[PMT NO]])-2)+DAY(LoanStartDate),"")</f>
        <v>47849</v>
      </c>
      <c r="D15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1731094.7304626491</v>
      </c>
      <c r="E150" s="19">
        <f>IF(PaymentSchedule345[[#This Row],[PMT NO]]&lt;&gt;"",ScheduledPayment,"")</f>
        <v>8991.2567468977813</v>
      </c>
      <c r="F15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5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50" s="19">
        <f>IF(PaymentSchedule345[[#This Row],[PMT NO]]&lt;&gt;"",PaymentSchedule345[[#This Row],[TOTAL PAYMENT]]-PaymentSchedule345[[#This Row],[INTEREST]],"")</f>
        <v>2499.6515076628475</v>
      </c>
      <c r="I150" s="19">
        <f>IF(PaymentSchedule345[[#This Row],[PMT NO]]&lt;&gt;"",PaymentSchedule345[[#This Row],[BEGINNING BALANCE]]*(InterestRate/PaymentsPerYear),"")</f>
        <v>6491.6052392349338</v>
      </c>
      <c r="J15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1728595.0789549863</v>
      </c>
      <c r="K150" s="19">
        <f>IF(PaymentSchedule345[[#This Row],[PMT NO]]&lt;&gt;"",SUM(INDEX(PaymentSchedule345[INTEREST],1,1):PaymentSchedule345[[#This Row],[INTEREST]]),"")</f>
        <v>978379.7667737765</v>
      </c>
    </row>
    <row r="151" spans="2:11" x14ac:dyDescent="0.3">
      <c r="B151" s="21">
        <f>IF(LoanIsGood,IF(ROW()-ROW(PaymentSchedule345[[#Headers],[PMT NO]])&gt;ScheduledNumberOfPayments,"",ROW()-ROW(PaymentSchedule345[[#Headers],[PMT NO]])),"")</f>
        <v>140</v>
      </c>
      <c r="C151" s="20">
        <f>IF(PaymentSchedule345[[#This Row],[PMT NO]]&lt;&gt;"",EOMONTH(LoanStartDate,ROW(PaymentSchedule345[[#This Row],[PMT NO]])-ROW(PaymentSchedule345[[#Headers],[PMT NO]])-2)+DAY(LoanStartDate),"")</f>
        <v>47880</v>
      </c>
      <c r="D15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1728595.0789549863</v>
      </c>
      <c r="E151" s="19">
        <f>IF(PaymentSchedule345[[#This Row],[PMT NO]]&lt;&gt;"",ScheduledPayment,"")</f>
        <v>8991.2567468977813</v>
      </c>
      <c r="F15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5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51" s="19">
        <f>IF(PaymentSchedule345[[#This Row],[PMT NO]]&lt;&gt;"",PaymentSchedule345[[#This Row],[TOTAL PAYMENT]]-PaymentSchedule345[[#This Row],[INTEREST]],"")</f>
        <v>2509.0252008165826</v>
      </c>
      <c r="I151" s="19">
        <f>IF(PaymentSchedule345[[#This Row],[PMT NO]]&lt;&gt;"",PaymentSchedule345[[#This Row],[BEGINNING BALANCE]]*(InterestRate/PaymentsPerYear),"")</f>
        <v>6482.2315460811988</v>
      </c>
      <c r="J15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1726086.0537541697</v>
      </c>
      <c r="K151" s="19">
        <f>IF(PaymentSchedule345[[#This Row],[PMT NO]]&lt;&gt;"",SUM(INDEX(PaymentSchedule345[INTEREST],1,1):PaymentSchedule345[[#This Row],[INTEREST]]),"")</f>
        <v>984861.99831985775</v>
      </c>
    </row>
    <row r="152" spans="2:11" x14ac:dyDescent="0.3">
      <c r="B152" s="21">
        <f>IF(LoanIsGood,IF(ROW()-ROW(PaymentSchedule345[[#Headers],[PMT NO]])&gt;ScheduledNumberOfPayments,"",ROW()-ROW(PaymentSchedule345[[#Headers],[PMT NO]])),"")</f>
        <v>141</v>
      </c>
      <c r="C152" s="20">
        <f>IF(PaymentSchedule345[[#This Row],[PMT NO]]&lt;&gt;"",EOMONTH(LoanStartDate,ROW(PaymentSchedule345[[#This Row],[PMT NO]])-ROW(PaymentSchedule345[[#Headers],[PMT NO]])-2)+DAY(LoanStartDate),"")</f>
        <v>47908</v>
      </c>
      <c r="D15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1726086.0537541697</v>
      </c>
      <c r="E152" s="19">
        <f>IF(PaymentSchedule345[[#This Row],[PMT NO]]&lt;&gt;"",ScheduledPayment,"")</f>
        <v>8991.2567468977813</v>
      </c>
      <c r="F15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5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52" s="19">
        <f>IF(PaymentSchedule345[[#This Row],[PMT NO]]&lt;&gt;"",PaymentSchedule345[[#This Row],[TOTAL PAYMENT]]-PaymentSchedule345[[#This Row],[INTEREST]],"")</f>
        <v>2518.4340453196455</v>
      </c>
      <c r="I152" s="19">
        <f>IF(PaymentSchedule345[[#This Row],[PMT NO]]&lt;&gt;"",PaymentSchedule345[[#This Row],[BEGINNING BALANCE]]*(InterestRate/PaymentsPerYear),"")</f>
        <v>6472.8227015781358</v>
      </c>
      <c r="J15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1723567.61970885</v>
      </c>
      <c r="K152" s="19">
        <f>IF(PaymentSchedule345[[#This Row],[PMT NO]]&lt;&gt;"",SUM(INDEX(PaymentSchedule345[INTEREST],1,1):PaymentSchedule345[[#This Row],[INTEREST]]),"")</f>
        <v>991334.8210214359</v>
      </c>
    </row>
    <row r="153" spans="2:11" x14ac:dyDescent="0.3">
      <c r="B153" s="21">
        <f>IF(LoanIsGood,IF(ROW()-ROW(PaymentSchedule345[[#Headers],[PMT NO]])&gt;ScheduledNumberOfPayments,"",ROW()-ROW(PaymentSchedule345[[#Headers],[PMT NO]])),"")</f>
        <v>142</v>
      </c>
      <c r="C153" s="20">
        <f>IF(PaymentSchedule345[[#This Row],[PMT NO]]&lt;&gt;"",EOMONTH(LoanStartDate,ROW(PaymentSchedule345[[#This Row],[PMT NO]])-ROW(PaymentSchedule345[[#Headers],[PMT NO]])-2)+DAY(LoanStartDate),"")</f>
        <v>47939</v>
      </c>
      <c r="D15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1723567.61970885</v>
      </c>
      <c r="E153" s="19">
        <f>IF(PaymentSchedule345[[#This Row],[PMT NO]]&lt;&gt;"",ScheduledPayment,"")</f>
        <v>8991.2567468977813</v>
      </c>
      <c r="F15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5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53" s="19">
        <f>IF(PaymentSchedule345[[#This Row],[PMT NO]]&lt;&gt;"",PaymentSchedule345[[#This Row],[TOTAL PAYMENT]]-PaymentSchedule345[[#This Row],[INTEREST]],"")</f>
        <v>2527.8781729895936</v>
      </c>
      <c r="I153" s="19">
        <f>IF(PaymentSchedule345[[#This Row],[PMT NO]]&lt;&gt;"",PaymentSchedule345[[#This Row],[BEGINNING BALANCE]]*(InterestRate/PaymentsPerYear),"")</f>
        <v>6463.3785739081877</v>
      </c>
      <c r="J15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1721039.7415358603</v>
      </c>
      <c r="K153" s="19">
        <f>IF(PaymentSchedule345[[#This Row],[PMT NO]]&lt;&gt;"",SUM(INDEX(PaymentSchedule345[INTEREST],1,1):PaymentSchedule345[[#This Row],[INTEREST]]),"")</f>
        <v>997798.19959534414</v>
      </c>
    </row>
    <row r="154" spans="2:11" x14ac:dyDescent="0.3">
      <c r="B154" s="21">
        <f>IF(LoanIsGood,IF(ROW()-ROW(PaymentSchedule345[[#Headers],[PMT NO]])&gt;ScheduledNumberOfPayments,"",ROW()-ROW(PaymentSchedule345[[#Headers],[PMT NO]])),"")</f>
        <v>143</v>
      </c>
      <c r="C154" s="20">
        <f>IF(PaymentSchedule345[[#This Row],[PMT NO]]&lt;&gt;"",EOMONTH(LoanStartDate,ROW(PaymentSchedule345[[#This Row],[PMT NO]])-ROW(PaymentSchedule345[[#Headers],[PMT NO]])-2)+DAY(LoanStartDate),"")</f>
        <v>47969</v>
      </c>
      <c r="D15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1721039.7415358603</v>
      </c>
      <c r="E154" s="19">
        <f>IF(PaymentSchedule345[[#This Row],[PMT NO]]&lt;&gt;"",ScheduledPayment,"")</f>
        <v>8991.2567468977813</v>
      </c>
      <c r="F15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5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54" s="19">
        <f>IF(PaymentSchedule345[[#This Row],[PMT NO]]&lt;&gt;"",PaymentSchedule345[[#This Row],[TOTAL PAYMENT]]-PaymentSchedule345[[#This Row],[INTEREST]],"")</f>
        <v>2537.3577161383055</v>
      </c>
      <c r="I154" s="19">
        <f>IF(PaymentSchedule345[[#This Row],[PMT NO]]&lt;&gt;"",PaymentSchedule345[[#This Row],[BEGINNING BALANCE]]*(InterestRate/PaymentsPerYear),"")</f>
        <v>6453.8990307594759</v>
      </c>
      <c r="J15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1718502.3838197221</v>
      </c>
      <c r="K154" s="19">
        <f>IF(PaymentSchedule345[[#This Row],[PMT NO]]&lt;&gt;"",SUM(INDEX(PaymentSchedule345[INTEREST],1,1):PaymentSchedule345[[#This Row],[INTEREST]]),"")</f>
        <v>1004252.0986261036</v>
      </c>
    </row>
    <row r="155" spans="2:11" x14ac:dyDescent="0.3">
      <c r="B155" s="21">
        <f>IF(LoanIsGood,IF(ROW()-ROW(PaymentSchedule345[[#Headers],[PMT NO]])&gt;ScheduledNumberOfPayments,"",ROW()-ROW(PaymentSchedule345[[#Headers],[PMT NO]])),"")</f>
        <v>144</v>
      </c>
      <c r="C155" s="20">
        <f>IF(PaymentSchedule345[[#This Row],[PMT NO]]&lt;&gt;"",EOMONTH(LoanStartDate,ROW(PaymentSchedule345[[#This Row],[PMT NO]])-ROW(PaymentSchedule345[[#Headers],[PMT NO]])-2)+DAY(LoanStartDate),"")</f>
        <v>48000</v>
      </c>
      <c r="D15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1718502.3838197221</v>
      </c>
      <c r="E155" s="19">
        <f>IF(PaymentSchedule345[[#This Row],[PMT NO]]&lt;&gt;"",ScheduledPayment,"")</f>
        <v>8991.2567468977813</v>
      </c>
      <c r="F15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5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55" s="19">
        <f>IF(PaymentSchedule345[[#This Row],[PMT NO]]&lt;&gt;"",PaymentSchedule345[[#This Row],[TOTAL PAYMENT]]-PaymentSchedule345[[#This Row],[INTEREST]],"")</f>
        <v>2546.8728075738236</v>
      </c>
      <c r="I155" s="19">
        <f>IF(PaymentSchedule345[[#This Row],[PMT NO]]&lt;&gt;"",PaymentSchedule345[[#This Row],[BEGINNING BALANCE]]*(InterestRate/PaymentsPerYear),"")</f>
        <v>6444.3839393239577</v>
      </c>
      <c r="J15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1715955.5110121483</v>
      </c>
      <c r="K155" s="19">
        <f>IF(PaymentSchedule345[[#This Row],[PMT NO]]&lt;&gt;"",SUM(INDEX(PaymentSchedule345[INTEREST],1,1):PaymentSchedule345[[#This Row],[INTEREST]]),"")</f>
        <v>1010696.4825654275</v>
      </c>
    </row>
    <row r="156" spans="2:11" x14ac:dyDescent="0.3">
      <c r="B156" s="21">
        <f>IF(LoanIsGood,IF(ROW()-ROW(PaymentSchedule345[[#Headers],[PMT NO]])&gt;ScheduledNumberOfPayments,"",ROW()-ROW(PaymentSchedule345[[#Headers],[PMT NO]])),"")</f>
        <v>145</v>
      </c>
      <c r="C156" s="20">
        <f>IF(PaymentSchedule345[[#This Row],[PMT NO]]&lt;&gt;"",EOMONTH(LoanStartDate,ROW(PaymentSchedule345[[#This Row],[PMT NO]])-ROW(PaymentSchedule345[[#Headers],[PMT NO]])-2)+DAY(LoanStartDate),"")</f>
        <v>48030</v>
      </c>
      <c r="D15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1715955.5110121483</v>
      </c>
      <c r="E156" s="19">
        <f>IF(PaymentSchedule345[[#This Row],[PMT NO]]&lt;&gt;"",ScheduledPayment,"")</f>
        <v>8991.2567468977813</v>
      </c>
      <c r="F15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5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56" s="19">
        <f>IF(PaymentSchedule345[[#This Row],[PMT NO]]&lt;&gt;"",PaymentSchedule345[[#This Row],[TOTAL PAYMENT]]-PaymentSchedule345[[#This Row],[INTEREST]],"")</f>
        <v>2556.4235806022252</v>
      </c>
      <c r="I156" s="19">
        <f>IF(PaymentSchedule345[[#This Row],[PMT NO]]&lt;&gt;"",PaymentSchedule345[[#This Row],[BEGINNING BALANCE]]*(InterestRate/PaymentsPerYear),"")</f>
        <v>6434.8331662955561</v>
      </c>
      <c r="J15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1713399.0874315461</v>
      </c>
      <c r="K156" s="19">
        <f>IF(PaymentSchedule345[[#This Row],[PMT NO]]&lt;&gt;"",SUM(INDEX(PaymentSchedule345[INTEREST],1,1):PaymentSchedule345[[#This Row],[INTEREST]]),"")</f>
        <v>1017131.3157317231</v>
      </c>
    </row>
    <row r="157" spans="2:11" x14ac:dyDescent="0.3">
      <c r="B157" s="21">
        <f>IF(LoanIsGood,IF(ROW()-ROW(PaymentSchedule345[[#Headers],[PMT NO]])&gt;ScheduledNumberOfPayments,"",ROW()-ROW(PaymentSchedule345[[#Headers],[PMT NO]])),"")</f>
        <v>146</v>
      </c>
      <c r="C157" s="20">
        <f>IF(PaymentSchedule345[[#This Row],[PMT NO]]&lt;&gt;"",EOMONTH(LoanStartDate,ROW(PaymentSchedule345[[#This Row],[PMT NO]])-ROW(PaymentSchedule345[[#Headers],[PMT NO]])-2)+DAY(LoanStartDate),"")</f>
        <v>48061</v>
      </c>
      <c r="D15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1713399.0874315461</v>
      </c>
      <c r="E157" s="19">
        <f>IF(PaymentSchedule345[[#This Row],[PMT NO]]&lt;&gt;"",ScheduledPayment,"")</f>
        <v>8991.2567468977813</v>
      </c>
      <c r="F15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5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57" s="19">
        <f>IF(PaymentSchedule345[[#This Row],[PMT NO]]&lt;&gt;"",PaymentSchedule345[[#This Row],[TOTAL PAYMENT]]-PaymentSchedule345[[#This Row],[INTEREST]],"")</f>
        <v>2566.0101690294841</v>
      </c>
      <c r="I157" s="19">
        <f>IF(PaymentSchedule345[[#This Row],[PMT NO]]&lt;&gt;"",PaymentSchedule345[[#This Row],[BEGINNING BALANCE]]*(InterestRate/PaymentsPerYear),"")</f>
        <v>6425.2465778682972</v>
      </c>
      <c r="J15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1710833.0772625166</v>
      </c>
      <c r="K157" s="19">
        <f>IF(PaymentSchedule345[[#This Row],[PMT NO]]&lt;&gt;"",SUM(INDEX(PaymentSchedule345[INTEREST],1,1):PaymentSchedule345[[#This Row],[INTEREST]]),"")</f>
        <v>1023556.5623095914</v>
      </c>
    </row>
    <row r="158" spans="2:11" x14ac:dyDescent="0.3">
      <c r="B158" s="21">
        <f>IF(LoanIsGood,IF(ROW()-ROW(PaymentSchedule345[[#Headers],[PMT NO]])&gt;ScheduledNumberOfPayments,"",ROW()-ROW(PaymentSchedule345[[#Headers],[PMT NO]])),"")</f>
        <v>147</v>
      </c>
      <c r="C158" s="20">
        <f>IF(PaymentSchedule345[[#This Row],[PMT NO]]&lt;&gt;"",EOMONTH(LoanStartDate,ROW(PaymentSchedule345[[#This Row],[PMT NO]])-ROW(PaymentSchedule345[[#Headers],[PMT NO]])-2)+DAY(LoanStartDate),"")</f>
        <v>48092</v>
      </c>
      <c r="D15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1710833.0772625166</v>
      </c>
      <c r="E158" s="19">
        <f>IF(PaymentSchedule345[[#This Row],[PMT NO]]&lt;&gt;"",ScheduledPayment,"")</f>
        <v>8991.2567468977813</v>
      </c>
      <c r="F15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5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58" s="19">
        <f>IF(PaymentSchedule345[[#This Row],[PMT NO]]&lt;&gt;"",PaymentSchedule345[[#This Row],[TOTAL PAYMENT]]-PaymentSchedule345[[#This Row],[INTEREST]],"")</f>
        <v>2575.6327071633441</v>
      </c>
      <c r="I158" s="19">
        <f>IF(PaymentSchedule345[[#This Row],[PMT NO]]&lt;&gt;"",PaymentSchedule345[[#This Row],[BEGINNING BALANCE]]*(InterestRate/PaymentsPerYear),"")</f>
        <v>6415.6240397344372</v>
      </c>
      <c r="J15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1708257.4445553531</v>
      </c>
      <c r="K158" s="19">
        <f>IF(PaymentSchedule345[[#This Row],[PMT NO]]&lt;&gt;"",SUM(INDEX(PaymentSchedule345[INTEREST],1,1):PaymentSchedule345[[#This Row],[INTEREST]]),"")</f>
        <v>1029972.1863493259</v>
      </c>
    </row>
    <row r="159" spans="2:11" x14ac:dyDescent="0.3">
      <c r="B159" s="21">
        <f>IF(LoanIsGood,IF(ROW()-ROW(PaymentSchedule345[[#Headers],[PMT NO]])&gt;ScheduledNumberOfPayments,"",ROW()-ROW(PaymentSchedule345[[#Headers],[PMT NO]])),"")</f>
        <v>148</v>
      </c>
      <c r="C159" s="20">
        <f>IF(PaymentSchedule345[[#This Row],[PMT NO]]&lt;&gt;"",EOMONTH(LoanStartDate,ROW(PaymentSchedule345[[#This Row],[PMT NO]])-ROW(PaymentSchedule345[[#Headers],[PMT NO]])-2)+DAY(LoanStartDate),"")</f>
        <v>48122</v>
      </c>
      <c r="D15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1708257.4445553531</v>
      </c>
      <c r="E159" s="19">
        <f>IF(PaymentSchedule345[[#This Row],[PMT NO]]&lt;&gt;"",ScheduledPayment,"")</f>
        <v>8991.2567468977813</v>
      </c>
      <c r="F15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5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59" s="19">
        <f>IF(PaymentSchedule345[[#This Row],[PMT NO]]&lt;&gt;"",PaymentSchedule345[[#This Row],[TOTAL PAYMENT]]-PaymentSchedule345[[#This Row],[INTEREST]],"")</f>
        <v>2585.2913298152071</v>
      </c>
      <c r="I159" s="19">
        <f>IF(PaymentSchedule345[[#This Row],[PMT NO]]&lt;&gt;"",PaymentSchedule345[[#This Row],[BEGINNING BALANCE]]*(InterestRate/PaymentsPerYear),"")</f>
        <v>6405.9654170825743</v>
      </c>
      <c r="J15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1705672.1532255379</v>
      </c>
      <c r="K159" s="19">
        <f>IF(PaymentSchedule345[[#This Row],[PMT NO]]&lt;&gt;"",SUM(INDEX(PaymentSchedule345[INTEREST],1,1):PaymentSchedule345[[#This Row],[INTEREST]]),"")</f>
        <v>1036378.1517664085</v>
      </c>
    </row>
    <row r="160" spans="2:11" x14ac:dyDescent="0.3">
      <c r="B160" s="21">
        <f>IF(LoanIsGood,IF(ROW()-ROW(PaymentSchedule345[[#Headers],[PMT NO]])&gt;ScheduledNumberOfPayments,"",ROW()-ROW(PaymentSchedule345[[#Headers],[PMT NO]])),"")</f>
        <v>149</v>
      </c>
      <c r="C160" s="20">
        <f>IF(PaymentSchedule345[[#This Row],[PMT NO]]&lt;&gt;"",EOMONTH(LoanStartDate,ROW(PaymentSchedule345[[#This Row],[PMT NO]])-ROW(PaymentSchedule345[[#Headers],[PMT NO]])-2)+DAY(LoanStartDate),"")</f>
        <v>48153</v>
      </c>
      <c r="D16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1705672.1532255379</v>
      </c>
      <c r="E160" s="19">
        <f>IF(PaymentSchedule345[[#This Row],[PMT NO]]&lt;&gt;"",ScheduledPayment,"")</f>
        <v>8991.2567468977813</v>
      </c>
      <c r="F16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6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60" s="19">
        <f>IF(PaymentSchedule345[[#This Row],[PMT NO]]&lt;&gt;"",PaymentSchedule345[[#This Row],[TOTAL PAYMENT]]-PaymentSchedule345[[#This Row],[INTEREST]],"")</f>
        <v>2594.9861723020149</v>
      </c>
      <c r="I160" s="19">
        <f>IF(PaymentSchedule345[[#This Row],[PMT NO]]&lt;&gt;"",PaymentSchedule345[[#This Row],[BEGINNING BALANCE]]*(InterestRate/PaymentsPerYear),"")</f>
        <v>6396.2705745957664</v>
      </c>
      <c r="J16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1703077.1670532359</v>
      </c>
      <c r="K160" s="19">
        <f>IF(PaymentSchedule345[[#This Row],[PMT NO]]&lt;&gt;"",SUM(INDEX(PaymentSchedule345[INTEREST],1,1):PaymentSchedule345[[#This Row],[INTEREST]]),"")</f>
        <v>1042774.4223410042</v>
      </c>
    </row>
    <row r="161" spans="2:11" x14ac:dyDescent="0.3">
      <c r="B161" s="21">
        <f>IF(LoanIsGood,IF(ROW()-ROW(PaymentSchedule345[[#Headers],[PMT NO]])&gt;ScheduledNumberOfPayments,"",ROW()-ROW(PaymentSchedule345[[#Headers],[PMT NO]])),"")</f>
        <v>150</v>
      </c>
      <c r="C161" s="20">
        <f>IF(PaymentSchedule345[[#This Row],[PMT NO]]&lt;&gt;"",EOMONTH(LoanStartDate,ROW(PaymentSchedule345[[#This Row],[PMT NO]])-ROW(PaymentSchedule345[[#Headers],[PMT NO]])-2)+DAY(LoanStartDate),"")</f>
        <v>48183</v>
      </c>
      <c r="D16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1703077.1670532359</v>
      </c>
      <c r="E161" s="19">
        <f>IF(PaymentSchedule345[[#This Row],[PMT NO]]&lt;&gt;"",ScheduledPayment,"")</f>
        <v>8991.2567468977813</v>
      </c>
      <c r="F16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6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61" s="19">
        <f>IF(PaymentSchedule345[[#This Row],[PMT NO]]&lt;&gt;"",PaymentSchedule345[[#This Row],[TOTAL PAYMENT]]-PaymentSchedule345[[#This Row],[INTEREST]],"")</f>
        <v>2604.7173704481465</v>
      </c>
      <c r="I161" s="19">
        <f>IF(PaymentSchedule345[[#This Row],[PMT NO]]&lt;&gt;"",PaymentSchedule345[[#This Row],[BEGINNING BALANCE]]*(InterestRate/PaymentsPerYear),"")</f>
        <v>6386.5393764496348</v>
      </c>
      <c r="J16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1700472.4496827878</v>
      </c>
      <c r="K161" s="19">
        <f>IF(PaymentSchedule345[[#This Row],[PMT NO]]&lt;&gt;"",SUM(INDEX(PaymentSchedule345[INTEREST],1,1):PaymentSchedule345[[#This Row],[INTEREST]]),"")</f>
        <v>1049160.9617174538</v>
      </c>
    </row>
    <row r="162" spans="2:11" x14ac:dyDescent="0.3">
      <c r="B162" s="21">
        <f>IF(LoanIsGood,IF(ROW()-ROW(PaymentSchedule345[[#Headers],[PMT NO]])&gt;ScheduledNumberOfPayments,"",ROW()-ROW(PaymentSchedule345[[#Headers],[PMT NO]])),"")</f>
        <v>151</v>
      </c>
      <c r="C162" s="20">
        <f>IF(PaymentSchedule345[[#This Row],[PMT NO]]&lt;&gt;"",EOMONTH(LoanStartDate,ROW(PaymentSchedule345[[#This Row],[PMT NO]])-ROW(PaymentSchedule345[[#Headers],[PMT NO]])-2)+DAY(LoanStartDate),"")</f>
        <v>48214</v>
      </c>
      <c r="D16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1700472.4496827878</v>
      </c>
      <c r="E162" s="19">
        <f>IF(PaymentSchedule345[[#This Row],[PMT NO]]&lt;&gt;"",ScheduledPayment,"")</f>
        <v>8991.2567468977813</v>
      </c>
      <c r="F16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6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62" s="19">
        <f>IF(PaymentSchedule345[[#This Row],[PMT NO]]&lt;&gt;"",PaymentSchedule345[[#This Row],[TOTAL PAYMENT]]-PaymentSchedule345[[#This Row],[INTEREST]],"")</f>
        <v>2614.4850605873271</v>
      </c>
      <c r="I162" s="19">
        <f>IF(PaymentSchedule345[[#This Row],[PMT NO]]&lt;&gt;"",PaymentSchedule345[[#This Row],[BEGINNING BALANCE]]*(InterestRate/PaymentsPerYear),"")</f>
        <v>6376.7716863104542</v>
      </c>
      <c r="J16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1697857.9646222005</v>
      </c>
      <c r="K162" s="19">
        <f>IF(PaymentSchedule345[[#This Row],[PMT NO]]&lt;&gt;"",SUM(INDEX(PaymentSchedule345[INTEREST],1,1):PaymentSchedule345[[#This Row],[INTEREST]]),"")</f>
        <v>1055537.7334037642</v>
      </c>
    </row>
    <row r="163" spans="2:11" x14ac:dyDescent="0.3">
      <c r="B163" s="21">
        <f>IF(LoanIsGood,IF(ROW()-ROW(PaymentSchedule345[[#Headers],[PMT NO]])&gt;ScheduledNumberOfPayments,"",ROW()-ROW(PaymentSchedule345[[#Headers],[PMT NO]])),"")</f>
        <v>152</v>
      </c>
      <c r="C163" s="20">
        <f>IF(PaymentSchedule345[[#This Row],[PMT NO]]&lt;&gt;"",EOMONTH(LoanStartDate,ROW(PaymentSchedule345[[#This Row],[PMT NO]])-ROW(PaymentSchedule345[[#Headers],[PMT NO]])-2)+DAY(LoanStartDate),"")</f>
        <v>48245</v>
      </c>
      <c r="D16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1697857.9646222005</v>
      </c>
      <c r="E163" s="19">
        <f>IF(PaymentSchedule345[[#This Row],[PMT NO]]&lt;&gt;"",ScheduledPayment,"")</f>
        <v>8991.2567468977813</v>
      </c>
      <c r="F16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6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63" s="19">
        <f>IF(PaymentSchedule345[[#This Row],[PMT NO]]&lt;&gt;"",PaymentSchedule345[[#This Row],[TOTAL PAYMENT]]-PaymentSchedule345[[#This Row],[INTEREST]],"")</f>
        <v>2624.2893795645296</v>
      </c>
      <c r="I163" s="19">
        <f>IF(PaymentSchedule345[[#This Row],[PMT NO]]&lt;&gt;"",PaymentSchedule345[[#This Row],[BEGINNING BALANCE]]*(InterestRate/PaymentsPerYear),"")</f>
        <v>6366.9673673332518</v>
      </c>
      <c r="J16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1695233.6752426359</v>
      </c>
      <c r="K163" s="19">
        <f>IF(PaymentSchedule345[[#This Row],[PMT NO]]&lt;&gt;"",SUM(INDEX(PaymentSchedule345[INTEREST],1,1):PaymentSchedule345[[#This Row],[INTEREST]]),"")</f>
        <v>1061904.7007710976</v>
      </c>
    </row>
    <row r="164" spans="2:11" x14ac:dyDescent="0.3">
      <c r="B164" s="21">
        <f>IF(LoanIsGood,IF(ROW()-ROW(PaymentSchedule345[[#Headers],[PMT NO]])&gt;ScheduledNumberOfPayments,"",ROW()-ROW(PaymentSchedule345[[#Headers],[PMT NO]])),"")</f>
        <v>153</v>
      </c>
      <c r="C164" s="20">
        <f>IF(PaymentSchedule345[[#This Row],[PMT NO]]&lt;&gt;"",EOMONTH(LoanStartDate,ROW(PaymentSchedule345[[#This Row],[PMT NO]])-ROW(PaymentSchedule345[[#Headers],[PMT NO]])-2)+DAY(LoanStartDate),"")</f>
        <v>48274</v>
      </c>
      <c r="D16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1695233.6752426359</v>
      </c>
      <c r="E164" s="19">
        <f>IF(PaymentSchedule345[[#This Row],[PMT NO]]&lt;&gt;"",ScheduledPayment,"")</f>
        <v>8991.2567468977813</v>
      </c>
      <c r="F16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6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64" s="19">
        <f>IF(PaymentSchedule345[[#This Row],[PMT NO]]&lt;&gt;"",PaymentSchedule345[[#This Row],[TOTAL PAYMENT]]-PaymentSchedule345[[#This Row],[INTEREST]],"")</f>
        <v>2634.1304647378965</v>
      </c>
      <c r="I164" s="19">
        <f>IF(PaymentSchedule345[[#This Row],[PMT NO]]&lt;&gt;"",PaymentSchedule345[[#This Row],[BEGINNING BALANCE]]*(InterestRate/PaymentsPerYear),"")</f>
        <v>6357.1262821598848</v>
      </c>
      <c r="J16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1692599.5447778979</v>
      </c>
      <c r="K164" s="19">
        <f>IF(PaymentSchedule345[[#This Row],[PMT NO]]&lt;&gt;"",SUM(INDEX(PaymentSchedule345[INTEREST],1,1):PaymentSchedule345[[#This Row],[INTEREST]]),"")</f>
        <v>1068261.8270532575</v>
      </c>
    </row>
    <row r="165" spans="2:11" x14ac:dyDescent="0.3">
      <c r="B165" s="21">
        <f>IF(LoanIsGood,IF(ROW()-ROW(PaymentSchedule345[[#Headers],[PMT NO]])&gt;ScheduledNumberOfPayments,"",ROW()-ROW(PaymentSchedule345[[#Headers],[PMT NO]])),"")</f>
        <v>154</v>
      </c>
      <c r="C165" s="20">
        <f>IF(PaymentSchedule345[[#This Row],[PMT NO]]&lt;&gt;"",EOMONTH(LoanStartDate,ROW(PaymentSchedule345[[#This Row],[PMT NO]])-ROW(PaymentSchedule345[[#Headers],[PMT NO]])-2)+DAY(LoanStartDate),"")</f>
        <v>48305</v>
      </c>
      <c r="D16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1692599.5447778979</v>
      </c>
      <c r="E165" s="19">
        <f>IF(PaymentSchedule345[[#This Row],[PMT NO]]&lt;&gt;"",ScheduledPayment,"")</f>
        <v>8991.2567468977813</v>
      </c>
      <c r="F16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6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65" s="19">
        <f>IF(PaymentSchedule345[[#This Row],[PMT NO]]&lt;&gt;"",PaymentSchedule345[[#This Row],[TOTAL PAYMENT]]-PaymentSchedule345[[#This Row],[INTEREST]],"")</f>
        <v>2644.0084539806649</v>
      </c>
      <c r="I165" s="19">
        <f>IF(PaymentSchedule345[[#This Row],[PMT NO]]&lt;&gt;"",PaymentSchedule345[[#This Row],[BEGINNING BALANCE]]*(InterestRate/PaymentsPerYear),"")</f>
        <v>6347.2482929171165</v>
      </c>
      <c r="J16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1689955.5363239173</v>
      </c>
      <c r="K165" s="19">
        <f>IF(PaymentSchedule345[[#This Row],[PMT NO]]&lt;&gt;"",SUM(INDEX(PaymentSchedule345[INTEREST],1,1):PaymentSchedule345[[#This Row],[INTEREST]]),"")</f>
        <v>1074609.0753461746</v>
      </c>
    </row>
    <row r="166" spans="2:11" x14ac:dyDescent="0.3">
      <c r="B166" s="21">
        <f>IF(LoanIsGood,IF(ROW()-ROW(PaymentSchedule345[[#Headers],[PMT NO]])&gt;ScheduledNumberOfPayments,"",ROW()-ROW(PaymentSchedule345[[#Headers],[PMT NO]])),"")</f>
        <v>155</v>
      </c>
      <c r="C166" s="20">
        <f>IF(PaymentSchedule345[[#This Row],[PMT NO]]&lt;&gt;"",EOMONTH(LoanStartDate,ROW(PaymentSchedule345[[#This Row],[PMT NO]])-ROW(PaymentSchedule345[[#Headers],[PMT NO]])-2)+DAY(LoanStartDate),"")</f>
        <v>48335</v>
      </c>
      <c r="D16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1689955.5363239173</v>
      </c>
      <c r="E166" s="19">
        <f>IF(PaymentSchedule345[[#This Row],[PMT NO]]&lt;&gt;"",ScheduledPayment,"")</f>
        <v>8991.2567468977813</v>
      </c>
      <c r="F16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6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66" s="19">
        <f>IF(PaymentSchedule345[[#This Row],[PMT NO]]&lt;&gt;"",PaymentSchedule345[[#This Row],[TOTAL PAYMENT]]-PaymentSchedule345[[#This Row],[INTEREST]],"")</f>
        <v>2653.9234856830917</v>
      </c>
      <c r="I166" s="19">
        <f>IF(PaymentSchedule345[[#This Row],[PMT NO]]&lt;&gt;"",PaymentSchedule345[[#This Row],[BEGINNING BALANCE]]*(InterestRate/PaymentsPerYear),"")</f>
        <v>6337.3332612146896</v>
      </c>
      <c r="J16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1687301.6128382343</v>
      </c>
      <c r="K166" s="19">
        <f>IF(PaymentSchedule345[[#This Row],[PMT NO]]&lt;&gt;"",SUM(INDEX(PaymentSchedule345[INTEREST],1,1):PaymentSchedule345[[#This Row],[INTEREST]]),"")</f>
        <v>1080946.4086073893</v>
      </c>
    </row>
    <row r="167" spans="2:11" x14ac:dyDescent="0.3">
      <c r="B167" s="21">
        <f>IF(LoanIsGood,IF(ROW()-ROW(PaymentSchedule345[[#Headers],[PMT NO]])&gt;ScheduledNumberOfPayments,"",ROW()-ROW(PaymentSchedule345[[#Headers],[PMT NO]])),"")</f>
        <v>156</v>
      </c>
      <c r="C167" s="20">
        <f>IF(PaymentSchedule345[[#This Row],[PMT NO]]&lt;&gt;"",EOMONTH(LoanStartDate,ROW(PaymentSchedule345[[#This Row],[PMT NO]])-ROW(PaymentSchedule345[[#Headers],[PMT NO]])-2)+DAY(LoanStartDate),"")</f>
        <v>48366</v>
      </c>
      <c r="D16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1687301.6128382343</v>
      </c>
      <c r="E167" s="19">
        <f>IF(PaymentSchedule345[[#This Row],[PMT NO]]&lt;&gt;"",ScheduledPayment,"")</f>
        <v>8991.2567468977813</v>
      </c>
      <c r="F16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6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67" s="19">
        <f>IF(PaymentSchedule345[[#This Row],[PMT NO]]&lt;&gt;"",PaymentSchedule345[[#This Row],[TOTAL PAYMENT]]-PaymentSchedule345[[#This Row],[INTEREST]],"")</f>
        <v>2663.8756987544029</v>
      </c>
      <c r="I167" s="19">
        <f>IF(PaymentSchedule345[[#This Row],[PMT NO]]&lt;&gt;"",PaymentSchedule345[[#This Row],[BEGINNING BALANCE]]*(InterestRate/PaymentsPerYear),"")</f>
        <v>6327.3810481433784</v>
      </c>
      <c r="J16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1684637.73713948</v>
      </c>
      <c r="K167" s="19">
        <f>IF(PaymentSchedule345[[#This Row],[PMT NO]]&lt;&gt;"",SUM(INDEX(PaymentSchedule345[INTEREST],1,1):PaymentSchedule345[[#This Row],[INTEREST]]),"")</f>
        <v>1087273.7896555327</v>
      </c>
    </row>
    <row r="168" spans="2:11" x14ac:dyDescent="0.3">
      <c r="B168" s="21">
        <f>IF(LoanIsGood,IF(ROW()-ROW(PaymentSchedule345[[#Headers],[PMT NO]])&gt;ScheduledNumberOfPayments,"",ROW()-ROW(PaymentSchedule345[[#Headers],[PMT NO]])),"")</f>
        <v>157</v>
      </c>
      <c r="C168" s="20">
        <f>IF(PaymentSchedule345[[#This Row],[PMT NO]]&lt;&gt;"",EOMONTH(LoanStartDate,ROW(PaymentSchedule345[[#This Row],[PMT NO]])-ROW(PaymentSchedule345[[#Headers],[PMT NO]])-2)+DAY(LoanStartDate),"")</f>
        <v>48396</v>
      </c>
      <c r="D16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1684637.73713948</v>
      </c>
      <c r="E168" s="19">
        <f>IF(PaymentSchedule345[[#This Row],[PMT NO]]&lt;&gt;"",ScheduledPayment,"")</f>
        <v>8991.2567468977813</v>
      </c>
      <c r="F16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6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68" s="19">
        <f>IF(PaymentSchedule345[[#This Row],[PMT NO]]&lt;&gt;"",PaymentSchedule345[[#This Row],[TOTAL PAYMENT]]-PaymentSchedule345[[#This Row],[INTEREST]],"")</f>
        <v>2673.865232624732</v>
      </c>
      <c r="I168" s="19">
        <f>IF(PaymentSchedule345[[#This Row],[PMT NO]]&lt;&gt;"",PaymentSchedule345[[#This Row],[BEGINNING BALANCE]]*(InterestRate/PaymentsPerYear),"")</f>
        <v>6317.3915142730493</v>
      </c>
      <c r="J16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1681963.8719068551</v>
      </c>
      <c r="K168" s="19">
        <f>IF(PaymentSchedule345[[#This Row],[PMT NO]]&lt;&gt;"",SUM(INDEX(PaymentSchedule345[INTEREST],1,1):PaymentSchedule345[[#This Row],[INTEREST]]),"")</f>
        <v>1093591.1811698058</v>
      </c>
    </row>
    <row r="169" spans="2:11" x14ac:dyDescent="0.3">
      <c r="B169" s="21">
        <f>IF(LoanIsGood,IF(ROW()-ROW(PaymentSchedule345[[#Headers],[PMT NO]])&gt;ScheduledNumberOfPayments,"",ROW()-ROW(PaymentSchedule345[[#Headers],[PMT NO]])),"")</f>
        <v>158</v>
      </c>
      <c r="C169" s="20">
        <f>IF(PaymentSchedule345[[#This Row],[PMT NO]]&lt;&gt;"",EOMONTH(LoanStartDate,ROW(PaymentSchedule345[[#This Row],[PMT NO]])-ROW(PaymentSchedule345[[#Headers],[PMT NO]])-2)+DAY(LoanStartDate),"")</f>
        <v>48427</v>
      </c>
      <c r="D16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1681963.8719068551</v>
      </c>
      <c r="E169" s="19">
        <f>IF(PaymentSchedule345[[#This Row],[PMT NO]]&lt;&gt;"",ScheduledPayment,"")</f>
        <v>8991.2567468977813</v>
      </c>
      <c r="F16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6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69" s="19">
        <f>IF(PaymentSchedule345[[#This Row],[PMT NO]]&lt;&gt;"",PaymentSchedule345[[#This Row],[TOTAL PAYMENT]]-PaymentSchedule345[[#This Row],[INTEREST]],"")</f>
        <v>2683.8922272470745</v>
      </c>
      <c r="I169" s="19">
        <f>IF(PaymentSchedule345[[#This Row],[PMT NO]]&lt;&gt;"",PaymentSchedule345[[#This Row],[BEGINNING BALANCE]]*(InterestRate/PaymentsPerYear),"")</f>
        <v>6307.3645196507068</v>
      </c>
      <c r="J16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1679279.979679608</v>
      </c>
      <c r="K169" s="19">
        <f>IF(PaymentSchedule345[[#This Row],[PMT NO]]&lt;&gt;"",SUM(INDEX(PaymentSchedule345[INTEREST],1,1):PaymentSchedule345[[#This Row],[INTEREST]]),"")</f>
        <v>1099898.5456894566</v>
      </c>
    </row>
    <row r="170" spans="2:11" x14ac:dyDescent="0.3">
      <c r="B170" s="21">
        <f>IF(LoanIsGood,IF(ROW()-ROW(PaymentSchedule345[[#Headers],[PMT NO]])&gt;ScheduledNumberOfPayments,"",ROW()-ROW(PaymentSchedule345[[#Headers],[PMT NO]])),"")</f>
        <v>159</v>
      </c>
      <c r="C170" s="20">
        <f>IF(PaymentSchedule345[[#This Row],[PMT NO]]&lt;&gt;"",EOMONTH(LoanStartDate,ROW(PaymentSchedule345[[#This Row],[PMT NO]])-ROW(PaymentSchedule345[[#Headers],[PMT NO]])-2)+DAY(LoanStartDate),"")</f>
        <v>48458</v>
      </c>
      <c r="D17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1679279.979679608</v>
      </c>
      <c r="E170" s="19">
        <f>IF(PaymentSchedule345[[#This Row],[PMT NO]]&lt;&gt;"",ScheduledPayment,"")</f>
        <v>8991.2567468977813</v>
      </c>
      <c r="F17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7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70" s="19">
        <f>IF(PaymentSchedule345[[#This Row],[PMT NO]]&lt;&gt;"",PaymentSchedule345[[#This Row],[TOTAL PAYMENT]]-PaymentSchedule345[[#This Row],[INTEREST]],"")</f>
        <v>2693.9568230992518</v>
      </c>
      <c r="I170" s="19">
        <f>IF(PaymentSchedule345[[#This Row],[PMT NO]]&lt;&gt;"",PaymentSchedule345[[#This Row],[BEGINNING BALANCE]]*(InterestRate/PaymentsPerYear),"")</f>
        <v>6297.2999237985296</v>
      </c>
      <c r="J17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1676586.0228565088</v>
      </c>
      <c r="K170" s="19">
        <f>IF(PaymentSchedule345[[#This Row],[PMT NO]]&lt;&gt;"",SUM(INDEX(PaymentSchedule345[INTEREST],1,1):PaymentSchedule345[[#This Row],[INTEREST]]),"")</f>
        <v>1106195.8456132552</v>
      </c>
    </row>
    <row r="171" spans="2:11" x14ac:dyDescent="0.3">
      <c r="B171" s="21">
        <f>IF(LoanIsGood,IF(ROW()-ROW(PaymentSchedule345[[#Headers],[PMT NO]])&gt;ScheduledNumberOfPayments,"",ROW()-ROW(PaymentSchedule345[[#Headers],[PMT NO]])),"")</f>
        <v>160</v>
      </c>
      <c r="C171" s="20">
        <f>IF(PaymentSchedule345[[#This Row],[PMT NO]]&lt;&gt;"",EOMONTH(LoanStartDate,ROW(PaymentSchedule345[[#This Row],[PMT NO]])-ROW(PaymentSchedule345[[#Headers],[PMT NO]])-2)+DAY(LoanStartDate),"")</f>
        <v>48488</v>
      </c>
      <c r="D17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1676586.0228565088</v>
      </c>
      <c r="E171" s="19">
        <f>IF(PaymentSchedule345[[#This Row],[PMT NO]]&lt;&gt;"",ScheduledPayment,"")</f>
        <v>8991.2567468977813</v>
      </c>
      <c r="F17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7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71" s="19">
        <f>IF(PaymentSchedule345[[#This Row],[PMT NO]]&lt;&gt;"",PaymentSchedule345[[#This Row],[TOTAL PAYMENT]]-PaymentSchedule345[[#This Row],[INTEREST]],"")</f>
        <v>2704.0591611858736</v>
      </c>
      <c r="I171" s="19">
        <f>IF(PaymentSchedule345[[#This Row],[PMT NO]]&lt;&gt;"",PaymentSchedule345[[#This Row],[BEGINNING BALANCE]]*(InterestRate/PaymentsPerYear),"")</f>
        <v>6287.1975857119078</v>
      </c>
      <c r="J17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1673881.9636953229</v>
      </c>
      <c r="K171" s="19">
        <f>IF(PaymentSchedule345[[#This Row],[PMT NO]]&lt;&gt;"",SUM(INDEX(PaymentSchedule345[INTEREST],1,1):PaymentSchedule345[[#This Row],[INTEREST]]),"")</f>
        <v>1112483.0431989671</v>
      </c>
    </row>
    <row r="172" spans="2:11" x14ac:dyDescent="0.3">
      <c r="B172" s="21">
        <f>IF(LoanIsGood,IF(ROW()-ROW(PaymentSchedule345[[#Headers],[PMT NO]])&gt;ScheduledNumberOfPayments,"",ROW()-ROW(PaymentSchedule345[[#Headers],[PMT NO]])),"")</f>
        <v>161</v>
      </c>
      <c r="C172" s="20">
        <f>IF(PaymentSchedule345[[#This Row],[PMT NO]]&lt;&gt;"",EOMONTH(LoanStartDate,ROW(PaymentSchedule345[[#This Row],[PMT NO]])-ROW(PaymentSchedule345[[#Headers],[PMT NO]])-2)+DAY(LoanStartDate),"")</f>
        <v>48519</v>
      </c>
      <c r="D17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1673881.9636953229</v>
      </c>
      <c r="E172" s="19">
        <f>IF(PaymentSchedule345[[#This Row],[PMT NO]]&lt;&gt;"",ScheduledPayment,"")</f>
        <v>8991.2567468977813</v>
      </c>
      <c r="F17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7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72" s="19">
        <f>IF(PaymentSchedule345[[#This Row],[PMT NO]]&lt;&gt;"",PaymentSchedule345[[#This Row],[TOTAL PAYMENT]]-PaymentSchedule345[[#This Row],[INTEREST]],"")</f>
        <v>2714.1993830403208</v>
      </c>
      <c r="I172" s="19">
        <f>IF(PaymentSchedule345[[#This Row],[PMT NO]]&lt;&gt;"",PaymentSchedule345[[#This Row],[BEGINNING BALANCE]]*(InterestRate/PaymentsPerYear),"")</f>
        <v>6277.0573638574606</v>
      </c>
      <c r="J17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1671167.7643122824</v>
      </c>
      <c r="K172" s="19">
        <f>IF(PaymentSchedule345[[#This Row],[PMT NO]]&lt;&gt;"",SUM(INDEX(PaymentSchedule345[INTEREST],1,1):PaymentSchedule345[[#This Row],[INTEREST]]),"")</f>
        <v>1118760.1005628246</v>
      </c>
    </row>
    <row r="173" spans="2:11" x14ac:dyDescent="0.3">
      <c r="B173" s="21">
        <f>IF(LoanIsGood,IF(ROW()-ROW(PaymentSchedule345[[#Headers],[PMT NO]])&gt;ScheduledNumberOfPayments,"",ROW()-ROW(PaymentSchedule345[[#Headers],[PMT NO]])),"")</f>
        <v>162</v>
      </c>
      <c r="C173" s="20">
        <f>IF(PaymentSchedule345[[#This Row],[PMT NO]]&lt;&gt;"",EOMONTH(LoanStartDate,ROW(PaymentSchedule345[[#This Row],[PMT NO]])-ROW(PaymentSchedule345[[#Headers],[PMT NO]])-2)+DAY(LoanStartDate),"")</f>
        <v>48549</v>
      </c>
      <c r="D17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1671167.7643122824</v>
      </c>
      <c r="E173" s="19">
        <f>IF(PaymentSchedule345[[#This Row],[PMT NO]]&lt;&gt;"",ScheduledPayment,"")</f>
        <v>8991.2567468977813</v>
      </c>
      <c r="F17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7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73" s="19">
        <f>IF(PaymentSchedule345[[#This Row],[PMT NO]]&lt;&gt;"",PaymentSchedule345[[#This Row],[TOTAL PAYMENT]]-PaymentSchedule345[[#This Row],[INTEREST]],"")</f>
        <v>2724.3776307267226</v>
      </c>
      <c r="I173" s="19">
        <f>IF(PaymentSchedule345[[#This Row],[PMT NO]]&lt;&gt;"",PaymentSchedule345[[#This Row],[BEGINNING BALANCE]]*(InterestRate/PaymentsPerYear),"")</f>
        <v>6266.8791161710587</v>
      </c>
      <c r="J17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1668443.3866815558</v>
      </c>
      <c r="K173" s="19">
        <f>IF(PaymentSchedule345[[#This Row],[PMT NO]]&lt;&gt;"",SUM(INDEX(PaymentSchedule345[INTEREST],1,1):PaymentSchedule345[[#This Row],[INTEREST]]),"")</f>
        <v>1125026.9796789957</v>
      </c>
    </row>
    <row r="174" spans="2:11" x14ac:dyDescent="0.3">
      <c r="B174" s="21">
        <f>IF(LoanIsGood,IF(ROW()-ROW(PaymentSchedule345[[#Headers],[PMT NO]])&gt;ScheduledNumberOfPayments,"",ROW()-ROW(PaymentSchedule345[[#Headers],[PMT NO]])),"")</f>
        <v>163</v>
      </c>
      <c r="C174" s="20">
        <f>IF(PaymentSchedule345[[#This Row],[PMT NO]]&lt;&gt;"",EOMONTH(LoanStartDate,ROW(PaymentSchedule345[[#This Row],[PMT NO]])-ROW(PaymentSchedule345[[#Headers],[PMT NO]])-2)+DAY(LoanStartDate),"")</f>
        <v>48580</v>
      </c>
      <c r="D17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1668443.3866815558</v>
      </c>
      <c r="E174" s="19">
        <f>IF(PaymentSchedule345[[#This Row],[PMT NO]]&lt;&gt;"",ScheduledPayment,"")</f>
        <v>8991.2567468977813</v>
      </c>
      <c r="F17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7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74" s="19">
        <f>IF(PaymentSchedule345[[#This Row],[PMT NO]]&lt;&gt;"",PaymentSchedule345[[#This Row],[TOTAL PAYMENT]]-PaymentSchedule345[[#This Row],[INTEREST]],"")</f>
        <v>2734.5940468419476</v>
      </c>
      <c r="I174" s="19">
        <f>IF(PaymentSchedule345[[#This Row],[PMT NO]]&lt;&gt;"",PaymentSchedule345[[#This Row],[BEGINNING BALANCE]]*(InterestRate/PaymentsPerYear),"")</f>
        <v>6256.6627000558337</v>
      </c>
      <c r="J17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1665708.7926347139</v>
      </c>
      <c r="K174" s="19">
        <f>IF(PaymentSchedule345[[#This Row],[PMT NO]]&lt;&gt;"",SUM(INDEX(PaymentSchedule345[INTEREST],1,1):PaymentSchedule345[[#This Row],[INTEREST]]),"")</f>
        <v>1131283.6423790515</v>
      </c>
    </row>
    <row r="175" spans="2:11" x14ac:dyDescent="0.3">
      <c r="B175" s="21">
        <f>IF(LoanIsGood,IF(ROW()-ROW(PaymentSchedule345[[#Headers],[PMT NO]])&gt;ScheduledNumberOfPayments,"",ROW()-ROW(PaymentSchedule345[[#Headers],[PMT NO]])),"")</f>
        <v>164</v>
      </c>
      <c r="C175" s="20">
        <f>IF(PaymentSchedule345[[#This Row],[PMT NO]]&lt;&gt;"",EOMONTH(LoanStartDate,ROW(PaymentSchedule345[[#This Row],[PMT NO]])-ROW(PaymentSchedule345[[#Headers],[PMT NO]])-2)+DAY(LoanStartDate),"")</f>
        <v>48611</v>
      </c>
      <c r="D17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1665708.7926347139</v>
      </c>
      <c r="E175" s="19">
        <f>IF(PaymentSchedule345[[#This Row],[PMT NO]]&lt;&gt;"",ScheduledPayment,"")</f>
        <v>8991.2567468977813</v>
      </c>
      <c r="F17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7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75" s="19">
        <f>IF(PaymentSchedule345[[#This Row],[PMT NO]]&lt;&gt;"",PaymentSchedule345[[#This Row],[TOTAL PAYMENT]]-PaymentSchedule345[[#This Row],[INTEREST]],"")</f>
        <v>2744.8487745176044</v>
      </c>
      <c r="I175" s="19">
        <f>IF(PaymentSchedule345[[#This Row],[PMT NO]]&lt;&gt;"",PaymentSchedule345[[#This Row],[BEGINNING BALANCE]]*(InterestRate/PaymentsPerYear),"")</f>
        <v>6246.4079723801769</v>
      </c>
      <c r="J17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1662963.9438601963</v>
      </c>
      <c r="K175" s="19">
        <f>IF(PaymentSchedule345[[#This Row],[PMT NO]]&lt;&gt;"",SUM(INDEX(PaymentSchedule345[INTEREST],1,1):PaymentSchedule345[[#This Row],[INTEREST]]),"")</f>
        <v>1137530.0503514318</v>
      </c>
    </row>
    <row r="176" spans="2:11" x14ac:dyDescent="0.3">
      <c r="B176" s="21">
        <f>IF(LoanIsGood,IF(ROW()-ROW(PaymentSchedule345[[#Headers],[PMT NO]])&gt;ScheduledNumberOfPayments,"",ROW()-ROW(PaymentSchedule345[[#Headers],[PMT NO]])),"")</f>
        <v>165</v>
      </c>
      <c r="C176" s="20">
        <f>IF(PaymentSchedule345[[#This Row],[PMT NO]]&lt;&gt;"",EOMONTH(LoanStartDate,ROW(PaymentSchedule345[[#This Row],[PMT NO]])-ROW(PaymentSchedule345[[#Headers],[PMT NO]])-2)+DAY(LoanStartDate),"")</f>
        <v>48639</v>
      </c>
      <c r="D17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1662963.9438601963</v>
      </c>
      <c r="E176" s="19">
        <f>IF(PaymentSchedule345[[#This Row],[PMT NO]]&lt;&gt;"",ScheduledPayment,"")</f>
        <v>8991.2567468977813</v>
      </c>
      <c r="F17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7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76" s="19">
        <f>IF(PaymentSchedule345[[#This Row],[PMT NO]]&lt;&gt;"",PaymentSchedule345[[#This Row],[TOTAL PAYMENT]]-PaymentSchedule345[[#This Row],[INTEREST]],"")</f>
        <v>2755.1419574220454</v>
      </c>
      <c r="I176" s="19">
        <f>IF(PaymentSchedule345[[#This Row],[PMT NO]]&lt;&gt;"",PaymentSchedule345[[#This Row],[BEGINNING BALANCE]]*(InterestRate/PaymentsPerYear),"")</f>
        <v>6236.114789475736</v>
      </c>
      <c r="J17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1660208.8019027743</v>
      </c>
      <c r="K176" s="19">
        <f>IF(PaymentSchedule345[[#This Row],[PMT NO]]&lt;&gt;"",SUM(INDEX(PaymentSchedule345[INTEREST],1,1):PaymentSchedule345[[#This Row],[INTEREST]]),"")</f>
        <v>1143766.1651409075</v>
      </c>
    </row>
    <row r="177" spans="2:11" x14ac:dyDescent="0.3">
      <c r="B177" s="21">
        <f>IF(LoanIsGood,IF(ROW()-ROW(PaymentSchedule345[[#Headers],[PMT NO]])&gt;ScheduledNumberOfPayments,"",ROW()-ROW(PaymentSchedule345[[#Headers],[PMT NO]])),"")</f>
        <v>166</v>
      </c>
      <c r="C177" s="20">
        <f>IF(PaymentSchedule345[[#This Row],[PMT NO]]&lt;&gt;"",EOMONTH(LoanStartDate,ROW(PaymentSchedule345[[#This Row],[PMT NO]])-ROW(PaymentSchedule345[[#Headers],[PMT NO]])-2)+DAY(LoanStartDate),"")</f>
        <v>48670</v>
      </c>
      <c r="D17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1660208.8019027743</v>
      </c>
      <c r="E177" s="19">
        <f>IF(PaymentSchedule345[[#This Row],[PMT NO]]&lt;&gt;"",ScheduledPayment,"")</f>
        <v>8991.2567468977813</v>
      </c>
      <c r="F17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7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77" s="19">
        <f>IF(PaymentSchedule345[[#This Row],[PMT NO]]&lt;&gt;"",PaymentSchedule345[[#This Row],[TOTAL PAYMENT]]-PaymentSchedule345[[#This Row],[INTEREST]],"")</f>
        <v>2765.4737397623785</v>
      </c>
      <c r="I177" s="19">
        <f>IF(PaymentSchedule345[[#This Row],[PMT NO]]&lt;&gt;"",PaymentSchedule345[[#This Row],[BEGINNING BALANCE]]*(InterestRate/PaymentsPerYear),"")</f>
        <v>6225.7830071354028</v>
      </c>
      <c r="J17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1657443.3281630119</v>
      </c>
      <c r="K177" s="19">
        <f>IF(PaymentSchedule345[[#This Row],[PMT NO]]&lt;&gt;"",SUM(INDEX(PaymentSchedule345[INTEREST],1,1):PaymentSchedule345[[#This Row],[INTEREST]]),"")</f>
        <v>1149991.9481480429</v>
      </c>
    </row>
    <row r="178" spans="2:11" x14ac:dyDescent="0.3">
      <c r="B178" s="21">
        <f>IF(LoanIsGood,IF(ROW()-ROW(PaymentSchedule345[[#Headers],[PMT NO]])&gt;ScheduledNumberOfPayments,"",ROW()-ROW(PaymentSchedule345[[#Headers],[PMT NO]])),"")</f>
        <v>167</v>
      </c>
      <c r="C178" s="20">
        <f>IF(PaymentSchedule345[[#This Row],[PMT NO]]&lt;&gt;"",EOMONTH(LoanStartDate,ROW(PaymentSchedule345[[#This Row],[PMT NO]])-ROW(PaymentSchedule345[[#Headers],[PMT NO]])-2)+DAY(LoanStartDate),"")</f>
        <v>48700</v>
      </c>
      <c r="D17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1657443.3281630119</v>
      </c>
      <c r="E178" s="19">
        <f>IF(PaymentSchedule345[[#This Row],[PMT NO]]&lt;&gt;"",ScheduledPayment,"")</f>
        <v>8991.2567468977813</v>
      </c>
      <c r="F17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7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78" s="19">
        <f>IF(PaymentSchedule345[[#This Row],[PMT NO]]&lt;&gt;"",PaymentSchedule345[[#This Row],[TOTAL PAYMENT]]-PaymentSchedule345[[#This Row],[INTEREST]],"")</f>
        <v>2775.8442662864873</v>
      </c>
      <c r="I178" s="19">
        <f>IF(PaymentSchedule345[[#This Row],[PMT NO]]&lt;&gt;"",PaymentSchedule345[[#This Row],[BEGINNING BALANCE]]*(InterestRate/PaymentsPerYear),"")</f>
        <v>6215.4124806112941</v>
      </c>
      <c r="J17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1654667.4838967253</v>
      </c>
      <c r="K178" s="19">
        <f>IF(PaymentSchedule345[[#This Row],[PMT NO]]&lt;&gt;"",SUM(INDEX(PaymentSchedule345[INTEREST],1,1):PaymentSchedule345[[#This Row],[INTEREST]]),"")</f>
        <v>1156207.3606286542</v>
      </c>
    </row>
    <row r="179" spans="2:11" x14ac:dyDescent="0.3">
      <c r="B179" s="21">
        <f>IF(LoanIsGood,IF(ROW()-ROW(PaymentSchedule345[[#Headers],[PMT NO]])&gt;ScheduledNumberOfPayments,"",ROW()-ROW(PaymentSchedule345[[#Headers],[PMT NO]])),"")</f>
        <v>168</v>
      </c>
      <c r="C179" s="20">
        <f>IF(PaymentSchedule345[[#This Row],[PMT NO]]&lt;&gt;"",EOMONTH(LoanStartDate,ROW(PaymentSchedule345[[#This Row],[PMT NO]])-ROW(PaymentSchedule345[[#Headers],[PMT NO]])-2)+DAY(LoanStartDate),"")</f>
        <v>48731</v>
      </c>
      <c r="D17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1654667.4838967253</v>
      </c>
      <c r="E179" s="19">
        <f>IF(PaymentSchedule345[[#This Row],[PMT NO]]&lt;&gt;"",ScheduledPayment,"")</f>
        <v>8991.2567468977813</v>
      </c>
      <c r="F17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7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79" s="19">
        <f>IF(PaymentSchedule345[[#This Row],[PMT NO]]&lt;&gt;"",PaymentSchedule345[[#This Row],[TOTAL PAYMENT]]-PaymentSchedule345[[#This Row],[INTEREST]],"")</f>
        <v>2786.2536822850616</v>
      </c>
      <c r="I179" s="19">
        <f>IF(PaymentSchedule345[[#This Row],[PMT NO]]&lt;&gt;"",PaymentSchedule345[[#This Row],[BEGINNING BALANCE]]*(InterestRate/PaymentsPerYear),"")</f>
        <v>6205.0030646127198</v>
      </c>
      <c r="J17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1651881.2302144403</v>
      </c>
      <c r="K179" s="19">
        <f>IF(PaymentSchedule345[[#This Row],[PMT NO]]&lt;&gt;"",SUM(INDEX(PaymentSchedule345[INTEREST],1,1):PaymentSchedule345[[#This Row],[INTEREST]]),"")</f>
        <v>1162412.3636932669</v>
      </c>
    </row>
    <row r="180" spans="2:11" x14ac:dyDescent="0.3">
      <c r="B180" s="21">
        <f>IF(LoanIsGood,IF(ROW()-ROW(PaymentSchedule345[[#Headers],[PMT NO]])&gt;ScheduledNumberOfPayments,"",ROW()-ROW(PaymentSchedule345[[#Headers],[PMT NO]])),"")</f>
        <v>169</v>
      </c>
      <c r="C180" s="20">
        <f>IF(PaymentSchedule345[[#This Row],[PMT NO]]&lt;&gt;"",EOMONTH(LoanStartDate,ROW(PaymentSchedule345[[#This Row],[PMT NO]])-ROW(PaymentSchedule345[[#Headers],[PMT NO]])-2)+DAY(LoanStartDate),"")</f>
        <v>48761</v>
      </c>
      <c r="D18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1651881.2302144403</v>
      </c>
      <c r="E180" s="19">
        <f>IF(PaymentSchedule345[[#This Row],[PMT NO]]&lt;&gt;"",ScheduledPayment,"")</f>
        <v>8991.2567468977813</v>
      </c>
      <c r="F18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8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80" s="19">
        <f>IF(PaymentSchedule345[[#This Row],[PMT NO]]&lt;&gt;"",PaymentSchedule345[[#This Row],[TOTAL PAYMENT]]-PaymentSchedule345[[#This Row],[INTEREST]],"")</f>
        <v>2796.7021335936306</v>
      </c>
      <c r="I180" s="19">
        <f>IF(PaymentSchedule345[[#This Row],[PMT NO]]&lt;&gt;"",PaymentSchedule345[[#This Row],[BEGINNING BALANCE]]*(InterestRate/PaymentsPerYear),"")</f>
        <v>6194.5546133041507</v>
      </c>
      <c r="J18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1649084.5280808466</v>
      </c>
      <c r="K180" s="19">
        <f>IF(PaymentSchedule345[[#This Row],[PMT NO]]&lt;&gt;"",SUM(INDEX(PaymentSchedule345[INTEREST],1,1):PaymentSchedule345[[#This Row],[INTEREST]]),"")</f>
        <v>1168606.918306571</v>
      </c>
    </row>
    <row r="181" spans="2:11" x14ac:dyDescent="0.3">
      <c r="B181" s="21">
        <f>IF(LoanIsGood,IF(ROW()-ROW(PaymentSchedule345[[#Headers],[PMT NO]])&gt;ScheduledNumberOfPayments,"",ROW()-ROW(PaymentSchedule345[[#Headers],[PMT NO]])),"")</f>
        <v>170</v>
      </c>
      <c r="C181" s="20">
        <f>IF(PaymentSchedule345[[#This Row],[PMT NO]]&lt;&gt;"",EOMONTH(LoanStartDate,ROW(PaymentSchedule345[[#This Row],[PMT NO]])-ROW(PaymentSchedule345[[#Headers],[PMT NO]])-2)+DAY(LoanStartDate),"")</f>
        <v>48792</v>
      </c>
      <c r="D18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1649084.5280808466</v>
      </c>
      <c r="E181" s="19">
        <f>IF(PaymentSchedule345[[#This Row],[PMT NO]]&lt;&gt;"",ScheduledPayment,"")</f>
        <v>8991.2567468977813</v>
      </c>
      <c r="F18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8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81" s="19">
        <f>IF(PaymentSchedule345[[#This Row],[PMT NO]]&lt;&gt;"",PaymentSchedule345[[#This Row],[TOTAL PAYMENT]]-PaymentSchedule345[[#This Row],[INTEREST]],"")</f>
        <v>2807.1897665946062</v>
      </c>
      <c r="I181" s="19">
        <f>IF(PaymentSchedule345[[#This Row],[PMT NO]]&lt;&gt;"",PaymentSchedule345[[#This Row],[BEGINNING BALANCE]]*(InterestRate/PaymentsPerYear),"")</f>
        <v>6184.0669803031751</v>
      </c>
      <c r="J18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1646277.338314252</v>
      </c>
      <c r="K181" s="19">
        <f>IF(PaymentSchedule345[[#This Row],[PMT NO]]&lt;&gt;"",SUM(INDEX(PaymentSchedule345[INTEREST],1,1):PaymentSchedule345[[#This Row],[INTEREST]]),"")</f>
        <v>1174790.9852868742</v>
      </c>
    </row>
    <row r="182" spans="2:11" x14ac:dyDescent="0.3">
      <c r="B182" s="21">
        <f>IF(LoanIsGood,IF(ROW()-ROW(PaymentSchedule345[[#Headers],[PMT NO]])&gt;ScheduledNumberOfPayments,"",ROW()-ROW(PaymentSchedule345[[#Headers],[PMT NO]])),"")</f>
        <v>171</v>
      </c>
      <c r="C182" s="20">
        <f>IF(PaymentSchedule345[[#This Row],[PMT NO]]&lt;&gt;"",EOMONTH(LoanStartDate,ROW(PaymentSchedule345[[#This Row],[PMT NO]])-ROW(PaymentSchedule345[[#Headers],[PMT NO]])-2)+DAY(LoanStartDate),"")</f>
        <v>48823</v>
      </c>
      <c r="D18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1646277.338314252</v>
      </c>
      <c r="E182" s="19">
        <f>IF(PaymentSchedule345[[#This Row],[PMT NO]]&lt;&gt;"",ScheduledPayment,"")</f>
        <v>8991.2567468977813</v>
      </c>
      <c r="F18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8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82" s="19">
        <f>IF(PaymentSchedule345[[#This Row],[PMT NO]]&lt;&gt;"",PaymentSchedule345[[#This Row],[TOTAL PAYMENT]]-PaymentSchedule345[[#This Row],[INTEREST]],"")</f>
        <v>2817.7167282193368</v>
      </c>
      <c r="I182" s="19">
        <f>IF(PaymentSchedule345[[#This Row],[PMT NO]]&lt;&gt;"",PaymentSchedule345[[#This Row],[BEGINNING BALANCE]]*(InterestRate/PaymentsPerYear),"")</f>
        <v>6173.5400186784445</v>
      </c>
      <c r="J18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1643459.6215860327</v>
      </c>
      <c r="K182" s="19">
        <f>IF(PaymentSchedule345[[#This Row],[PMT NO]]&lt;&gt;"",SUM(INDEX(PaymentSchedule345[INTEREST],1,1):PaymentSchedule345[[#This Row],[INTEREST]]),"")</f>
        <v>1180964.5253055526</v>
      </c>
    </row>
    <row r="183" spans="2:11" x14ac:dyDescent="0.3">
      <c r="B183" s="21">
        <f>IF(LoanIsGood,IF(ROW()-ROW(PaymentSchedule345[[#Headers],[PMT NO]])&gt;ScheduledNumberOfPayments,"",ROW()-ROW(PaymentSchedule345[[#Headers],[PMT NO]])),"")</f>
        <v>172</v>
      </c>
      <c r="C183" s="20">
        <f>IF(PaymentSchedule345[[#This Row],[PMT NO]]&lt;&gt;"",EOMONTH(LoanStartDate,ROW(PaymentSchedule345[[#This Row],[PMT NO]])-ROW(PaymentSchedule345[[#Headers],[PMT NO]])-2)+DAY(LoanStartDate),"")</f>
        <v>48853</v>
      </c>
      <c r="D18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1643459.6215860327</v>
      </c>
      <c r="E183" s="19">
        <f>IF(PaymentSchedule345[[#This Row],[PMT NO]]&lt;&gt;"",ScheduledPayment,"")</f>
        <v>8991.2567468977813</v>
      </c>
      <c r="F18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8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83" s="19">
        <f>IF(PaymentSchedule345[[#This Row],[PMT NO]]&lt;&gt;"",PaymentSchedule345[[#This Row],[TOTAL PAYMENT]]-PaymentSchedule345[[#This Row],[INTEREST]],"")</f>
        <v>2828.2831659501589</v>
      </c>
      <c r="I183" s="19">
        <f>IF(PaymentSchedule345[[#This Row],[PMT NO]]&lt;&gt;"",PaymentSchedule345[[#This Row],[BEGINNING BALANCE]]*(InterestRate/PaymentsPerYear),"")</f>
        <v>6162.9735809476224</v>
      </c>
      <c r="J18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1640631.3384200826</v>
      </c>
      <c r="K183" s="19">
        <f>IF(PaymentSchedule345[[#This Row],[PMT NO]]&lt;&gt;"",SUM(INDEX(PaymentSchedule345[INTEREST],1,1):PaymentSchedule345[[#This Row],[INTEREST]]),"")</f>
        <v>1187127.4988865003</v>
      </c>
    </row>
    <row r="184" spans="2:11" x14ac:dyDescent="0.3">
      <c r="B184" s="21">
        <f>IF(LoanIsGood,IF(ROW()-ROW(PaymentSchedule345[[#Headers],[PMT NO]])&gt;ScheduledNumberOfPayments,"",ROW()-ROW(PaymentSchedule345[[#Headers],[PMT NO]])),"")</f>
        <v>173</v>
      </c>
      <c r="C184" s="20">
        <f>IF(PaymentSchedule345[[#This Row],[PMT NO]]&lt;&gt;"",EOMONTH(LoanStartDate,ROW(PaymentSchedule345[[#This Row],[PMT NO]])-ROW(PaymentSchedule345[[#Headers],[PMT NO]])-2)+DAY(LoanStartDate),"")</f>
        <v>48884</v>
      </c>
      <c r="D18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1640631.3384200826</v>
      </c>
      <c r="E184" s="19">
        <f>IF(PaymentSchedule345[[#This Row],[PMT NO]]&lt;&gt;"",ScheduledPayment,"")</f>
        <v>8991.2567468977813</v>
      </c>
      <c r="F18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8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84" s="19">
        <f>IF(PaymentSchedule345[[#This Row],[PMT NO]]&lt;&gt;"",PaymentSchedule345[[#This Row],[TOTAL PAYMENT]]-PaymentSchedule345[[#This Row],[INTEREST]],"")</f>
        <v>2838.8892278224721</v>
      </c>
      <c r="I184" s="19">
        <f>IF(PaymentSchedule345[[#This Row],[PMT NO]]&lt;&gt;"",PaymentSchedule345[[#This Row],[BEGINNING BALANCE]]*(InterestRate/PaymentsPerYear),"")</f>
        <v>6152.3675190753092</v>
      </c>
      <c r="J18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1637792.4491922602</v>
      </c>
      <c r="K184" s="19">
        <f>IF(PaymentSchedule345[[#This Row],[PMT NO]]&lt;&gt;"",SUM(INDEX(PaymentSchedule345[INTEREST],1,1):PaymentSchedule345[[#This Row],[INTEREST]]),"")</f>
        <v>1193279.8664055755</v>
      </c>
    </row>
    <row r="185" spans="2:11" x14ac:dyDescent="0.3">
      <c r="B185" s="21">
        <f>IF(LoanIsGood,IF(ROW()-ROW(PaymentSchedule345[[#Headers],[PMT NO]])&gt;ScheduledNumberOfPayments,"",ROW()-ROW(PaymentSchedule345[[#Headers],[PMT NO]])),"")</f>
        <v>174</v>
      </c>
      <c r="C185" s="20">
        <f>IF(PaymentSchedule345[[#This Row],[PMT NO]]&lt;&gt;"",EOMONTH(LoanStartDate,ROW(PaymentSchedule345[[#This Row],[PMT NO]])-ROW(PaymentSchedule345[[#Headers],[PMT NO]])-2)+DAY(LoanStartDate),"")</f>
        <v>48914</v>
      </c>
      <c r="D18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1637792.4491922602</v>
      </c>
      <c r="E185" s="19">
        <f>IF(PaymentSchedule345[[#This Row],[PMT NO]]&lt;&gt;"",ScheduledPayment,"")</f>
        <v>8991.2567468977813</v>
      </c>
      <c r="F18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8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85" s="19">
        <f>IF(PaymentSchedule345[[#This Row],[PMT NO]]&lt;&gt;"",PaymentSchedule345[[#This Row],[TOTAL PAYMENT]]-PaymentSchedule345[[#This Row],[INTEREST]],"")</f>
        <v>2849.5350624268058</v>
      </c>
      <c r="I185" s="19">
        <f>IF(PaymentSchedule345[[#This Row],[PMT NO]]&lt;&gt;"",PaymentSchedule345[[#This Row],[BEGINNING BALANCE]]*(InterestRate/PaymentsPerYear),"")</f>
        <v>6141.7216844709756</v>
      </c>
      <c r="J18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1634942.9141298335</v>
      </c>
      <c r="K185" s="19">
        <f>IF(PaymentSchedule345[[#This Row],[PMT NO]]&lt;&gt;"",SUM(INDEX(PaymentSchedule345[INTEREST],1,1):PaymentSchedule345[[#This Row],[INTEREST]]),"")</f>
        <v>1199421.5880900465</v>
      </c>
    </row>
    <row r="186" spans="2:11" x14ac:dyDescent="0.3">
      <c r="B186" s="21">
        <f>IF(LoanIsGood,IF(ROW()-ROW(PaymentSchedule345[[#Headers],[PMT NO]])&gt;ScheduledNumberOfPayments,"",ROW()-ROW(PaymentSchedule345[[#Headers],[PMT NO]])),"")</f>
        <v>175</v>
      </c>
      <c r="C186" s="20">
        <f>IF(PaymentSchedule345[[#This Row],[PMT NO]]&lt;&gt;"",EOMONTH(LoanStartDate,ROW(PaymentSchedule345[[#This Row],[PMT NO]])-ROW(PaymentSchedule345[[#Headers],[PMT NO]])-2)+DAY(LoanStartDate),"")</f>
        <v>48945</v>
      </c>
      <c r="D18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1634942.9141298335</v>
      </c>
      <c r="E186" s="19">
        <f>IF(PaymentSchedule345[[#This Row],[PMT NO]]&lt;&gt;"",ScheduledPayment,"")</f>
        <v>8991.2567468977813</v>
      </c>
      <c r="F18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8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86" s="19">
        <f>IF(PaymentSchedule345[[#This Row],[PMT NO]]&lt;&gt;"",PaymentSchedule345[[#This Row],[TOTAL PAYMENT]]-PaymentSchedule345[[#This Row],[INTEREST]],"")</f>
        <v>2860.220818910906</v>
      </c>
      <c r="I186" s="19">
        <f>IF(PaymentSchedule345[[#This Row],[PMT NO]]&lt;&gt;"",PaymentSchedule345[[#This Row],[BEGINNING BALANCE]]*(InterestRate/PaymentsPerYear),"")</f>
        <v>6131.0359279868753</v>
      </c>
      <c r="J18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1632082.6933109225</v>
      </c>
      <c r="K186" s="19">
        <f>IF(PaymentSchedule345[[#This Row],[PMT NO]]&lt;&gt;"",SUM(INDEX(PaymentSchedule345[INTEREST],1,1):PaymentSchedule345[[#This Row],[INTEREST]]),"")</f>
        <v>1205552.6240180335</v>
      </c>
    </row>
    <row r="187" spans="2:11" x14ac:dyDescent="0.3">
      <c r="B187" s="21">
        <f>IF(LoanIsGood,IF(ROW()-ROW(PaymentSchedule345[[#Headers],[PMT NO]])&gt;ScheduledNumberOfPayments,"",ROW()-ROW(PaymentSchedule345[[#Headers],[PMT NO]])),"")</f>
        <v>176</v>
      </c>
      <c r="C187" s="20">
        <f>IF(PaymentSchedule345[[#This Row],[PMT NO]]&lt;&gt;"",EOMONTH(LoanStartDate,ROW(PaymentSchedule345[[#This Row],[PMT NO]])-ROW(PaymentSchedule345[[#Headers],[PMT NO]])-2)+DAY(LoanStartDate),"")</f>
        <v>48976</v>
      </c>
      <c r="D18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1632082.6933109225</v>
      </c>
      <c r="E187" s="19">
        <f>IF(PaymentSchedule345[[#This Row],[PMT NO]]&lt;&gt;"",ScheduledPayment,"")</f>
        <v>8991.2567468977813</v>
      </c>
      <c r="F18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8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87" s="19">
        <f>IF(PaymentSchedule345[[#This Row],[PMT NO]]&lt;&gt;"",PaymentSchedule345[[#This Row],[TOTAL PAYMENT]]-PaymentSchedule345[[#This Row],[INTEREST]],"")</f>
        <v>2870.9466469818226</v>
      </c>
      <c r="I187" s="19">
        <f>IF(PaymentSchedule345[[#This Row],[PMT NO]]&lt;&gt;"",PaymentSchedule345[[#This Row],[BEGINNING BALANCE]]*(InterestRate/PaymentsPerYear),"")</f>
        <v>6120.3100999159587</v>
      </c>
      <c r="J18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1629211.7466639406</v>
      </c>
      <c r="K187" s="19">
        <f>IF(PaymentSchedule345[[#This Row],[PMT NO]]&lt;&gt;"",SUM(INDEX(PaymentSchedule345[INTEREST],1,1):PaymentSchedule345[[#This Row],[INTEREST]]),"")</f>
        <v>1211672.9341179496</v>
      </c>
    </row>
    <row r="188" spans="2:11" x14ac:dyDescent="0.3">
      <c r="B188" s="21">
        <f>IF(LoanIsGood,IF(ROW()-ROW(PaymentSchedule345[[#Headers],[PMT NO]])&gt;ScheduledNumberOfPayments,"",ROW()-ROW(PaymentSchedule345[[#Headers],[PMT NO]])),"")</f>
        <v>177</v>
      </c>
      <c r="C188" s="20">
        <f>IF(PaymentSchedule345[[#This Row],[PMT NO]]&lt;&gt;"",EOMONTH(LoanStartDate,ROW(PaymentSchedule345[[#This Row],[PMT NO]])-ROW(PaymentSchedule345[[#Headers],[PMT NO]])-2)+DAY(LoanStartDate),"")</f>
        <v>49004</v>
      </c>
      <c r="D18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1629211.7466639406</v>
      </c>
      <c r="E188" s="19">
        <f>IF(PaymentSchedule345[[#This Row],[PMT NO]]&lt;&gt;"",ScheduledPayment,"")</f>
        <v>8991.2567468977813</v>
      </c>
      <c r="F18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8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88" s="19">
        <f>IF(PaymentSchedule345[[#This Row],[PMT NO]]&lt;&gt;"",PaymentSchedule345[[#This Row],[TOTAL PAYMENT]]-PaymentSchedule345[[#This Row],[INTEREST]],"")</f>
        <v>2881.7126969080045</v>
      </c>
      <c r="I188" s="19">
        <f>IF(PaymentSchedule345[[#This Row],[PMT NO]]&lt;&gt;"",PaymentSchedule345[[#This Row],[BEGINNING BALANCE]]*(InterestRate/PaymentsPerYear),"")</f>
        <v>6109.5440499897768</v>
      </c>
      <c r="J18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1626330.0339670326</v>
      </c>
      <c r="K188" s="19">
        <f>IF(PaymentSchedule345[[#This Row],[PMT NO]]&lt;&gt;"",SUM(INDEX(PaymentSchedule345[INTEREST],1,1):PaymentSchedule345[[#This Row],[INTEREST]]),"")</f>
        <v>1217782.4781679392</v>
      </c>
    </row>
    <row r="189" spans="2:11" x14ac:dyDescent="0.3">
      <c r="B189" s="21">
        <f>IF(LoanIsGood,IF(ROW()-ROW(PaymentSchedule345[[#Headers],[PMT NO]])&gt;ScheduledNumberOfPayments,"",ROW()-ROW(PaymentSchedule345[[#Headers],[PMT NO]])),"")</f>
        <v>178</v>
      </c>
      <c r="C189" s="20">
        <f>IF(PaymentSchedule345[[#This Row],[PMT NO]]&lt;&gt;"",EOMONTH(LoanStartDate,ROW(PaymentSchedule345[[#This Row],[PMT NO]])-ROW(PaymentSchedule345[[#Headers],[PMT NO]])-2)+DAY(LoanStartDate),"")</f>
        <v>49035</v>
      </c>
      <c r="D18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1626330.0339670326</v>
      </c>
      <c r="E189" s="19">
        <f>IF(PaymentSchedule345[[#This Row],[PMT NO]]&lt;&gt;"",ScheduledPayment,"")</f>
        <v>8991.2567468977813</v>
      </c>
      <c r="F18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8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89" s="19">
        <f>IF(PaymentSchedule345[[#This Row],[PMT NO]]&lt;&gt;"",PaymentSchedule345[[#This Row],[TOTAL PAYMENT]]-PaymentSchedule345[[#This Row],[INTEREST]],"")</f>
        <v>2892.5191195214093</v>
      </c>
      <c r="I189" s="19">
        <f>IF(PaymentSchedule345[[#This Row],[PMT NO]]&lt;&gt;"",PaymentSchedule345[[#This Row],[BEGINNING BALANCE]]*(InterestRate/PaymentsPerYear),"")</f>
        <v>6098.7376273763721</v>
      </c>
      <c r="J18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1623437.5148475112</v>
      </c>
      <c r="K189" s="19">
        <f>IF(PaymentSchedule345[[#This Row],[PMT NO]]&lt;&gt;"",SUM(INDEX(PaymentSchedule345[INTEREST],1,1):PaymentSchedule345[[#This Row],[INTEREST]]),"")</f>
        <v>1223881.2157953156</v>
      </c>
    </row>
    <row r="190" spans="2:11" x14ac:dyDescent="0.3">
      <c r="B190" s="21">
        <f>IF(LoanIsGood,IF(ROW()-ROW(PaymentSchedule345[[#Headers],[PMT NO]])&gt;ScheduledNumberOfPayments,"",ROW()-ROW(PaymentSchedule345[[#Headers],[PMT NO]])),"")</f>
        <v>179</v>
      </c>
      <c r="C190" s="20">
        <f>IF(PaymentSchedule345[[#This Row],[PMT NO]]&lt;&gt;"",EOMONTH(LoanStartDate,ROW(PaymentSchedule345[[#This Row],[PMT NO]])-ROW(PaymentSchedule345[[#Headers],[PMT NO]])-2)+DAY(LoanStartDate),"")</f>
        <v>49065</v>
      </c>
      <c r="D19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1623437.5148475112</v>
      </c>
      <c r="E190" s="19">
        <f>IF(PaymentSchedule345[[#This Row],[PMT NO]]&lt;&gt;"",ScheduledPayment,"")</f>
        <v>8991.2567468977813</v>
      </c>
      <c r="F19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9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90" s="19">
        <f>IF(PaymentSchedule345[[#This Row],[PMT NO]]&lt;&gt;"",PaymentSchedule345[[#This Row],[TOTAL PAYMENT]]-PaymentSchedule345[[#This Row],[INTEREST]],"")</f>
        <v>2903.3660662196144</v>
      </c>
      <c r="I190" s="19">
        <f>IF(PaymentSchedule345[[#This Row],[PMT NO]]&lt;&gt;"",PaymentSchedule345[[#This Row],[BEGINNING BALANCE]]*(InterestRate/PaymentsPerYear),"")</f>
        <v>6087.890680678167</v>
      </c>
      <c r="J19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1620534.1487812917</v>
      </c>
      <c r="K190" s="19">
        <f>IF(PaymentSchedule345[[#This Row],[PMT NO]]&lt;&gt;"",SUM(INDEX(PaymentSchedule345[INTEREST],1,1):PaymentSchedule345[[#This Row],[INTEREST]]),"")</f>
        <v>1229969.1064759938</v>
      </c>
    </row>
    <row r="191" spans="2:11" x14ac:dyDescent="0.3">
      <c r="B191" s="21">
        <f>IF(LoanIsGood,IF(ROW()-ROW(PaymentSchedule345[[#Headers],[PMT NO]])&gt;ScheduledNumberOfPayments,"",ROW()-ROW(PaymentSchedule345[[#Headers],[PMT NO]])),"")</f>
        <v>180</v>
      </c>
      <c r="C191" s="20">
        <f>IF(PaymentSchedule345[[#This Row],[PMT NO]]&lt;&gt;"",EOMONTH(LoanStartDate,ROW(PaymentSchedule345[[#This Row],[PMT NO]])-ROW(PaymentSchedule345[[#Headers],[PMT NO]])-2)+DAY(LoanStartDate),"")</f>
        <v>49096</v>
      </c>
      <c r="D19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1620534.1487812917</v>
      </c>
      <c r="E191" s="19">
        <f>IF(PaymentSchedule345[[#This Row],[PMT NO]]&lt;&gt;"",ScheduledPayment,"")</f>
        <v>8991.2567468977813</v>
      </c>
      <c r="F19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9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91" s="19">
        <f>IF(PaymentSchedule345[[#This Row],[PMT NO]]&lt;&gt;"",PaymentSchedule345[[#This Row],[TOTAL PAYMENT]]-PaymentSchedule345[[#This Row],[INTEREST]],"")</f>
        <v>2914.2536889679377</v>
      </c>
      <c r="I191" s="19">
        <f>IF(PaymentSchedule345[[#This Row],[PMT NO]]&lt;&gt;"",PaymentSchedule345[[#This Row],[BEGINNING BALANCE]]*(InterestRate/PaymentsPerYear),"")</f>
        <v>6077.0030579298436</v>
      </c>
      <c r="J19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1617619.8950923237</v>
      </c>
      <c r="K191" s="19">
        <f>IF(PaymentSchedule345[[#This Row],[PMT NO]]&lt;&gt;"",SUM(INDEX(PaymentSchedule345[INTEREST],1,1):PaymentSchedule345[[#This Row],[INTEREST]]),"")</f>
        <v>1236046.1095339237</v>
      </c>
    </row>
    <row r="192" spans="2:11" x14ac:dyDescent="0.3">
      <c r="B192" s="21">
        <f>IF(LoanIsGood,IF(ROW()-ROW(PaymentSchedule345[[#Headers],[PMT NO]])&gt;ScheduledNumberOfPayments,"",ROW()-ROW(PaymentSchedule345[[#Headers],[PMT NO]])),"")</f>
        <v>181</v>
      </c>
      <c r="C192" s="20">
        <f>IF(PaymentSchedule345[[#This Row],[PMT NO]]&lt;&gt;"",EOMONTH(LoanStartDate,ROW(PaymentSchedule345[[#This Row],[PMT NO]])-ROW(PaymentSchedule345[[#Headers],[PMT NO]])-2)+DAY(LoanStartDate),"")</f>
        <v>49126</v>
      </c>
      <c r="D19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1617619.8950923237</v>
      </c>
      <c r="E192" s="19">
        <f>IF(PaymentSchedule345[[#This Row],[PMT NO]]&lt;&gt;"",ScheduledPayment,"")</f>
        <v>8991.2567468977813</v>
      </c>
      <c r="F19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9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92" s="19">
        <f>IF(PaymentSchedule345[[#This Row],[PMT NO]]&lt;&gt;"",PaymentSchedule345[[#This Row],[TOTAL PAYMENT]]-PaymentSchedule345[[#This Row],[INTEREST]],"")</f>
        <v>2925.1821403015674</v>
      </c>
      <c r="I192" s="19">
        <f>IF(PaymentSchedule345[[#This Row],[PMT NO]]&lt;&gt;"",PaymentSchedule345[[#This Row],[BEGINNING BALANCE]]*(InterestRate/PaymentsPerYear),"")</f>
        <v>6066.0746065962139</v>
      </c>
      <c r="J19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1614694.712952022</v>
      </c>
      <c r="K192" s="19">
        <f>IF(PaymentSchedule345[[#This Row],[PMT NO]]&lt;&gt;"",SUM(INDEX(PaymentSchedule345[INTEREST],1,1):PaymentSchedule345[[#This Row],[INTEREST]]),"")</f>
        <v>1242112.1841405199</v>
      </c>
    </row>
    <row r="193" spans="2:11" x14ac:dyDescent="0.3">
      <c r="B193" s="21">
        <f>IF(LoanIsGood,IF(ROW()-ROW(PaymentSchedule345[[#Headers],[PMT NO]])&gt;ScheduledNumberOfPayments,"",ROW()-ROW(PaymentSchedule345[[#Headers],[PMT NO]])),"")</f>
        <v>182</v>
      </c>
      <c r="C193" s="20">
        <f>IF(PaymentSchedule345[[#This Row],[PMT NO]]&lt;&gt;"",EOMONTH(LoanStartDate,ROW(PaymentSchedule345[[#This Row],[PMT NO]])-ROW(PaymentSchedule345[[#Headers],[PMT NO]])-2)+DAY(LoanStartDate),"")</f>
        <v>49157</v>
      </c>
      <c r="D19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1614694.712952022</v>
      </c>
      <c r="E193" s="19">
        <f>IF(PaymentSchedule345[[#This Row],[PMT NO]]&lt;&gt;"",ScheduledPayment,"")</f>
        <v>8991.2567468977813</v>
      </c>
      <c r="F19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9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93" s="19">
        <f>IF(PaymentSchedule345[[#This Row],[PMT NO]]&lt;&gt;"",PaymentSchedule345[[#This Row],[TOTAL PAYMENT]]-PaymentSchedule345[[#This Row],[INTEREST]],"")</f>
        <v>2936.1515733276992</v>
      </c>
      <c r="I193" s="19">
        <f>IF(PaymentSchedule345[[#This Row],[PMT NO]]&lt;&gt;"",PaymentSchedule345[[#This Row],[BEGINNING BALANCE]]*(InterestRate/PaymentsPerYear),"")</f>
        <v>6055.1051735700821</v>
      </c>
      <c r="J19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1611758.5613786944</v>
      </c>
      <c r="K193" s="19">
        <f>IF(PaymentSchedule345[[#This Row],[PMT NO]]&lt;&gt;"",SUM(INDEX(PaymentSchedule345[INTEREST],1,1):PaymentSchedule345[[#This Row],[INTEREST]]),"")</f>
        <v>1248167.28931409</v>
      </c>
    </row>
    <row r="194" spans="2:11" x14ac:dyDescent="0.3">
      <c r="B194" s="21">
        <f>IF(LoanIsGood,IF(ROW()-ROW(PaymentSchedule345[[#Headers],[PMT NO]])&gt;ScheduledNumberOfPayments,"",ROW()-ROW(PaymentSchedule345[[#Headers],[PMT NO]])),"")</f>
        <v>183</v>
      </c>
      <c r="C194" s="20">
        <f>IF(PaymentSchedule345[[#This Row],[PMT NO]]&lt;&gt;"",EOMONTH(LoanStartDate,ROW(PaymentSchedule345[[#This Row],[PMT NO]])-ROW(PaymentSchedule345[[#Headers],[PMT NO]])-2)+DAY(LoanStartDate),"")</f>
        <v>49188</v>
      </c>
      <c r="D19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1611758.5613786944</v>
      </c>
      <c r="E194" s="19">
        <f>IF(PaymentSchedule345[[#This Row],[PMT NO]]&lt;&gt;"",ScheduledPayment,"")</f>
        <v>8991.2567468977813</v>
      </c>
      <c r="F19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9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94" s="19">
        <f>IF(PaymentSchedule345[[#This Row],[PMT NO]]&lt;&gt;"",PaymentSchedule345[[#This Row],[TOTAL PAYMENT]]-PaymentSchedule345[[#This Row],[INTEREST]],"")</f>
        <v>2947.1621417276774</v>
      </c>
      <c r="I194" s="19">
        <f>IF(PaymentSchedule345[[#This Row],[PMT NO]]&lt;&gt;"",PaymentSchedule345[[#This Row],[BEGINNING BALANCE]]*(InterestRate/PaymentsPerYear),"")</f>
        <v>6044.0946051701039</v>
      </c>
      <c r="J19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1608811.3992369666</v>
      </c>
      <c r="K194" s="19">
        <f>IF(PaymentSchedule345[[#This Row],[PMT NO]]&lt;&gt;"",SUM(INDEX(PaymentSchedule345[INTEREST],1,1):PaymentSchedule345[[#This Row],[INTEREST]]),"")</f>
        <v>1254211.3839192602</v>
      </c>
    </row>
    <row r="195" spans="2:11" x14ac:dyDescent="0.3">
      <c r="B195" s="21">
        <f>IF(LoanIsGood,IF(ROW()-ROW(PaymentSchedule345[[#Headers],[PMT NO]])&gt;ScheduledNumberOfPayments,"",ROW()-ROW(PaymentSchedule345[[#Headers],[PMT NO]])),"")</f>
        <v>184</v>
      </c>
      <c r="C195" s="20">
        <f>IF(PaymentSchedule345[[#This Row],[PMT NO]]&lt;&gt;"",EOMONTH(LoanStartDate,ROW(PaymentSchedule345[[#This Row],[PMT NO]])-ROW(PaymentSchedule345[[#Headers],[PMT NO]])-2)+DAY(LoanStartDate),"")</f>
        <v>49218</v>
      </c>
      <c r="D19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1608811.3992369666</v>
      </c>
      <c r="E195" s="19">
        <f>IF(PaymentSchedule345[[#This Row],[PMT NO]]&lt;&gt;"",ScheduledPayment,"")</f>
        <v>8991.2567468977813</v>
      </c>
      <c r="F19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9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95" s="19">
        <f>IF(PaymentSchedule345[[#This Row],[PMT NO]]&lt;&gt;"",PaymentSchedule345[[#This Row],[TOTAL PAYMENT]]-PaymentSchedule345[[#This Row],[INTEREST]],"")</f>
        <v>2958.2139997591566</v>
      </c>
      <c r="I195" s="19">
        <f>IF(PaymentSchedule345[[#This Row],[PMT NO]]&lt;&gt;"",PaymentSchedule345[[#This Row],[BEGINNING BALANCE]]*(InterestRate/PaymentsPerYear),"")</f>
        <v>6033.0427471386247</v>
      </c>
      <c r="J19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1605853.1852372074</v>
      </c>
      <c r="K195" s="19">
        <f>IF(PaymentSchedule345[[#This Row],[PMT NO]]&lt;&gt;"",SUM(INDEX(PaymentSchedule345[INTEREST],1,1):PaymentSchedule345[[#This Row],[INTEREST]]),"")</f>
        <v>1260244.4266663988</v>
      </c>
    </row>
    <row r="196" spans="2:11" x14ac:dyDescent="0.3">
      <c r="B196" s="21">
        <f>IF(LoanIsGood,IF(ROW()-ROW(PaymentSchedule345[[#Headers],[PMT NO]])&gt;ScheduledNumberOfPayments,"",ROW()-ROW(PaymentSchedule345[[#Headers],[PMT NO]])),"")</f>
        <v>185</v>
      </c>
      <c r="C196" s="20">
        <f>IF(PaymentSchedule345[[#This Row],[PMT NO]]&lt;&gt;"",EOMONTH(LoanStartDate,ROW(PaymentSchedule345[[#This Row],[PMT NO]])-ROW(PaymentSchedule345[[#Headers],[PMT NO]])-2)+DAY(LoanStartDate),"")</f>
        <v>49249</v>
      </c>
      <c r="D19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1605853.1852372074</v>
      </c>
      <c r="E196" s="19">
        <f>IF(PaymentSchedule345[[#This Row],[PMT NO]]&lt;&gt;"",ScheduledPayment,"")</f>
        <v>8991.2567468977813</v>
      </c>
      <c r="F19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9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96" s="19">
        <f>IF(PaymentSchedule345[[#This Row],[PMT NO]]&lt;&gt;"",PaymentSchedule345[[#This Row],[TOTAL PAYMENT]]-PaymentSchedule345[[#This Row],[INTEREST]],"")</f>
        <v>2969.3073022582539</v>
      </c>
      <c r="I196" s="19">
        <f>IF(PaymentSchedule345[[#This Row],[PMT NO]]&lt;&gt;"",PaymentSchedule345[[#This Row],[BEGINNING BALANCE]]*(InterestRate/PaymentsPerYear),"")</f>
        <v>6021.9494446395274</v>
      </c>
      <c r="J19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1602883.8779349492</v>
      </c>
      <c r="K196" s="19">
        <f>IF(PaymentSchedule345[[#This Row],[PMT NO]]&lt;&gt;"",SUM(INDEX(PaymentSchedule345[INTEREST],1,1):PaymentSchedule345[[#This Row],[INTEREST]]),"")</f>
        <v>1266266.3761110383</v>
      </c>
    </row>
    <row r="197" spans="2:11" x14ac:dyDescent="0.3">
      <c r="B197" s="21">
        <f>IF(LoanIsGood,IF(ROW()-ROW(PaymentSchedule345[[#Headers],[PMT NO]])&gt;ScheduledNumberOfPayments,"",ROW()-ROW(PaymentSchedule345[[#Headers],[PMT NO]])),"")</f>
        <v>186</v>
      </c>
      <c r="C197" s="20">
        <f>IF(PaymentSchedule345[[#This Row],[PMT NO]]&lt;&gt;"",EOMONTH(LoanStartDate,ROW(PaymentSchedule345[[#This Row],[PMT NO]])-ROW(PaymentSchedule345[[#Headers],[PMT NO]])-2)+DAY(LoanStartDate),"")</f>
        <v>49279</v>
      </c>
      <c r="D19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1602883.8779349492</v>
      </c>
      <c r="E197" s="19">
        <f>IF(PaymentSchedule345[[#This Row],[PMT NO]]&lt;&gt;"",ScheduledPayment,"")</f>
        <v>8991.2567468977813</v>
      </c>
      <c r="F19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9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97" s="19">
        <f>IF(PaymentSchedule345[[#This Row],[PMT NO]]&lt;&gt;"",PaymentSchedule345[[#This Row],[TOTAL PAYMENT]]-PaymentSchedule345[[#This Row],[INTEREST]],"")</f>
        <v>2980.4422046417221</v>
      </c>
      <c r="I197" s="19">
        <f>IF(PaymentSchedule345[[#This Row],[PMT NO]]&lt;&gt;"",PaymentSchedule345[[#This Row],[BEGINNING BALANCE]]*(InterestRate/PaymentsPerYear),"")</f>
        <v>6010.8145422560592</v>
      </c>
      <c r="J19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1599903.4357303076</v>
      </c>
      <c r="K197" s="19">
        <f>IF(PaymentSchedule345[[#This Row],[PMT NO]]&lt;&gt;"",SUM(INDEX(PaymentSchedule345[INTEREST],1,1):PaymentSchedule345[[#This Row],[INTEREST]]),"")</f>
        <v>1272277.1906532943</v>
      </c>
    </row>
    <row r="198" spans="2:11" x14ac:dyDescent="0.3">
      <c r="B198" s="21">
        <f>IF(LoanIsGood,IF(ROW()-ROW(PaymentSchedule345[[#Headers],[PMT NO]])&gt;ScheduledNumberOfPayments,"",ROW()-ROW(PaymentSchedule345[[#Headers],[PMT NO]])),"")</f>
        <v>187</v>
      </c>
      <c r="C198" s="20">
        <f>IF(PaymentSchedule345[[#This Row],[PMT NO]]&lt;&gt;"",EOMONTH(LoanStartDate,ROW(PaymentSchedule345[[#This Row],[PMT NO]])-ROW(PaymentSchedule345[[#Headers],[PMT NO]])-2)+DAY(LoanStartDate),"")</f>
        <v>49310</v>
      </c>
      <c r="D19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1599903.4357303076</v>
      </c>
      <c r="E198" s="19">
        <f>IF(PaymentSchedule345[[#This Row],[PMT NO]]&lt;&gt;"",ScheduledPayment,"")</f>
        <v>8991.2567468977813</v>
      </c>
      <c r="F19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9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98" s="19">
        <f>IF(PaymentSchedule345[[#This Row],[PMT NO]]&lt;&gt;"",PaymentSchedule345[[#This Row],[TOTAL PAYMENT]]-PaymentSchedule345[[#This Row],[INTEREST]],"")</f>
        <v>2991.6188629091284</v>
      </c>
      <c r="I198" s="19">
        <f>IF(PaymentSchedule345[[#This Row],[PMT NO]]&lt;&gt;"",PaymentSchedule345[[#This Row],[BEGINNING BALANCE]]*(InterestRate/PaymentsPerYear),"")</f>
        <v>5999.6378839886529</v>
      </c>
      <c r="J19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1596911.8168673986</v>
      </c>
      <c r="K198" s="19">
        <f>IF(PaymentSchedule345[[#This Row],[PMT NO]]&lt;&gt;"",SUM(INDEX(PaymentSchedule345[INTEREST],1,1):PaymentSchedule345[[#This Row],[INTEREST]]),"")</f>
        <v>1278276.828537283</v>
      </c>
    </row>
    <row r="199" spans="2:11" x14ac:dyDescent="0.3">
      <c r="B199" s="21">
        <f>IF(LoanIsGood,IF(ROW()-ROW(PaymentSchedule345[[#Headers],[PMT NO]])&gt;ScheduledNumberOfPayments,"",ROW()-ROW(PaymentSchedule345[[#Headers],[PMT NO]])),"")</f>
        <v>188</v>
      </c>
      <c r="C199" s="20">
        <f>IF(PaymentSchedule345[[#This Row],[PMT NO]]&lt;&gt;"",EOMONTH(LoanStartDate,ROW(PaymentSchedule345[[#This Row],[PMT NO]])-ROW(PaymentSchedule345[[#Headers],[PMT NO]])-2)+DAY(LoanStartDate),"")</f>
        <v>49341</v>
      </c>
      <c r="D19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1596911.8168673986</v>
      </c>
      <c r="E199" s="19">
        <f>IF(PaymentSchedule345[[#This Row],[PMT NO]]&lt;&gt;"",ScheduledPayment,"")</f>
        <v>8991.2567468977813</v>
      </c>
      <c r="F19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19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199" s="19">
        <f>IF(PaymentSchedule345[[#This Row],[PMT NO]]&lt;&gt;"",PaymentSchedule345[[#This Row],[TOTAL PAYMENT]]-PaymentSchedule345[[#This Row],[INTEREST]],"")</f>
        <v>3002.837433645037</v>
      </c>
      <c r="I199" s="19">
        <f>IF(PaymentSchedule345[[#This Row],[PMT NO]]&lt;&gt;"",PaymentSchedule345[[#This Row],[BEGINNING BALANCE]]*(InterestRate/PaymentsPerYear),"")</f>
        <v>5988.4193132527444</v>
      </c>
      <c r="J19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1593908.9794337535</v>
      </c>
      <c r="K199" s="19">
        <f>IF(PaymentSchedule345[[#This Row],[PMT NO]]&lt;&gt;"",SUM(INDEX(PaymentSchedule345[INTEREST],1,1):PaymentSchedule345[[#This Row],[INTEREST]]),"")</f>
        <v>1284265.2478505357</v>
      </c>
    </row>
    <row r="200" spans="2:11" x14ac:dyDescent="0.3">
      <c r="B200" s="21">
        <f>IF(LoanIsGood,IF(ROW()-ROW(PaymentSchedule345[[#Headers],[PMT NO]])&gt;ScheduledNumberOfPayments,"",ROW()-ROW(PaymentSchedule345[[#Headers],[PMT NO]])),"")</f>
        <v>189</v>
      </c>
      <c r="C200" s="20">
        <f>IF(PaymentSchedule345[[#This Row],[PMT NO]]&lt;&gt;"",EOMONTH(LoanStartDate,ROW(PaymentSchedule345[[#This Row],[PMT NO]])-ROW(PaymentSchedule345[[#Headers],[PMT NO]])-2)+DAY(LoanStartDate),"")</f>
        <v>49369</v>
      </c>
      <c r="D20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1593908.9794337535</v>
      </c>
      <c r="E200" s="19">
        <f>IF(PaymentSchedule345[[#This Row],[PMT NO]]&lt;&gt;"",ScheduledPayment,"")</f>
        <v>8991.2567468977813</v>
      </c>
      <c r="F20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0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00" s="19">
        <f>IF(PaymentSchedule345[[#This Row],[PMT NO]]&lt;&gt;"",PaymentSchedule345[[#This Row],[TOTAL PAYMENT]]-PaymentSchedule345[[#This Row],[INTEREST]],"")</f>
        <v>3014.0980740212062</v>
      </c>
      <c r="I200" s="19">
        <f>IF(PaymentSchedule345[[#This Row],[PMT NO]]&lt;&gt;"",PaymentSchedule345[[#This Row],[BEGINNING BALANCE]]*(InterestRate/PaymentsPerYear),"")</f>
        <v>5977.1586728765751</v>
      </c>
      <c r="J20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1590894.8813597322</v>
      </c>
      <c r="K200" s="19">
        <f>IF(PaymentSchedule345[[#This Row],[PMT NO]]&lt;&gt;"",SUM(INDEX(PaymentSchedule345[INTEREST],1,1):PaymentSchedule345[[#This Row],[INTEREST]]),"")</f>
        <v>1290242.4065234123</v>
      </c>
    </row>
    <row r="201" spans="2:11" x14ac:dyDescent="0.3">
      <c r="B201" s="21">
        <f>IF(LoanIsGood,IF(ROW()-ROW(PaymentSchedule345[[#Headers],[PMT NO]])&gt;ScheduledNumberOfPayments,"",ROW()-ROW(PaymentSchedule345[[#Headers],[PMT NO]])),"")</f>
        <v>190</v>
      </c>
      <c r="C201" s="20">
        <f>IF(PaymentSchedule345[[#This Row],[PMT NO]]&lt;&gt;"",EOMONTH(LoanStartDate,ROW(PaymentSchedule345[[#This Row],[PMT NO]])-ROW(PaymentSchedule345[[#Headers],[PMT NO]])-2)+DAY(LoanStartDate),"")</f>
        <v>49400</v>
      </c>
      <c r="D20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1590894.8813597322</v>
      </c>
      <c r="E201" s="19">
        <f>IF(PaymentSchedule345[[#This Row],[PMT NO]]&lt;&gt;"",ScheduledPayment,"")</f>
        <v>8991.2567468977813</v>
      </c>
      <c r="F20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0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01" s="19">
        <f>IF(PaymentSchedule345[[#This Row],[PMT NO]]&lt;&gt;"",PaymentSchedule345[[#This Row],[TOTAL PAYMENT]]-PaymentSchedule345[[#This Row],[INTEREST]],"")</f>
        <v>3025.4009417987854</v>
      </c>
      <c r="I201" s="19">
        <f>IF(PaymentSchedule345[[#This Row],[PMT NO]]&lt;&gt;"",PaymentSchedule345[[#This Row],[BEGINNING BALANCE]]*(InterestRate/PaymentsPerYear),"")</f>
        <v>5965.8558050989959</v>
      </c>
      <c r="J20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1587869.4804179335</v>
      </c>
      <c r="K201" s="19">
        <f>IF(PaymentSchedule345[[#This Row],[PMT NO]]&lt;&gt;"",SUM(INDEX(PaymentSchedule345[INTEREST],1,1):PaymentSchedule345[[#This Row],[INTEREST]]),"")</f>
        <v>1296208.2623285113</v>
      </c>
    </row>
    <row r="202" spans="2:11" x14ac:dyDescent="0.3">
      <c r="B202" s="21">
        <f>IF(LoanIsGood,IF(ROW()-ROW(PaymentSchedule345[[#Headers],[PMT NO]])&gt;ScheduledNumberOfPayments,"",ROW()-ROW(PaymentSchedule345[[#Headers],[PMT NO]])),"")</f>
        <v>191</v>
      </c>
      <c r="C202" s="20">
        <f>IF(PaymentSchedule345[[#This Row],[PMT NO]]&lt;&gt;"",EOMONTH(LoanStartDate,ROW(PaymentSchedule345[[#This Row],[PMT NO]])-ROW(PaymentSchedule345[[#Headers],[PMT NO]])-2)+DAY(LoanStartDate),"")</f>
        <v>49430</v>
      </c>
      <c r="D20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1587869.4804179335</v>
      </c>
      <c r="E202" s="19">
        <f>IF(PaymentSchedule345[[#This Row],[PMT NO]]&lt;&gt;"",ScheduledPayment,"")</f>
        <v>8991.2567468977813</v>
      </c>
      <c r="F20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0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02" s="19">
        <f>IF(PaymentSchedule345[[#This Row],[PMT NO]]&lt;&gt;"",PaymentSchedule345[[#This Row],[TOTAL PAYMENT]]-PaymentSchedule345[[#This Row],[INTEREST]],"")</f>
        <v>3036.746195330531</v>
      </c>
      <c r="I202" s="19">
        <f>IF(PaymentSchedule345[[#This Row],[PMT NO]]&lt;&gt;"",PaymentSchedule345[[#This Row],[BEGINNING BALANCE]]*(InterestRate/PaymentsPerYear),"")</f>
        <v>5954.5105515672503</v>
      </c>
      <c r="J20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1584832.734222603</v>
      </c>
      <c r="K202" s="19">
        <f>IF(PaymentSchedule345[[#This Row],[PMT NO]]&lt;&gt;"",SUM(INDEX(PaymentSchedule345[INTEREST],1,1):PaymentSchedule345[[#This Row],[INTEREST]]),"")</f>
        <v>1302162.7728800785</v>
      </c>
    </row>
    <row r="203" spans="2:11" x14ac:dyDescent="0.3">
      <c r="B203" s="21">
        <f>IF(LoanIsGood,IF(ROW()-ROW(PaymentSchedule345[[#Headers],[PMT NO]])&gt;ScheduledNumberOfPayments,"",ROW()-ROW(PaymentSchedule345[[#Headers],[PMT NO]])),"")</f>
        <v>192</v>
      </c>
      <c r="C203" s="20">
        <f>IF(PaymentSchedule345[[#This Row],[PMT NO]]&lt;&gt;"",EOMONTH(LoanStartDate,ROW(PaymentSchedule345[[#This Row],[PMT NO]])-ROW(PaymentSchedule345[[#Headers],[PMT NO]])-2)+DAY(LoanStartDate),"")</f>
        <v>49461</v>
      </c>
      <c r="D20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1584832.734222603</v>
      </c>
      <c r="E203" s="19">
        <f>IF(PaymentSchedule345[[#This Row],[PMT NO]]&lt;&gt;"",ScheduledPayment,"")</f>
        <v>8991.2567468977813</v>
      </c>
      <c r="F20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0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03" s="19">
        <f>IF(PaymentSchedule345[[#This Row],[PMT NO]]&lt;&gt;"",PaymentSchedule345[[#This Row],[TOTAL PAYMENT]]-PaymentSchedule345[[#This Row],[INTEREST]],"")</f>
        <v>3048.1339935630203</v>
      </c>
      <c r="I203" s="19">
        <f>IF(PaymentSchedule345[[#This Row],[PMT NO]]&lt;&gt;"",PaymentSchedule345[[#This Row],[BEGINNING BALANCE]]*(InterestRate/PaymentsPerYear),"")</f>
        <v>5943.122753334761</v>
      </c>
      <c r="J20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1581784.60022904</v>
      </c>
      <c r="K203" s="19">
        <f>IF(PaymentSchedule345[[#This Row],[PMT NO]]&lt;&gt;"",SUM(INDEX(PaymentSchedule345[INTEREST],1,1):PaymentSchedule345[[#This Row],[INTEREST]]),"")</f>
        <v>1308105.8956334132</v>
      </c>
    </row>
    <row r="204" spans="2:11" x14ac:dyDescent="0.3">
      <c r="B204" s="21">
        <f>IF(LoanIsGood,IF(ROW()-ROW(PaymentSchedule345[[#Headers],[PMT NO]])&gt;ScheduledNumberOfPayments,"",ROW()-ROW(PaymentSchedule345[[#Headers],[PMT NO]])),"")</f>
        <v>193</v>
      </c>
      <c r="C204" s="20">
        <f>IF(PaymentSchedule345[[#This Row],[PMT NO]]&lt;&gt;"",EOMONTH(LoanStartDate,ROW(PaymentSchedule345[[#This Row],[PMT NO]])-ROW(PaymentSchedule345[[#Headers],[PMT NO]])-2)+DAY(LoanStartDate),"")</f>
        <v>49491</v>
      </c>
      <c r="D20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1581784.60022904</v>
      </c>
      <c r="E204" s="19">
        <f>IF(PaymentSchedule345[[#This Row],[PMT NO]]&lt;&gt;"",ScheduledPayment,"")</f>
        <v>8991.2567468977813</v>
      </c>
      <c r="F20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0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04" s="19">
        <f>IF(PaymentSchedule345[[#This Row],[PMT NO]]&lt;&gt;"",PaymentSchedule345[[#This Row],[TOTAL PAYMENT]]-PaymentSchedule345[[#This Row],[INTEREST]],"")</f>
        <v>3059.5644960388818</v>
      </c>
      <c r="I204" s="19">
        <f>IF(PaymentSchedule345[[#This Row],[PMT NO]]&lt;&gt;"",PaymentSchedule345[[#This Row],[BEGINNING BALANCE]]*(InterestRate/PaymentsPerYear),"")</f>
        <v>5931.6922508588996</v>
      </c>
      <c r="J20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1578725.0357330011</v>
      </c>
      <c r="K204" s="19">
        <f>IF(PaymentSchedule345[[#This Row],[PMT NO]]&lt;&gt;"",SUM(INDEX(PaymentSchedule345[INTEREST],1,1):PaymentSchedule345[[#This Row],[INTEREST]]),"")</f>
        <v>1314037.5878842722</v>
      </c>
    </row>
    <row r="205" spans="2:11" x14ac:dyDescent="0.3">
      <c r="B205" s="21">
        <f>IF(LoanIsGood,IF(ROW()-ROW(PaymentSchedule345[[#Headers],[PMT NO]])&gt;ScheduledNumberOfPayments,"",ROW()-ROW(PaymentSchedule345[[#Headers],[PMT NO]])),"")</f>
        <v>194</v>
      </c>
      <c r="C205" s="20">
        <f>IF(PaymentSchedule345[[#This Row],[PMT NO]]&lt;&gt;"",EOMONTH(LoanStartDate,ROW(PaymentSchedule345[[#This Row],[PMT NO]])-ROW(PaymentSchedule345[[#Headers],[PMT NO]])-2)+DAY(LoanStartDate),"")</f>
        <v>49522</v>
      </c>
      <c r="D20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1578725.0357330011</v>
      </c>
      <c r="E205" s="19">
        <f>IF(PaymentSchedule345[[#This Row],[PMT NO]]&lt;&gt;"",ScheduledPayment,"")</f>
        <v>8991.2567468977813</v>
      </c>
      <c r="F20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0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05" s="19">
        <f>IF(PaymentSchedule345[[#This Row],[PMT NO]]&lt;&gt;"",PaymentSchedule345[[#This Row],[TOTAL PAYMENT]]-PaymentSchedule345[[#This Row],[INTEREST]],"")</f>
        <v>3071.0378628990275</v>
      </c>
      <c r="I205" s="19">
        <f>IF(PaymentSchedule345[[#This Row],[PMT NO]]&lt;&gt;"",PaymentSchedule345[[#This Row],[BEGINNING BALANCE]]*(InterestRate/PaymentsPerYear),"")</f>
        <v>5920.2188839987539</v>
      </c>
      <c r="J20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1575653.9978701021</v>
      </c>
      <c r="K205" s="19">
        <f>IF(PaymentSchedule345[[#This Row],[PMT NO]]&lt;&gt;"",SUM(INDEX(PaymentSchedule345[INTEREST],1,1):PaymentSchedule345[[#This Row],[INTEREST]]),"")</f>
        <v>1319957.8067682709</v>
      </c>
    </row>
    <row r="206" spans="2:11" x14ac:dyDescent="0.3">
      <c r="B206" s="21">
        <f>IF(LoanIsGood,IF(ROW()-ROW(PaymentSchedule345[[#Headers],[PMT NO]])&gt;ScheduledNumberOfPayments,"",ROW()-ROW(PaymentSchedule345[[#Headers],[PMT NO]])),"")</f>
        <v>195</v>
      </c>
      <c r="C206" s="20">
        <f>IF(PaymentSchedule345[[#This Row],[PMT NO]]&lt;&gt;"",EOMONTH(LoanStartDate,ROW(PaymentSchedule345[[#This Row],[PMT NO]])-ROW(PaymentSchedule345[[#Headers],[PMT NO]])-2)+DAY(LoanStartDate),"")</f>
        <v>49553</v>
      </c>
      <c r="D20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1575653.9978701021</v>
      </c>
      <c r="E206" s="19">
        <f>IF(PaymentSchedule345[[#This Row],[PMT NO]]&lt;&gt;"",ScheduledPayment,"")</f>
        <v>8991.2567468977813</v>
      </c>
      <c r="F20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0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06" s="19">
        <f>IF(PaymentSchedule345[[#This Row],[PMT NO]]&lt;&gt;"",PaymentSchedule345[[#This Row],[TOTAL PAYMENT]]-PaymentSchedule345[[#This Row],[INTEREST]],"")</f>
        <v>3082.5542548848989</v>
      </c>
      <c r="I206" s="19">
        <f>IF(PaymentSchedule345[[#This Row],[PMT NO]]&lt;&gt;"",PaymentSchedule345[[#This Row],[BEGINNING BALANCE]]*(InterestRate/PaymentsPerYear),"")</f>
        <v>5908.7024920128824</v>
      </c>
      <c r="J20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1572571.4436152172</v>
      </c>
      <c r="K206" s="19">
        <f>IF(PaymentSchedule345[[#This Row],[PMT NO]]&lt;&gt;"",SUM(INDEX(PaymentSchedule345[INTEREST],1,1):PaymentSchedule345[[#This Row],[INTEREST]]),"")</f>
        <v>1325866.5092602838</v>
      </c>
    </row>
    <row r="207" spans="2:11" x14ac:dyDescent="0.3">
      <c r="B207" s="21">
        <f>IF(LoanIsGood,IF(ROW()-ROW(PaymentSchedule345[[#Headers],[PMT NO]])&gt;ScheduledNumberOfPayments,"",ROW()-ROW(PaymentSchedule345[[#Headers],[PMT NO]])),"")</f>
        <v>196</v>
      </c>
      <c r="C207" s="20">
        <f>IF(PaymentSchedule345[[#This Row],[PMT NO]]&lt;&gt;"",EOMONTH(LoanStartDate,ROW(PaymentSchedule345[[#This Row],[PMT NO]])-ROW(PaymentSchedule345[[#Headers],[PMT NO]])-2)+DAY(LoanStartDate),"")</f>
        <v>49583</v>
      </c>
      <c r="D20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1572571.4436152172</v>
      </c>
      <c r="E207" s="19">
        <f>IF(PaymentSchedule345[[#This Row],[PMT NO]]&lt;&gt;"",ScheduledPayment,"")</f>
        <v>8991.2567468977813</v>
      </c>
      <c r="F20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0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07" s="19">
        <f>IF(PaymentSchedule345[[#This Row],[PMT NO]]&lt;&gt;"",PaymentSchedule345[[#This Row],[TOTAL PAYMENT]]-PaymentSchedule345[[#This Row],[INTEREST]],"")</f>
        <v>3094.1138333407171</v>
      </c>
      <c r="I207" s="19">
        <f>IF(PaymentSchedule345[[#This Row],[PMT NO]]&lt;&gt;"",PaymentSchedule345[[#This Row],[BEGINNING BALANCE]]*(InterestRate/PaymentsPerYear),"")</f>
        <v>5897.1429135570643</v>
      </c>
      <c r="J20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1569477.3297818764</v>
      </c>
      <c r="K207" s="19">
        <f>IF(PaymentSchedule345[[#This Row],[PMT NO]]&lt;&gt;"",SUM(INDEX(PaymentSchedule345[INTEREST],1,1):PaymentSchedule345[[#This Row],[INTEREST]]),"")</f>
        <v>1331763.6521738409</v>
      </c>
    </row>
    <row r="208" spans="2:11" x14ac:dyDescent="0.3">
      <c r="B208" s="21">
        <f>IF(LoanIsGood,IF(ROW()-ROW(PaymentSchedule345[[#Headers],[PMT NO]])&gt;ScheduledNumberOfPayments,"",ROW()-ROW(PaymentSchedule345[[#Headers],[PMT NO]])),"")</f>
        <v>197</v>
      </c>
      <c r="C208" s="20">
        <f>IF(PaymentSchedule345[[#This Row],[PMT NO]]&lt;&gt;"",EOMONTH(LoanStartDate,ROW(PaymentSchedule345[[#This Row],[PMT NO]])-ROW(PaymentSchedule345[[#Headers],[PMT NO]])-2)+DAY(LoanStartDate),"")</f>
        <v>49614</v>
      </c>
      <c r="D20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1569477.3297818764</v>
      </c>
      <c r="E208" s="19">
        <f>IF(PaymentSchedule345[[#This Row],[PMT NO]]&lt;&gt;"",ScheduledPayment,"")</f>
        <v>8991.2567468977813</v>
      </c>
      <c r="F20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0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08" s="19">
        <f>IF(PaymentSchedule345[[#This Row],[PMT NO]]&lt;&gt;"",PaymentSchedule345[[#This Row],[TOTAL PAYMENT]]-PaymentSchedule345[[#This Row],[INTEREST]],"")</f>
        <v>3105.7167602157451</v>
      </c>
      <c r="I208" s="19">
        <f>IF(PaymentSchedule345[[#This Row],[PMT NO]]&lt;&gt;"",PaymentSchedule345[[#This Row],[BEGINNING BALANCE]]*(InterestRate/PaymentsPerYear),"")</f>
        <v>5885.5399866820362</v>
      </c>
      <c r="J20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1566371.6130216606</v>
      </c>
      <c r="K208" s="19">
        <f>IF(PaymentSchedule345[[#This Row],[PMT NO]]&lt;&gt;"",SUM(INDEX(PaymentSchedule345[INTEREST],1,1):PaymentSchedule345[[#This Row],[INTEREST]]),"")</f>
        <v>1337649.192160523</v>
      </c>
    </row>
    <row r="209" spans="2:11" x14ac:dyDescent="0.3">
      <c r="B209" s="21">
        <f>IF(LoanIsGood,IF(ROW()-ROW(PaymentSchedule345[[#Headers],[PMT NO]])&gt;ScheduledNumberOfPayments,"",ROW()-ROW(PaymentSchedule345[[#Headers],[PMT NO]])),"")</f>
        <v>198</v>
      </c>
      <c r="C209" s="20">
        <f>IF(PaymentSchedule345[[#This Row],[PMT NO]]&lt;&gt;"",EOMONTH(LoanStartDate,ROW(PaymentSchedule345[[#This Row],[PMT NO]])-ROW(PaymentSchedule345[[#Headers],[PMT NO]])-2)+DAY(LoanStartDate),"")</f>
        <v>49644</v>
      </c>
      <c r="D20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1566371.6130216606</v>
      </c>
      <c r="E209" s="19">
        <f>IF(PaymentSchedule345[[#This Row],[PMT NO]]&lt;&gt;"",ScheduledPayment,"")</f>
        <v>8991.2567468977813</v>
      </c>
      <c r="F20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0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09" s="19">
        <f>IF(PaymentSchedule345[[#This Row],[PMT NO]]&lt;&gt;"",PaymentSchedule345[[#This Row],[TOTAL PAYMENT]]-PaymentSchedule345[[#This Row],[INTEREST]],"")</f>
        <v>3117.3631980665541</v>
      </c>
      <c r="I209" s="19">
        <f>IF(PaymentSchedule345[[#This Row],[PMT NO]]&lt;&gt;"",PaymentSchedule345[[#This Row],[BEGINNING BALANCE]]*(InterestRate/PaymentsPerYear),"")</f>
        <v>5873.8935488312272</v>
      </c>
      <c r="J20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1563254.249823594</v>
      </c>
      <c r="K209" s="19">
        <f>IF(PaymentSchedule345[[#This Row],[PMT NO]]&lt;&gt;"",SUM(INDEX(PaymentSchedule345[INTEREST],1,1):PaymentSchedule345[[#This Row],[INTEREST]]),"")</f>
        <v>1343523.0857093544</v>
      </c>
    </row>
    <row r="210" spans="2:11" x14ac:dyDescent="0.3">
      <c r="B210" s="21">
        <f>IF(LoanIsGood,IF(ROW()-ROW(PaymentSchedule345[[#Headers],[PMT NO]])&gt;ScheduledNumberOfPayments,"",ROW()-ROW(PaymentSchedule345[[#Headers],[PMT NO]])),"")</f>
        <v>199</v>
      </c>
      <c r="C210" s="20">
        <f>IF(PaymentSchedule345[[#This Row],[PMT NO]]&lt;&gt;"",EOMONTH(LoanStartDate,ROW(PaymentSchedule345[[#This Row],[PMT NO]])-ROW(PaymentSchedule345[[#Headers],[PMT NO]])-2)+DAY(LoanStartDate),"")</f>
        <v>49675</v>
      </c>
      <c r="D21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1563254.249823594</v>
      </c>
      <c r="E210" s="19">
        <f>IF(PaymentSchedule345[[#This Row],[PMT NO]]&lt;&gt;"",ScheduledPayment,"")</f>
        <v>8991.2567468977813</v>
      </c>
      <c r="F21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1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10" s="19">
        <f>IF(PaymentSchedule345[[#This Row],[PMT NO]]&lt;&gt;"",PaymentSchedule345[[#This Row],[TOTAL PAYMENT]]-PaymentSchedule345[[#This Row],[INTEREST]],"")</f>
        <v>3129.0533100593038</v>
      </c>
      <c r="I210" s="19">
        <f>IF(PaymentSchedule345[[#This Row],[PMT NO]]&lt;&gt;"",PaymentSchedule345[[#This Row],[BEGINNING BALANCE]]*(InterestRate/PaymentsPerYear),"")</f>
        <v>5862.2034368384775</v>
      </c>
      <c r="J21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1560125.1965135348</v>
      </c>
      <c r="K210" s="19">
        <f>IF(PaymentSchedule345[[#This Row],[PMT NO]]&lt;&gt;"",SUM(INDEX(PaymentSchedule345[INTEREST],1,1):PaymentSchedule345[[#This Row],[INTEREST]]),"")</f>
        <v>1349385.2891461928</v>
      </c>
    </row>
    <row r="211" spans="2:11" x14ac:dyDescent="0.3">
      <c r="B211" s="21">
        <f>IF(LoanIsGood,IF(ROW()-ROW(PaymentSchedule345[[#Headers],[PMT NO]])&gt;ScheduledNumberOfPayments,"",ROW()-ROW(PaymentSchedule345[[#Headers],[PMT NO]])),"")</f>
        <v>200</v>
      </c>
      <c r="C211" s="20">
        <f>IF(PaymentSchedule345[[#This Row],[PMT NO]]&lt;&gt;"",EOMONTH(LoanStartDate,ROW(PaymentSchedule345[[#This Row],[PMT NO]])-ROW(PaymentSchedule345[[#Headers],[PMT NO]])-2)+DAY(LoanStartDate),"")</f>
        <v>49706</v>
      </c>
      <c r="D21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1560125.1965135348</v>
      </c>
      <c r="E211" s="19">
        <f>IF(PaymentSchedule345[[#This Row],[PMT NO]]&lt;&gt;"",ScheduledPayment,"")</f>
        <v>8991.2567468977813</v>
      </c>
      <c r="F21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1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11" s="19">
        <f>IF(PaymentSchedule345[[#This Row],[PMT NO]]&lt;&gt;"",PaymentSchedule345[[#This Row],[TOTAL PAYMENT]]-PaymentSchedule345[[#This Row],[INTEREST]],"")</f>
        <v>3140.7872599720258</v>
      </c>
      <c r="I211" s="19">
        <f>IF(PaymentSchedule345[[#This Row],[PMT NO]]&lt;&gt;"",PaymentSchedule345[[#This Row],[BEGINNING BALANCE]]*(InterestRate/PaymentsPerYear),"")</f>
        <v>5850.4694869257555</v>
      </c>
      <c r="J21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1556984.4092535628</v>
      </c>
      <c r="K211" s="19">
        <f>IF(PaymentSchedule345[[#This Row],[PMT NO]]&lt;&gt;"",SUM(INDEX(PaymentSchedule345[INTEREST],1,1):PaymentSchedule345[[#This Row],[INTEREST]]),"")</f>
        <v>1355235.7586331186</v>
      </c>
    </row>
    <row r="212" spans="2:11" x14ac:dyDescent="0.3">
      <c r="B212" s="21">
        <f>IF(LoanIsGood,IF(ROW()-ROW(PaymentSchedule345[[#Headers],[PMT NO]])&gt;ScheduledNumberOfPayments,"",ROW()-ROW(PaymentSchedule345[[#Headers],[PMT NO]])),"")</f>
        <v>201</v>
      </c>
      <c r="C212" s="20">
        <f>IF(PaymentSchedule345[[#This Row],[PMT NO]]&lt;&gt;"",EOMONTH(LoanStartDate,ROW(PaymentSchedule345[[#This Row],[PMT NO]])-ROW(PaymentSchedule345[[#Headers],[PMT NO]])-2)+DAY(LoanStartDate),"")</f>
        <v>49735</v>
      </c>
      <c r="D21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1556984.4092535628</v>
      </c>
      <c r="E212" s="19">
        <f>IF(PaymentSchedule345[[#This Row],[PMT NO]]&lt;&gt;"",ScheduledPayment,"")</f>
        <v>8991.2567468977813</v>
      </c>
      <c r="F21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1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12" s="19">
        <f>IF(PaymentSchedule345[[#This Row],[PMT NO]]&lt;&gt;"",PaymentSchedule345[[#This Row],[TOTAL PAYMENT]]-PaymentSchedule345[[#This Row],[INTEREST]],"")</f>
        <v>3152.5652121969215</v>
      </c>
      <c r="I212" s="19">
        <f>IF(PaymentSchedule345[[#This Row],[PMT NO]]&lt;&gt;"",PaymentSchedule345[[#This Row],[BEGINNING BALANCE]]*(InterestRate/PaymentsPerYear),"")</f>
        <v>5838.6915347008598</v>
      </c>
      <c r="J21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1553831.8440413659</v>
      </c>
      <c r="K212" s="19">
        <f>IF(PaymentSchedule345[[#This Row],[PMT NO]]&lt;&gt;"",SUM(INDEX(PaymentSchedule345[INTEREST],1,1):PaymentSchedule345[[#This Row],[INTEREST]]),"")</f>
        <v>1361074.4501678194</v>
      </c>
    </row>
    <row r="213" spans="2:11" x14ac:dyDescent="0.3">
      <c r="B213" s="21">
        <f>IF(LoanIsGood,IF(ROW()-ROW(PaymentSchedule345[[#Headers],[PMT NO]])&gt;ScheduledNumberOfPayments,"",ROW()-ROW(PaymentSchedule345[[#Headers],[PMT NO]])),"")</f>
        <v>202</v>
      </c>
      <c r="C213" s="20">
        <f>IF(PaymentSchedule345[[#This Row],[PMT NO]]&lt;&gt;"",EOMONTH(LoanStartDate,ROW(PaymentSchedule345[[#This Row],[PMT NO]])-ROW(PaymentSchedule345[[#Headers],[PMT NO]])-2)+DAY(LoanStartDate),"")</f>
        <v>49766</v>
      </c>
      <c r="D21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1553831.8440413659</v>
      </c>
      <c r="E213" s="19">
        <f>IF(PaymentSchedule345[[#This Row],[PMT NO]]&lt;&gt;"",ScheduledPayment,"")</f>
        <v>8991.2567468977813</v>
      </c>
      <c r="F21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1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13" s="19">
        <f>IF(PaymentSchedule345[[#This Row],[PMT NO]]&lt;&gt;"",PaymentSchedule345[[#This Row],[TOTAL PAYMENT]]-PaymentSchedule345[[#This Row],[INTEREST]],"")</f>
        <v>3164.3873317426596</v>
      </c>
      <c r="I213" s="19">
        <f>IF(PaymentSchedule345[[#This Row],[PMT NO]]&lt;&gt;"",PaymentSchedule345[[#This Row],[BEGINNING BALANCE]]*(InterestRate/PaymentsPerYear),"")</f>
        <v>5826.8694151551217</v>
      </c>
      <c r="J21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1550667.4567096233</v>
      </c>
      <c r="K213" s="19">
        <f>IF(PaymentSchedule345[[#This Row],[PMT NO]]&lt;&gt;"",SUM(INDEX(PaymentSchedule345[INTEREST],1,1):PaymentSchedule345[[#This Row],[INTEREST]]),"")</f>
        <v>1366901.3195829745</v>
      </c>
    </row>
    <row r="214" spans="2:11" x14ac:dyDescent="0.3">
      <c r="B214" s="21">
        <f>IF(LoanIsGood,IF(ROW()-ROW(PaymentSchedule345[[#Headers],[PMT NO]])&gt;ScheduledNumberOfPayments,"",ROW()-ROW(PaymentSchedule345[[#Headers],[PMT NO]])),"")</f>
        <v>203</v>
      </c>
      <c r="C214" s="20">
        <f>IF(PaymentSchedule345[[#This Row],[PMT NO]]&lt;&gt;"",EOMONTH(LoanStartDate,ROW(PaymentSchedule345[[#This Row],[PMT NO]])-ROW(PaymentSchedule345[[#Headers],[PMT NO]])-2)+DAY(LoanStartDate),"")</f>
        <v>49796</v>
      </c>
      <c r="D21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1550667.4567096233</v>
      </c>
      <c r="E214" s="19">
        <f>IF(PaymentSchedule345[[#This Row],[PMT NO]]&lt;&gt;"",ScheduledPayment,"")</f>
        <v>8991.2567468977813</v>
      </c>
      <c r="F21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1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14" s="19">
        <f>IF(PaymentSchedule345[[#This Row],[PMT NO]]&lt;&gt;"",PaymentSchedule345[[#This Row],[TOTAL PAYMENT]]-PaymentSchedule345[[#This Row],[INTEREST]],"")</f>
        <v>3176.2537842366937</v>
      </c>
      <c r="I214" s="19">
        <f>IF(PaymentSchedule345[[#This Row],[PMT NO]]&lt;&gt;"",PaymentSchedule345[[#This Row],[BEGINNING BALANCE]]*(InterestRate/PaymentsPerYear),"")</f>
        <v>5815.0029626610876</v>
      </c>
      <c r="J21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1547491.2029253866</v>
      </c>
      <c r="K214" s="19">
        <f>IF(PaymentSchedule345[[#This Row],[PMT NO]]&lt;&gt;"",SUM(INDEX(PaymentSchedule345[INTEREST],1,1):PaymentSchedule345[[#This Row],[INTEREST]]),"")</f>
        <v>1372716.3225456355</v>
      </c>
    </row>
    <row r="215" spans="2:11" x14ac:dyDescent="0.3">
      <c r="B215" s="21">
        <f>IF(LoanIsGood,IF(ROW()-ROW(PaymentSchedule345[[#Headers],[PMT NO]])&gt;ScheduledNumberOfPayments,"",ROW()-ROW(PaymentSchedule345[[#Headers],[PMT NO]])),"")</f>
        <v>204</v>
      </c>
      <c r="C215" s="20">
        <f>IF(PaymentSchedule345[[#This Row],[PMT NO]]&lt;&gt;"",EOMONTH(LoanStartDate,ROW(PaymentSchedule345[[#This Row],[PMT NO]])-ROW(PaymentSchedule345[[#Headers],[PMT NO]])-2)+DAY(LoanStartDate),"")</f>
        <v>49827</v>
      </c>
      <c r="D21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1547491.2029253866</v>
      </c>
      <c r="E215" s="19">
        <f>IF(PaymentSchedule345[[#This Row],[PMT NO]]&lt;&gt;"",ScheduledPayment,"")</f>
        <v>8991.2567468977813</v>
      </c>
      <c r="F21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1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15" s="19">
        <f>IF(PaymentSchedule345[[#This Row],[PMT NO]]&lt;&gt;"",PaymentSchedule345[[#This Row],[TOTAL PAYMENT]]-PaymentSchedule345[[#This Row],[INTEREST]],"")</f>
        <v>3188.1647359275821</v>
      </c>
      <c r="I215" s="19">
        <f>IF(PaymentSchedule345[[#This Row],[PMT NO]]&lt;&gt;"",PaymentSchedule345[[#This Row],[BEGINNING BALANCE]]*(InterestRate/PaymentsPerYear),"")</f>
        <v>5803.0920109701992</v>
      </c>
      <c r="J21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1544303.0381894591</v>
      </c>
      <c r="K215" s="19">
        <f>IF(PaymentSchedule345[[#This Row],[PMT NO]]&lt;&gt;"",SUM(INDEX(PaymentSchedule345[INTEREST],1,1):PaymentSchedule345[[#This Row],[INTEREST]]),"")</f>
        <v>1378519.4145566057</v>
      </c>
    </row>
    <row r="216" spans="2:11" x14ac:dyDescent="0.3">
      <c r="B216" s="21">
        <f>IF(LoanIsGood,IF(ROW()-ROW(PaymentSchedule345[[#Headers],[PMT NO]])&gt;ScheduledNumberOfPayments,"",ROW()-ROW(PaymentSchedule345[[#Headers],[PMT NO]])),"")</f>
        <v>205</v>
      </c>
      <c r="C216" s="20">
        <f>IF(PaymentSchedule345[[#This Row],[PMT NO]]&lt;&gt;"",EOMONTH(LoanStartDate,ROW(PaymentSchedule345[[#This Row],[PMT NO]])-ROW(PaymentSchedule345[[#Headers],[PMT NO]])-2)+DAY(LoanStartDate),"")</f>
        <v>49857</v>
      </c>
      <c r="D21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1544303.0381894591</v>
      </c>
      <c r="E216" s="19">
        <f>IF(PaymentSchedule345[[#This Row],[PMT NO]]&lt;&gt;"",ScheduledPayment,"")</f>
        <v>8991.2567468977813</v>
      </c>
      <c r="F21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1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16" s="19">
        <f>IF(PaymentSchedule345[[#This Row],[PMT NO]]&lt;&gt;"",PaymentSchedule345[[#This Row],[TOTAL PAYMENT]]-PaymentSchedule345[[#This Row],[INTEREST]],"")</f>
        <v>3200.1203536873099</v>
      </c>
      <c r="I216" s="19">
        <f>IF(PaymentSchedule345[[#This Row],[PMT NO]]&lt;&gt;"",PaymentSchedule345[[#This Row],[BEGINNING BALANCE]]*(InterestRate/PaymentsPerYear),"")</f>
        <v>5791.1363932104714</v>
      </c>
      <c r="J21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1541102.9178357718</v>
      </c>
      <c r="K216" s="19">
        <f>IF(PaymentSchedule345[[#This Row],[PMT NO]]&lt;&gt;"",SUM(INDEX(PaymentSchedule345[INTEREST],1,1):PaymentSchedule345[[#This Row],[INTEREST]]),"")</f>
        <v>1384310.5509498161</v>
      </c>
    </row>
    <row r="217" spans="2:11" x14ac:dyDescent="0.3">
      <c r="B217" s="21">
        <f>IF(LoanIsGood,IF(ROW()-ROW(PaymentSchedule345[[#Headers],[PMT NO]])&gt;ScheduledNumberOfPayments,"",ROW()-ROW(PaymentSchedule345[[#Headers],[PMT NO]])),"")</f>
        <v>206</v>
      </c>
      <c r="C217" s="20">
        <f>IF(PaymentSchedule345[[#This Row],[PMT NO]]&lt;&gt;"",EOMONTH(LoanStartDate,ROW(PaymentSchedule345[[#This Row],[PMT NO]])-ROW(PaymentSchedule345[[#Headers],[PMT NO]])-2)+DAY(LoanStartDate),"")</f>
        <v>49888</v>
      </c>
      <c r="D21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1541102.9178357718</v>
      </c>
      <c r="E217" s="19">
        <f>IF(PaymentSchedule345[[#This Row],[PMT NO]]&lt;&gt;"",ScheduledPayment,"")</f>
        <v>8991.2567468977813</v>
      </c>
      <c r="F21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1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17" s="19">
        <f>IF(PaymentSchedule345[[#This Row],[PMT NO]]&lt;&gt;"",PaymentSchedule345[[#This Row],[TOTAL PAYMENT]]-PaymentSchedule345[[#This Row],[INTEREST]],"")</f>
        <v>3212.1208050136374</v>
      </c>
      <c r="I217" s="19">
        <f>IF(PaymentSchedule345[[#This Row],[PMT NO]]&lt;&gt;"",PaymentSchedule345[[#This Row],[BEGINNING BALANCE]]*(InterestRate/PaymentsPerYear),"")</f>
        <v>5779.1359418841439</v>
      </c>
      <c r="J21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1537890.7970307581</v>
      </c>
      <c r="K217" s="19">
        <f>IF(PaymentSchedule345[[#This Row],[PMT NO]]&lt;&gt;"",SUM(INDEX(PaymentSchedule345[INTEREST],1,1):PaymentSchedule345[[#This Row],[INTEREST]]),"")</f>
        <v>1390089.6868917004</v>
      </c>
    </row>
    <row r="218" spans="2:11" x14ac:dyDescent="0.3">
      <c r="B218" s="21">
        <f>IF(LoanIsGood,IF(ROW()-ROW(PaymentSchedule345[[#Headers],[PMT NO]])&gt;ScheduledNumberOfPayments,"",ROW()-ROW(PaymentSchedule345[[#Headers],[PMT NO]])),"")</f>
        <v>207</v>
      </c>
      <c r="C218" s="20">
        <f>IF(PaymentSchedule345[[#This Row],[PMT NO]]&lt;&gt;"",EOMONTH(LoanStartDate,ROW(PaymentSchedule345[[#This Row],[PMT NO]])-ROW(PaymentSchedule345[[#Headers],[PMT NO]])-2)+DAY(LoanStartDate),"")</f>
        <v>49919</v>
      </c>
      <c r="D21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1537890.7970307581</v>
      </c>
      <c r="E218" s="19">
        <f>IF(PaymentSchedule345[[#This Row],[PMT NO]]&lt;&gt;"",ScheduledPayment,"")</f>
        <v>8991.2567468977813</v>
      </c>
      <c r="F21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1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18" s="19">
        <f>IF(PaymentSchedule345[[#This Row],[PMT NO]]&lt;&gt;"",PaymentSchedule345[[#This Row],[TOTAL PAYMENT]]-PaymentSchedule345[[#This Row],[INTEREST]],"")</f>
        <v>3224.1662580324382</v>
      </c>
      <c r="I218" s="19">
        <f>IF(PaymentSchedule345[[#This Row],[PMT NO]]&lt;&gt;"",PaymentSchedule345[[#This Row],[BEGINNING BALANCE]]*(InterestRate/PaymentsPerYear),"")</f>
        <v>5767.0904888653431</v>
      </c>
      <c r="J21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1534666.6307727257</v>
      </c>
      <c r="K218" s="19">
        <f>IF(PaymentSchedule345[[#This Row],[PMT NO]]&lt;&gt;"",SUM(INDEX(PaymentSchedule345[INTEREST],1,1):PaymentSchedule345[[#This Row],[INTEREST]]),"")</f>
        <v>1395856.7773805656</v>
      </c>
    </row>
    <row r="219" spans="2:11" x14ac:dyDescent="0.3">
      <c r="B219" s="21">
        <f>IF(LoanIsGood,IF(ROW()-ROW(PaymentSchedule345[[#Headers],[PMT NO]])&gt;ScheduledNumberOfPayments,"",ROW()-ROW(PaymentSchedule345[[#Headers],[PMT NO]])),"")</f>
        <v>208</v>
      </c>
      <c r="C219" s="20">
        <f>IF(PaymentSchedule345[[#This Row],[PMT NO]]&lt;&gt;"",EOMONTH(LoanStartDate,ROW(PaymentSchedule345[[#This Row],[PMT NO]])-ROW(PaymentSchedule345[[#Headers],[PMT NO]])-2)+DAY(LoanStartDate),"")</f>
        <v>49949</v>
      </c>
      <c r="D21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1534666.6307727257</v>
      </c>
      <c r="E219" s="19">
        <f>IF(PaymentSchedule345[[#This Row],[PMT NO]]&lt;&gt;"",ScheduledPayment,"")</f>
        <v>8991.2567468977813</v>
      </c>
      <c r="F21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1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19" s="19">
        <f>IF(PaymentSchedule345[[#This Row],[PMT NO]]&lt;&gt;"",PaymentSchedule345[[#This Row],[TOTAL PAYMENT]]-PaymentSchedule345[[#This Row],[INTEREST]],"")</f>
        <v>3236.2568815000604</v>
      </c>
      <c r="I219" s="19">
        <f>IF(PaymentSchedule345[[#This Row],[PMT NO]]&lt;&gt;"",PaymentSchedule345[[#This Row],[BEGINNING BALANCE]]*(InterestRate/PaymentsPerYear),"")</f>
        <v>5754.9998653977209</v>
      </c>
      <c r="J21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1531430.3738912256</v>
      </c>
      <c r="K219" s="19">
        <f>IF(PaymentSchedule345[[#This Row],[PMT NO]]&lt;&gt;"",SUM(INDEX(PaymentSchedule345[INTEREST],1,1):PaymentSchedule345[[#This Row],[INTEREST]]),"")</f>
        <v>1401611.7772459635</v>
      </c>
    </row>
    <row r="220" spans="2:11" x14ac:dyDescent="0.3">
      <c r="B220" s="21">
        <f>IF(LoanIsGood,IF(ROW()-ROW(PaymentSchedule345[[#Headers],[PMT NO]])&gt;ScheduledNumberOfPayments,"",ROW()-ROW(PaymentSchedule345[[#Headers],[PMT NO]])),"")</f>
        <v>209</v>
      </c>
      <c r="C220" s="20">
        <f>IF(PaymentSchedule345[[#This Row],[PMT NO]]&lt;&gt;"",EOMONTH(LoanStartDate,ROW(PaymentSchedule345[[#This Row],[PMT NO]])-ROW(PaymentSchedule345[[#Headers],[PMT NO]])-2)+DAY(LoanStartDate),"")</f>
        <v>49980</v>
      </c>
      <c r="D22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1531430.3738912256</v>
      </c>
      <c r="E220" s="19">
        <f>IF(PaymentSchedule345[[#This Row],[PMT NO]]&lt;&gt;"",ScheduledPayment,"")</f>
        <v>8991.2567468977813</v>
      </c>
      <c r="F22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2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20" s="19">
        <f>IF(PaymentSchedule345[[#This Row],[PMT NO]]&lt;&gt;"",PaymentSchedule345[[#This Row],[TOTAL PAYMENT]]-PaymentSchedule345[[#This Row],[INTEREST]],"")</f>
        <v>3248.3928448056859</v>
      </c>
      <c r="I220" s="19">
        <f>IF(PaymentSchedule345[[#This Row],[PMT NO]]&lt;&gt;"",PaymentSchedule345[[#This Row],[BEGINNING BALANCE]]*(InterestRate/PaymentsPerYear),"")</f>
        <v>5742.8639020920955</v>
      </c>
      <c r="J22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1528181.9810464198</v>
      </c>
      <c r="K220" s="19">
        <f>IF(PaymentSchedule345[[#This Row],[PMT NO]]&lt;&gt;"",SUM(INDEX(PaymentSchedule345[INTEREST],1,1):PaymentSchedule345[[#This Row],[INTEREST]]),"")</f>
        <v>1407354.6411480554</v>
      </c>
    </row>
    <row r="221" spans="2:11" x14ac:dyDescent="0.3">
      <c r="B221" s="21">
        <f>IF(LoanIsGood,IF(ROW()-ROW(PaymentSchedule345[[#Headers],[PMT NO]])&gt;ScheduledNumberOfPayments,"",ROW()-ROW(PaymentSchedule345[[#Headers],[PMT NO]])),"")</f>
        <v>210</v>
      </c>
      <c r="C221" s="20">
        <f>IF(PaymentSchedule345[[#This Row],[PMT NO]]&lt;&gt;"",EOMONTH(LoanStartDate,ROW(PaymentSchedule345[[#This Row],[PMT NO]])-ROW(PaymentSchedule345[[#Headers],[PMT NO]])-2)+DAY(LoanStartDate),"")</f>
        <v>50010</v>
      </c>
      <c r="D22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1528181.9810464198</v>
      </c>
      <c r="E221" s="19">
        <f>IF(PaymentSchedule345[[#This Row],[PMT NO]]&lt;&gt;"",ScheduledPayment,"")</f>
        <v>8991.2567468977813</v>
      </c>
      <c r="F22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2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21" s="19">
        <f>IF(PaymentSchedule345[[#This Row],[PMT NO]]&lt;&gt;"",PaymentSchedule345[[#This Row],[TOTAL PAYMENT]]-PaymentSchedule345[[#This Row],[INTEREST]],"")</f>
        <v>3260.5743179737074</v>
      </c>
      <c r="I221" s="19">
        <f>IF(PaymentSchedule345[[#This Row],[PMT NO]]&lt;&gt;"",PaymentSchedule345[[#This Row],[BEGINNING BALANCE]]*(InterestRate/PaymentsPerYear),"")</f>
        <v>5730.682428924074</v>
      </c>
      <c r="J22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1524921.406728446</v>
      </c>
      <c r="K221" s="19">
        <f>IF(PaymentSchedule345[[#This Row],[PMT NO]]&lt;&gt;"",SUM(INDEX(PaymentSchedule345[INTEREST],1,1):PaymentSchedule345[[#This Row],[INTEREST]]),"")</f>
        <v>1413085.3235769796</v>
      </c>
    </row>
    <row r="222" spans="2:11" x14ac:dyDescent="0.3">
      <c r="B222" s="21">
        <f>IF(LoanIsGood,IF(ROW()-ROW(PaymentSchedule345[[#Headers],[PMT NO]])&gt;ScheduledNumberOfPayments,"",ROW()-ROW(PaymentSchedule345[[#Headers],[PMT NO]])),"")</f>
        <v>211</v>
      </c>
      <c r="C222" s="20">
        <f>IF(PaymentSchedule345[[#This Row],[PMT NO]]&lt;&gt;"",EOMONTH(LoanStartDate,ROW(PaymentSchedule345[[#This Row],[PMT NO]])-ROW(PaymentSchedule345[[#Headers],[PMT NO]])-2)+DAY(LoanStartDate),"")</f>
        <v>50041</v>
      </c>
      <c r="D22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1524921.406728446</v>
      </c>
      <c r="E222" s="19">
        <f>IF(PaymentSchedule345[[#This Row],[PMT NO]]&lt;&gt;"",ScheduledPayment,"")</f>
        <v>8991.2567468977813</v>
      </c>
      <c r="F22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2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22" s="19">
        <f>IF(PaymentSchedule345[[#This Row],[PMT NO]]&lt;&gt;"",PaymentSchedule345[[#This Row],[TOTAL PAYMENT]]-PaymentSchedule345[[#This Row],[INTEREST]],"")</f>
        <v>3272.8014716661091</v>
      </c>
      <c r="I222" s="19">
        <f>IF(PaymentSchedule345[[#This Row],[PMT NO]]&lt;&gt;"",PaymentSchedule345[[#This Row],[BEGINNING BALANCE]]*(InterestRate/PaymentsPerYear),"")</f>
        <v>5718.4552752316722</v>
      </c>
      <c r="J22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1521648.6052567798</v>
      </c>
      <c r="K222" s="19">
        <f>IF(PaymentSchedule345[[#This Row],[PMT NO]]&lt;&gt;"",SUM(INDEX(PaymentSchedule345[INTEREST],1,1):PaymentSchedule345[[#This Row],[INTEREST]]),"")</f>
        <v>1418803.7788522113</v>
      </c>
    </row>
    <row r="223" spans="2:11" x14ac:dyDescent="0.3">
      <c r="B223" s="21">
        <f>IF(LoanIsGood,IF(ROW()-ROW(PaymentSchedule345[[#Headers],[PMT NO]])&gt;ScheduledNumberOfPayments,"",ROW()-ROW(PaymentSchedule345[[#Headers],[PMT NO]])),"")</f>
        <v>212</v>
      </c>
      <c r="C223" s="20">
        <f>IF(PaymentSchedule345[[#This Row],[PMT NO]]&lt;&gt;"",EOMONTH(LoanStartDate,ROW(PaymentSchedule345[[#This Row],[PMT NO]])-ROW(PaymentSchedule345[[#Headers],[PMT NO]])-2)+DAY(LoanStartDate),"")</f>
        <v>50072</v>
      </c>
      <c r="D22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1521648.6052567798</v>
      </c>
      <c r="E223" s="19">
        <f>IF(PaymentSchedule345[[#This Row],[PMT NO]]&lt;&gt;"",ScheduledPayment,"")</f>
        <v>8991.2567468977813</v>
      </c>
      <c r="F22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2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23" s="19">
        <f>IF(PaymentSchedule345[[#This Row],[PMT NO]]&lt;&gt;"",PaymentSchedule345[[#This Row],[TOTAL PAYMENT]]-PaymentSchedule345[[#This Row],[INTEREST]],"")</f>
        <v>3285.0744771848576</v>
      </c>
      <c r="I223" s="19">
        <f>IF(PaymentSchedule345[[#This Row],[PMT NO]]&lt;&gt;"",PaymentSchedule345[[#This Row],[BEGINNING BALANCE]]*(InterestRate/PaymentsPerYear),"")</f>
        <v>5706.1822697129237</v>
      </c>
      <c r="J22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1518363.530779595</v>
      </c>
      <c r="K223" s="19">
        <f>IF(PaymentSchedule345[[#This Row],[PMT NO]]&lt;&gt;"",SUM(INDEX(PaymentSchedule345[INTEREST],1,1):PaymentSchedule345[[#This Row],[INTEREST]]),"")</f>
        <v>1424509.9611219242</v>
      </c>
    </row>
    <row r="224" spans="2:11" x14ac:dyDescent="0.3">
      <c r="B224" s="21">
        <f>IF(LoanIsGood,IF(ROW()-ROW(PaymentSchedule345[[#Headers],[PMT NO]])&gt;ScheduledNumberOfPayments,"",ROW()-ROW(PaymentSchedule345[[#Headers],[PMT NO]])),"")</f>
        <v>213</v>
      </c>
      <c r="C224" s="20">
        <f>IF(PaymentSchedule345[[#This Row],[PMT NO]]&lt;&gt;"",EOMONTH(LoanStartDate,ROW(PaymentSchedule345[[#This Row],[PMT NO]])-ROW(PaymentSchedule345[[#Headers],[PMT NO]])-2)+DAY(LoanStartDate),"")</f>
        <v>50100</v>
      </c>
      <c r="D22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1518363.530779595</v>
      </c>
      <c r="E224" s="19">
        <f>IF(PaymentSchedule345[[#This Row],[PMT NO]]&lt;&gt;"",ScheduledPayment,"")</f>
        <v>8991.2567468977813</v>
      </c>
      <c r="F22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2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24" s="19">
        <f>IF(PaymentSchedule345[[#This Row],[PMT NO]]&lt;&gt;"",PaymentSchedule345[[#This Row],[TOTAL PAYMENT]]-PaymentSchedule345[[#This Row],[INTEREST]],"")</f>
        <v>3297.3935064743</v>
      </c>
      <c r="I224" s="19">
        <f>IF(PaymentSchedule345[[#This Row],[PMT NO]]&lt;&gt;"",PaymentSchedule345[[#This Row],[BEGINNING BALANCE]]*(InterestRate/PaymentsPerYear),"")</f>
        <v>5693.8632404234813</v>
      </c>
      <c r="J22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1515066.1372731207</v>
      </c>
      <c r="K224" s="19">
        <f>IF(PaymentSchedule345[[#This Row],[PMT NO]]&lt;&gt;"",SUM(INDEX(PaymentSchedule345[INTEREST],1,1):PaymentSchedule345[[#This Row],[INTEREST]]),"")</f>
        <v>1430203.8243623476</v>
      </c>
    </row>
    <row r="225" spans="2:11" x14ac:dyDescent="0.3">
      <c r="B225" s="21">
        <f>IF(LoanIsGood,IF(ROW()-ROW(PaymentSchedule345[[#Headers],[PMT NO]])&gt;ScheduledNumberOfPayments,"",ROW()-ROW(PaymentSchedule345[[#Headers],[PMT NO]])),"")</f>
        <v>214</v>
      </c>
      <c r="C225" s="20">
        <f>IF(PaymentSchedule345[[#This Row],[PMT NO]]&lt;&gt;"",EOMONTH(LoanStartDate,ROW(PaymentSchedule345[[#This Row],[PMT NO]])-ROW(PaymentSchedule345[[#Headers],[PMT NO]])-2)+DAY(LoanStartDate),"")</f>
        <v>50131</v>
      </c>
      <c r="D22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1515066.1372731207</v>
      </c>
      <c r="E225" s="19">
        <f>IF(PaymentSchedule345[[#This Row],[PMT NO]]&lt;&gt;"",ScheduledPayment,"")</f>
        <v>8991.2567468977813</v>
      </c>
      <c r="F22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2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25" s="19">
        <f>IF(PaymentSchedule345[[#This Row],[PMT NO]]&lt;&gt;"",PaymentSchedule345[[#This Row],[TOTAL PAYMENT]]-PaymentSchedule345[[#This Row],[INTEREST]],"")</f>
        <v>3309.7587321235787</v>
      </c>
      <c r="I225" s="19">
        <f>IF(PaymentSchedule345[[#This Row],[PMT NO]]&lt;&gt;"",PaymentSchedule345[[#This Row],[BEGINNING BALANCE]]*(InterestRate/PaymentsPerYear),"")</f>
        <v>5681.4980147742026</v>
      </c>
      <c r="J22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1511756.3785409972</v>
      </c>
      <c r="K225" s="19">
        <f>IF(PaymentSchedule345[[#This Row],[PMT NO]]&lt;&gt;"",SUM(INDEX(PaymentSchedule345[INTEREST],1,1):PaymentSchedule345[[#This Row],[INTEREST]]),"")</f>
        <v>1435885.3223771218</v>
      </c>
    </row>
    <row r="226" spans="2:11" x14ac:dyDescent="0.3">
      <c r="B226" s="21">
        <f>IF(LoanIsGood,IF(ROW()-ROW(PaymentSchedule345[[#Headers],[PMT NO]])&gt;ScheduledNumberOfPayments,"",ROW()-ROW(PaymentSchedule345[[#Headers],[PMT NO]])),"")</f>
        <v>215</v>
      </c>
      <c r="C226" s="20">
        <f>IF(PaymentSchedule345[[#This Row],[PMT NO]]&lt;&gt;"",EOMONTH(LoanStartDate,ROW(PaymentSchedule345[[#This Row],[PMT NO]])-ROW(PaymentSchedule345[[#Headers],[PMT NO]])-2)+DAY(LoanStartDate),"")</f>
        <v>50161</v>
      </c>
      <c r="D22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1511756.3785409972</v>
      </c>
      <c r="E226" s="19">
        <f>IF(PaymentSchedule345[[#This Row],[PMT NO]]&lt;&gt;"",ScheduledPayment,"")</f>
        <v>8991.2567468977813</v>
      </c>
      <c r="F22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2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26" s="19">
        <f>IF(PaymentSchedule345[[#This Row],[PMT NO]]&lt;&gt;"",PaymentSchedule345[[#This Row],[TOTAL PAYMENT]]-PaymentSchedule345[[#This Row],[INTEREST]],"")</f>
        <v>3322.1703273690418</v>
      </c>
      <c r="I226" s="19">
        <f>IF(PaymentSchedule345[[#This Row],[PMT NO]]&lt;&gt;"",PaymentSchedule345[[#This Row],[BEGINNING BALANCE]]*(InterestRate/PaymentsPerYear),"")</f>
        <v>5669.0864195287395</v>
      </c>
      <c r="J22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1508434.208213628</v>
      </c>
      <c r="K226" s="19">
        <f>IF(PaymentSchedule345[[#This Row],[PMT NO]]&lt;&gt;"",SUM(INDEX(PaymentSchedule345[INTEREST],1,1):PaymentSchedule345[[#This Row],[INTEREST]]),"")</f>
        <v>1441554.4087966506</v>
      </c>
    </row>
    <row r="227" spans="2:11" x14ac:dyDescent="0.3">
      <c r="B227" s="21">
        <f>IF(LoanIsGood,IF(ROW()-ROW(PaymentSchedule345[[#Headers],[PMT NO]])&gt;ScheduledNumberOfPayments,"",ROW()-ROW(PaymentSchedule345[[#Headers],[PMT NO]])),"")</f>
        <v>216</v>
      </c>
      <c r="C227" s="20">
        <f>IF(PaymentSchedule345[[#This Row],[PMT NO]]&lt;&gt;"",EOMONTH(LoanStartDate,ROW(PaymentSchedule345[[#This Row],[PMT NO]])-ROW(PaymentSchedule345[[#Headers],[PMT NO]])-2)+DAY(LoanStartDate),"")</f>
        <v>50192</v>
      </c>
      <c r="D22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1508434.208213628</v>
      </c>
      <c r="E227" s="19">
        <f>IF(PaymentSchedule345[[#This Row],[PMT NO]]&lt;&gt;"",ScheduledPayment,"")</f>
        <v>8991.2567468977813</v>
      </c>
      <c r="F22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2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27" s="19">
        <f>IF(PaymentSchedule345[[#This Row],[PMT NO]]&lt;&gt;"",PaymentSchedule345[[#This Row],[TOTAL PAYMENT]]-PaymentSchedule345[[#This Row],[INTEREST]],"")</f>
        <v>3334.6284660966767</v>
      </c>
      <c r="I227" s="19">
        <f>IF(PaymentSchedule345[[#This Row],[PMT NO]]&lt;&gt;"",PaymentSchedule345[[#This Row],[BEGINNING BALANCE]]*(InterestRate/PaymentsPerYear),"")</f>
        <v>5656.6282808011047</v>
      </c>
      <c r="J22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1505099.5797475313</v>
      </c>
      <c r="K227" s="19">
        <f>IF(PaymentSchedule345[[#This Row],[PMT NO]]&lt;&gt;"",SUM(INDEX(PaymentSchedule345[INTEREST],1,1):PaymentSchedule345[[#This Row],[INTEREST]]),"")</f>
        <v>1447211.0370774516</v>
      </c>
    </row>
    <row r="228" spans="2:11" x14ac:dyDescent="0.3">
      <c r="B228" s="21">
        <f>IF(LoanIsGood,IF(ROW()-ROW(PaymentSchedule345[[#Headers],[PMT NO]])&gt;ScheduledNumberOfPayments,"",ROW()-ROW(PaymentSchedule345[[#Headers],[PMT NO]])),"")</f>
        <v>217</v>
      </c>
      <c r="C228" s="20">
        <f>IF(PaymentSchedule345[[#This Row],[PMT NO]]&lt;&gt;"",EOMONTH(LoanStartDate,ROW(PaymentSchedule345[[#This Row],[PMT NO]])-ROW(PaymentSchedule345[[#Headers],[PMT NO]])-2)+DAY(LoanStartDate),"")</f>
        <v>50222</v>
      </c>
      <c r="D22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1505099.5797475313</v>
      </c>
      <c r="E228" s="19">
        <f>IF(PaymentSchedule345[[#This Row],[PMT NO]]&lt;&gt;"",ScheduledPayment,"")</f>
        <v>8991.2567468977813</v>
      </c>
      <c r="F22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2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28" s="19">
        <f>IF(PaymentSchedule345[[#This Row],[PMT NO]]&lt;&gt;"",PaymentSchedule345[[#This Row],[TOTAL PAYMENT]]-PaymentSchedule345[[#This Row],[INTEREST]],"")</f>
        <v>3347.1333228445392</v>
      </c>
      <c r="I228" s="19">
        <f>IF(PaymentSchedule345[[#This Row],[PMT NO]]&lt;&gt;"",PaymentSchedule345[[#This Row],[BEGINNING BALANCE]]*(InterestRate/PaymentsPerYear),"")</f>
        <v>5644.1234240532422</v>
      </c>
      <c r="J22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1501752.4464246868</v>
      </c>
      <c r="K228" s="19">
        <f>IF(PaymentSchedule345[[#This Row],[PMT NO]]&lt;&gt;"",SUM(INDEX(PaymentSchedule345[INTEREST],1,1):PaymentSchedule345[[#This Row],[INTEREST]]),"")</f>
        <v>1452855.1605015048</v>
      </c>
    </row>
    <row r="229" spans="2:11" x14ac:dyDescent="0.3">
      <c r="B229" s="21">
        <f>IF(LoanIsGood,IF(ROW()-ROW(PaymentSchedule345[[#Headers],[PMT NO]])&gt;ScheduledNumberOfPayments,"",ROW()-ROW(PaymentSchedule345[[#Headers],[PMT NO]])),"")</f>
        <v>218</v>
      </c>
      <c r="C229" s="20">
        <f>IF(PaymentSchedule345[[#This Row],[PMT NO]]&lt;&gt;"",EOMONTH(LoanStartDate,ROW(PaymentSchedule345[[#This Row],[PMT NO]])-ROW(PaymentSchedule345[[#Headers],[PMT NO]])-2)+DAY(LoanStartDate),"")</f>
        <v>50253</v>
      </c>
      <c r="D22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1501752.4464246868</v>
      </c>
      <c r="E229" s="19">
        <f>IF(PaymentSchedule345[[#This Row],[PMT NO]]&lt;&gt;"",ScheduledPayment,"")</f>
        <v>8991.2567468977813</v>
      </c>
      <c r="F22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2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29" s="19">
        <f>IF(PaymentSchedule345[[#This Row],[PMT NO]]&lt;&gt;"",PaymentSchedule345[[#This Row],[TOTAL PAYMENT]]-PaymentSchedule345[[#This Row],[INTEREST]],"")</f>
        <v>3359.6850728052059</v>
      </c>
      <c r="I229" s="19">
        <f>IF(PaymentSchedule345[[#This Row],[PMT NO]]&lt;&gt;"",PaymentSchedule345[[#This Row],[BEGINNING BALANCE]]*(InterestRate/PaymentsPerYear),"")</f>
        <v>5631.5716740925754</v>
      </c>
      <c r="J22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1498392.7613518815</v>
      </c>
      <c r="K229" s="19">
        <f>IF(PaymentSchedule345[[#This Row],[PMT NO]]&lt;&gt;"",SUM(INDEX(PaymentSchedule345[INTEREST],1,1):PaymentSchedule345[[#This Row],[INTEREST]]),"")</f>
        <v>1458486.7321755975</v>
      </c>
    </row>
    <row r="230" spans="2:11" x14ac:dyDescent="0.3">
      <c r="B230" s="21">
        <f>IF(LoanIsGood,IF(ROW()-ROW(PaymentSchedule345[[#Headers],[PMT NO]])&gt;ScheduledNumberOfPayments,"",ROW()-ROW(PaymentSchedule345[[#Headers],[PMT NO]])),"")</f>
        <v>219</v>
      </c>
      <c r="C230" s="20">
        <f>IF(PaymentSchedule345[[#This Row],[PMT NO]]&lt;&gt;"",EOMONTH(LoanStartDate,ROW(PaymentSchedule345[[#This Row],[PMT NO]])-ROW(PaymentSchedule345[[#Headers],[PMT NO]])-2)+DAY(LoanStartDate),"")</f>
        <v>50284</v>
      </c>
      <c r="D23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1498392.7613518815</v>
      </c>
      <c r="E230" s="19">
        <f>IF(PaymentSchedule345[[#This Row],[PMT NO]]&lt;&gt;"",ScheduledPayment,"")</f>
        <v>8991.2567468977813</v>
      </c>
      <c r="F23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3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30" s="19">
        <f>IF(PaymentSchedule345[[#This Row],[PMT NO]]&lt;&gt;"",PaymentSchedule345[[#This Row],[TOTAL PAYMENT]]-PaymentSchedule345[[#This Row],[INTEREST]],"")</f>
        <v>3372.2838918282259</v>
      </c>
      <c r="I230" s="19">
        <f>IF(PaymentSchedule345[[#This Row],[PMT NO]]&lt;&gt;"",PaymentSchedule345[[#This Row],[BEGINNING BALANCE]]*(InterestRate/PaymentsPerYear),"")</f>
        <v>5618.9728550695554</v>
      </c>
      <c r="J23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1495020.4774600533</v>
      </c>
      <c r="K230" s="19">
        <f>IF(PaymentSchedule345[[#This Row],[PMT NO]]&lt;&gt;"",SUM(INDEX(PaymentSchedule345[INTEREST],1,1):PaymentSchedule345[[#This Row],[INTEREST]]),"")</f>
        <v>1464105.7050306669</v>
      </c>
    </row>
    <row r="231" spans="2:11" x14ac:dyDescent="0.3">
      <c r="B231" s="21">
        <f>IF(LoanIsGood,IF(ROW()-ROW(PaymentSchedule345[[#Headers],[PMT NO]])&gt;ScheduledNumberOfPayments,"",ROW()-ROW(PaymentSchedule345[[#Headers],[PMT NO]])),"")</f>
        <v>220</v>
      </c>
      <c r="C231" s="20">
        <f>IF(PaymentSchedule345[[#This Row],[PMT NO]]&lt;&gt;"",EOMONTH(LoanStartDate,ROW(PaymentSchedule345[[#This Row],[PMT NO]])-ROW(PaymentSchedule345[[#Headers],[PMT NO]])-2)+DAY(LoanStartDate),"")</f>
        <v>50314</v>
      </c>
      <c r="D23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1495020.4774600533</v>
      </c>
      <c r="E231" s="19">
        <f>IF(PaymentSchedule345[[#This Row],[PMT NO]]&lt;&gt;"",ScheduledPayment,"")</f>
        <v>8991.2567468977813</v>
      </c>
      <c r="F23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3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31" s="19">
        <f>IF(PaymentSchedule345[[#This Row],[PMT NO]]&lt;&gt;"",PaymentSchedule345[[#This Row],[TOTAL PAYMENT]]-PaymentSchedule345[[#This Row],[INTEREST]],"")</f>
        <v>3384.9299564225821</v>
      </c>
      <c r="I231" s="19">
        <f>IF(PaymentSchedule345[[#This Row],[PMT NO]]&lt;&gt;"",PaymentSchedule345[[#This Row],[BEGINNING BALANCE]]*(InterestRate/PaymentsPerYear),"")</f>
        <v>5606.3267904751992</v>
      </c>
      <c r="J23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1491635.5475036306</v>
      </c>
      <c r="K231" s="19">
        <f>IF(PaymentSchedule345[[#This Row],[PMT NO]]&lt;&gt;"",SUM(INDEX(PaymentSchedule345[INTEREST],1,1):PaymentSchedule345[[#This Row],[INTEREST]]),"")</f>
        <v>1469712.0318211422</v>
      </c>
    </row>
    <row r="232" spans="2:11" x14ac:dyDescent="0.3">
      <c r="B232" s="21">
        <f>IF(LoanIsGood,IF(ROW()-ROW(PaymentSchedule345[[#Headers],[PMT NO]])&gt;ScheduledNumberOfPayments,"",ROW()-ROW(PaymentSchedule345[[#Headers],[PMT NO]])),"")</f>
        <v>221</v>
      </c>
      <c r="C232" s="20">
        <f>IF(PaymentSchedule345[[#This Row],[PMT NO]]&lt;&gt;"",EOMONTH(LoanStartDate,ROW(PaymentSchedule345[[#This Row],[PMT NO]])-ROW(PaymentSchedule345[[#Headers],[PMT NO]])-2)+DAY(LoanStartDate),"")</f>
        <v>50345</v>
      </c>
      <c r="D23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1491635.5475036306</v>
      </c>
      <c r="E232" s="19">
        <f>IF(PaymentSchedule345[[#This Row],[PMT NO]]&lt;&gt;"",ScheduledPayment,"")</f>
        <v>8991.2567468977813</v>
      </c>
      <c r="F23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3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32" s="19">
        <f>IF(PaymentSchedule345[[#This Row],[PMT NO]]&lt;&gt;"",PaymentSchedule345[[#This Row],[TOTAL PAYMENT]]-PaymentSchedule345[[#This Row],[INTEREST]],"")</f>
        <v>3397.6234437591665</v>
      </c>
      <c r="I232" s="19">
        <f>IF(PaymentSchedule345[[#This Row],[PMT NO]]&lt;&gt;"",PaymentSchedule345[[#This Row],[BEGINNING BALANCE]]*(InterestRate/PaymentsPerYear),"")</f>
        <v>5593.6333031386148</v>
      </c>
      <c r="J23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1488237.9240598714</v>
      </c>
      <c r="K232" s="19">
        <f>IF(PaymentSchedule345[[#This Row],[PMT NO]]&lt;&gt;"",SUM(INDEX(PaymentSchedule345[INTEREST],1,1):PaymentSchedule345[[#This Row],[INTEREST]]),"")</f>
        <v>1475305.6651242808</v>
      </c>
    </row>
    <row r="233" spans="2:11" x14ac:dyDescent="0.3">
      <c r="B233" s="21">
        <f>IF(LoanIsGood,IF(ROW()-ROW(PaymentSchedule345[[#Headers],[PMT NO]])&gt;ScheduledNumberOfPayments,"",ROW()-ROW(PaymentSchedule345[[#Headers],[PMT NO]])),"")</f>
        <v>222</v>
      </c>
      <c r="C233" s="20">
        <f>IF(PaymentSchedule345[[#This Row],[PMT NO]]&lt;&gt;"",EOMONTH(LoanStartDate,ROW(PaymentSchedule345[[#This Row],[PMT NO]])-ROW(PaymentSchedule345[[#Headers],[PMT NO]])-2)+DAY(LoanStartDate),"")</f>
        <v>50375</v>
      </c>
      <c r="D23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1488237.9240598714</v>
      </c>
      <c r="E233" s="19">
        <f>IF(PaymentSchedule345[[#This Row],[PMT NO]]&lt;&gt;"",ScheduledPayment,"")</f>
        <v>8991.2567468977813</v>
      </c>
      <c r="F23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3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33" s="19">
        <f>IF(PaymentSchedule345[[#This Row],[PMT NO]]&lt;&gt;"",PaymentSchedule345[[#This Row],[TOTAL PAYMENT]]-PaymentSchedule345[[#This Row],[INTEREST]],"")</f>
        <v>3410.3645316732636</v>
      </c>
      <c r="I233" s="19">
        <f>IF(PaymentSchedule345[[#This Row],[PMT NO]]&lt;&gt;"",PaymentSchedule345[[#This Row],[BEGINNING BALANCE]]*(InterestRate/PaymentsPerYear),"")</f>
        <v>5580.8922152245177</v>
      </c>
      <c r="J23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1484827.5595281981</v>
      </c>
      <c r="K233" s="19">
        <f>IF(PaymentSchedule345[[#This Row],[PMT NO]]&lt;&gt;"",SUM(INDEX(PaymentSchedule345[INTEREST],1,1):PaymentSchedule345[[#This Row],[INTEREST]]),"")</f>
        <v>1480886.5573395053</v>
      </c>
    </row>
    <row r="234" spans="2:11" x14ac:dyDescent="0.3">
      <c r="B234" s="21">
        <f>IF(LoanIsGood,IF(ROW()-ROW(PaymentSchedule345[[#Headers],[PMT NO]])&gt;ScheduledNumberOfPayments,"",ROW()-ROW(PaymentSchedule345[[#Headers],[PMT NO]])),"")</f>
        <v>223</v>
      </c>
      <c r="C234" s="20">
        <f>IF(PaymentSchedule345[[#This Row],[PMT NO]]&lt;&gt;"",EOMONTH(LoanStartDate,ROW(PaymentSchedule345[[#This Row],[PMT NO]])-ROW(PaymentSchedule345[[#Headers],[PMT NO]])-2)+DAY(LoanStartDate),"")</f>
        <v>50406</v>
      </c>
      <c r="D23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1484827.5595281981</v>
      </c>
      <c r="E234" s="19">
        <f>IF(PaymentSchedule345[[#This Row],[PMT NO]]&lt;&gt;"",ScheduledPayment,"")</f>
        <v>8991.2567468977813</v>
      </c>
      <c r="F23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3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34" s="19">
        <f>IF(PaymentSchedule345[[#This Row],[PMT NO]]&lt;&gt;"",PaymentSchedule345[[#This Row],[TOTAL PAYMENT]]-PaymentSchedule345[[#This Row],[INTEREST]],"")</f>
        <v>3423.1533986670383</v>
      </c>
      <c r="I234" s="19">
        <f>IF(PaymentSchedule345[[#This Row],[PMT NO]]&lt;&gt;"",PaymentSchedule345[[#This Row],[BEGINNING BALANCE]]*(InterestRate/PaymentsPerYear),"")</f>
        <v>5568.103348230743</v>
      </c>
      <c r="J23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1481404.4061295311</v>
      </c>
      <c r="K234" s="19">
        <f>IF(PaymentSchedule345[[#This Row],[PMT NO]]&lt;&gt;"",SUM(INDEX(PaymentSchedule345[INTEREST],1,1):PaymentSchedule345[[#This Row],[INTEREST]]),"")</f>
        <v>1486454.660687736</v>
      </c>
    </row>
    <row r="235" spans="2:11" x14ac:dyDescent="0.3">
      <c r="B235" s="21">
        <f>IF(LoanIsGood,IF(ROW()-ROW(PaymentSchedule345[[#Headers],[PMT NO]])&gt;ScheduledNumberOfPayments,"",ROW()-ROW(PaymentSchedule345[[#Headers],[PMT NO]])),"")</f>
        <v>224</v>
      </c>
      <c r="C235" s="20">
        <f>IF(PaymentSchedule345[[#This Row],[PMT NO]]&lt;&gt;"",EOMONTH(LoanStartDate,ROW(PaymentSchedule345[[#This Row],[PMT NO]])-ROW(PaymentSchedule345[[#Headers],[PMT NO]])-2)+DAY(LoanStartDate),"")</f>
        <v>50437</v>
      </c>
      <c r="D23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1481404.4061295311</v>
      </c>
      <c r="E235" s="19">
        <f>IF(PaymentSchedule345[[#This Row],[PMT NO]]&lt;&gt;"",ScheduledPayment,"")</f>
        <v>8991.2567468977813</v>
      </c>
      <c r="F23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3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35" s="19">
        <f>IF(PaymentSchedule345[[#This Row],[PMT NO]]&lt;&gt;"",PaymentSchedule345[[#This Row],[TOTAL PAYMENT]]-PaymentSchedule345[[#This Row],[INTEREST]],"")</f>
        <v>3435.9902239120402</v>
      </c>
      <c r="I235" s="19">
        <f>IF(PaymentSchedule345[[#This Row],[PMT NO]]&lt;&gt;"",PaymentSchedule345[[#This Row],[BEGINNING BALANCE]]*(InterestRate/PaymentsPerYear),"")</f>
        <v>5555.2665229857412</v>
      </c>
      <c r="J23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1477968.415905619</v>
      </c>
      <c r="K235" s="19">
        <f>IF(PaymentSchedule345[[#This Row],[PMT NO]]&lt;&gt;"",SUM(INDEX(PaymentSchedule345[INTEREST],1,1):PaymentSchedule345[[#This Row],[INTEREST]]),"")</f>
        <v>1492009.9272107217</v>
      </c>
    </row>
    <row r="236" spans="2:11" x14ac:dyDescent="0.3">
      <c r="B236" s="21">
        <f>IF(LoanIsGood,IF(ROW()-ROW(PaymentSchedule345[[#Headers],[PMT NO]])&gt;ScheduledNumberOfPayments,"",ROW()-ROW(PaymentSchedule345[[#Headers],[PMT NO]])),"")</f>
        <v>225</v>
      </c>
      <c r="C236" s="20">
        <f>IF(PaymentSchedule345[[#This Row],[PMT NO]]&lt;&gt;"",EOMONTH(LoanStartDate,ROW(PaymentSchedule345[[#This Row],[PMT NO]])-ROW(PaymentSchedule345[[#Headers],[PMT NO]])-2)+DAY(LoanStartDate),"")</f>
        <v>50465</v>
      </c>
      <c r="D23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1477968.415905619</v>
      </c>
      <c r="E236" s="19">
        <f>IF(PaymentSchedule345[[#This Row],[PMT NO]]&lt;&gt;"",ScheduledPayment,"")</f>
        <v>8991.2567468977813</v>
      </c>
      <c r="F23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3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36" s="19">
        <f>IF(PaymentSchedule345[[#This Row],[PMT NO]]&lt;&gt;"",PaymentSchedule345[[#This Row],[TOTAL PAYMENT]]-PaymentSchedule345[[#This Row],[INTEREST]],"")</f>
        <v>3448.8751872517105</v>
      </c>
      <c r="I236" s="19">
        <f>IF(PaymentSchedule345[[#This Row],[PMT NO]]&lt;&gt;"",PaymentSchedule345[[#This Row],[BEGINNING BALANCE]]*(InterestRate/PaymentsPerYear),"")</f>
        <v>5542.3815596460709</v>
      </c>
      <c r="J23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1474519.5407183673</v>
      </c>
      <c r="K236" s="19">
        <f>IF(PaymentSchedule345[[#This Row],[PMT NO]]&lt;&gt;"",SUM(INDEX(PaymentSchedule345[INTEREST],1,1):PaymentSchedule345[[#This Row],[INTEREST]]),"")</f>
        <v>1497552.3087703676</v>
      </c>
    </row>
    <row r="237" spans="2:11" x14ac:dyDescent="0.3">
      <c r="B237" s="21">
        <f>IF(LoanIsGood,IF(ROW()-ROW(PaymentSchedule345[[#Headers],[PMT NO]])&gt;ScheduledNumberOfPayments,"",ROW()-ROW(PaymentSchedule345[[#Headers],[PMT NO]])),"")</f>
        <v>226</v>
      </c>
      <c r="C237" s="20">
        <f>IF(PaymentSchedule345[[#This Row],[PMT NO]]&lt;&gt;"",EOMONTH(LoanStartDate,ROW(PaymentSchedule345[[#This Row],[PMT NO]])-ROW(PaymentSchedule345[[#Headers],[PMT NO]])-2)+DAY(LoanStartDate),"")</f>
        <v>50496</v>
      </c>
      <c r="D23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1474519.5407183673</v>
      </c>
      <c r="E237" s="19">
        <f>IF(PaymentSchedule345[[#This Row],[PMT NO]]&lt;&gt;"",ScheduledPayment,"")</f>
        <v>8991.2567468977813</v>
      </c>
      <c r="F23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3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37" s="19">
        <f>IF(PaymentSchedule345[[#This Row],[PMT NO]]&lt;&gt;"",PaymentSchedule345[[#This Row],[TOTAL PAYMENT]]-PaymentSchedule345[[#This Row],[INTEREST]],"")</f>
        <v>3461.8084692039038</v>
      </c>
      <c r="I237" s="19">
        <f>IF(PaymentSchedule345[[#This Row],[PMT NO]]&lt;&gt;"",PaymentSchedule345[[#This Row],[BEGINNING BALANCE]]*(InterestRate/PaymentsPerYear),"")</f>
        <v>5529.4482776938776</v>
      </c>
      <c r="J23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1471057.7322491633</v>
      </c>
      <c r="K237" s="19">
        <f>IF(PaymentSchedule345[[#This Row],[PMT NO]]&lt;&gt;"",SUM(INDEX(PaymentSchedule345[INTEREST],1,1):PaymentSchedule345[[#This Row],[INTEREST]]),"")</f>
        <v>1503081.7570480616</v>
      </c>
    </row>
    <row r="238" spans="2:11" x14ac:dyDescent="0.3">
      <c r="B238" s="21">
        <f>IF(LoanIsGood,IF(ROW()-ROW(PaymentSchedule345[[#Headers],[PMT NO]])&gt;ScheduledNumberOfPayments,"",ROW()-ROW(PaymentSchedule345[[#Headers],[PMT NO]])),"")</f>
        <v>227</v>
      </c>
      <c r="C238" s="20">
        <f>IF(PaymentSchedule345[[#This Row],[PMT NO]]&lt;&gt;"",EOMONTH(LoanStartDate,ROW(PaymentSchedule345[[#This Row],[PMT NO]])-ROW(PaymentSchedule345[[#Headers],[PMT NO]])-2)+DAY(LoanStartDate),"")</f>
        <v>50526</v>
      </c>
      <c r="D23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1471057.7322491633</v>
      </c>
      <c r="E238" s="19">
        <f>IF(PaymentSchedule345[[#This Row],[PMT NO]]&lt;&gt;"",ScheduledPayment,"")</f>
        <v>8991.2567468977813</v>
      </c>
      <c r="F23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3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38" s="19">
        <f>IF(PaymentSchedule345[[#This Row],[PMT NO]]&lt;&gt;"",PaymentSchedule345[[#This Row],[TOTAL PAYMENT]]-PaymentSchedule345[[#This Row],[INTEREST]],"")</f>
        <v>3474.7902509634187</v>
      </c>
      <c r="I238" s="19">
        <f>IF(PaymentSchedule345[[#This Row],[PMT NO]]&lt;&gt;"",PaymentSchedule345[[#This Row],[BEGINNING BALANCE]]*(InterestRate/PaymentsPerYear),"")</f>
        <v>5516.4664959343627</v>
      </c>
      <c r="J23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1467582.9419981998</v>
      </c>
      <c r="K238" s="19">
        <f>IF(PaymentSchedule345[[#This Row],[PMT NO]]&lt;&gt;"",SUM(INDEX(PaymentSchedule345[INTEREST],1,1):PaymentSchedule345[[#This Row],[INTEREST]]),"")</f>
        <v>1508598.223543996</v>
      </c>
    </row>
    <row r="239" spans="2:11" x14ac:dyDescent="0.3">
      <c r="B239" s="21">
        <f>IF(LoanIsGood,IF(ROW()-ROW(PaymentSchedule345[[#Headers],[PMT NO]])&gt;ScheduledNumberOfPayments,"",ROW()-ROW(PaymentSchedule345[[#Headers],[PMT NO]])),"")</f>
        <v>228</v>
      </c>
      <c r="C239" s="20">
        <f>IF(PaymentSchedule345[[#This Row],[PMT NO]]&lt;&gt;"",EOMONTH(LoanStartDate,ROW(PaymentSchedule345[[#This Row],[PMT NO]])-ROW(PaymentSchedule345[[#Headers],[PMT NO]])-2)+DAY(LoanStartDate),"")</f>
        <v>50557</v>
      </c>
      <c r="D23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1467582.9419981998</v>
      </c>
      <c r="E239" s="19">
        <f>IF(PaymentSchedule345[[#This Row],[PMT NO]]&lt;&gt;"",ScheduledPayment,"")</f>
        <v>8991.2567468977813</v>
      </c>
      <c r="F23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3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39" s="19">
        <f>IF(PaymentSchedule345[[#This Row],[PMT NO]]&lt;&gt;"",PaymentSchedule345[[#This Row],[TOTAL PAYMENT]]-PaymentSchedule345[[#This Row],[INTEREST]],"")</f>
        <v>3487.8207144045327</v>
      </c>
      <c r="I239" s="19">
        <f>IF(PaymentSchedule345[[#This Row],[PMT NO]]&lt;&gt;"",PaymentSchedule345[[#This Row],[BEGINNING BALANCE]]*(InterestRate/PaymentsPerYear),"")</f>
        <v>5503.4360324932486</v>
      </c>
      <c r="J23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1464095.1212837952</v>
      </c>
      <c r="K239" s="19">
        <f>IF(PaymentSchedule345[[#This Row],[PMT NO]]&lt;&gt;"",SUM(INDEX(PaymentSchedule345[INTEREST],1,1):PaymentSchedule345[[#This Row],[INTEREST]]),"")</f>
        <v>1514101.6595764891</v>
      </c>
    </row>
    <row r="240" spans="2:11" x14ac:dyDescent="0.3">
      <c r="B240" s="21">
        <f>IF(LoanIsGood,IF(ROW()-ROW(PaymentSchedule345[[#Headers],[PMT NO]])&gt;ScheduledNumberOfPayments,"",ROW()-ROW(PaymentSchedule345[[#Headers],[PMT NO]])),"")</f>
        <v>229</v>
      </c>
      <c r="C240" s="20">
        <f>IF(PaymentSchedule345[[#This Row],[PMT NO]]&lt;&gt;"",EOMONTH(LoanStartDate,ROW(PaymentSchedule345[[#This Row],[PMT NO]])-ROW(PaymentSchedule345[[#Headers],[PMT NO]])-2)+DAY(LoanStartDate),"")</f>
        <v>50587</v>
      </c>
      <c r="D24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1464095.1212837952</v>
      </c>
      <c r="E240" s="19">
        <f>IF(PaymentSchedule345[[#This Row],[PMT NO]]&lt;&gt;"",ScheduledPayment,"")</f>
        <v>8991.2567468977813</v>
      </c>
      <c r="F24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4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40" s="19">
        <f>IF(PaymentSchedule345[[#This Row],[PMT NO]]&lt;&gt;"",PaymentSchedule345[[#This Row],[TOTAL PAYMENT]]-PaymentSchedule345[[#This Row],[INTEREST]],"")</f>
        <v>3500.9000420835491</v>
      </c>
      <c r="I240" s="19">
        <f>IF(PaymentSchedule345[[#This Row],[PMT NO]]&lt;&gt;"",PaymentSchedule345[[#This Row],[BEGINNING BALANCE]]*(InterestRate/PaymentsPerYear),"")</f>
        <v>5490.3567048142322</v>
      </c>
      <c r="J24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1460594.2212417116</v>
      </c>
      <c r="K240" s="19">
        <f>IF(PaymentSchedule345[[#This Row],[PMT NO]]&lt;&gt;"",SUM(INDEX(PaymentSchedule345[INTEREST],1,1):PaymentSchedule345[[#This Row],[INTEREST]]),"")</f>
        <v>1519592.0162813033</v>
      </c>
    </row>
    <row r="241" spans="2:11" x14ac:dyDescent="0.3">
      <c r="B241" s="21">
        <f>IF(LoanIsGood,IF(ROW()-ROW(PaymentSchedule345[[#Headers],[PMT NO]])&gt;ScheduledNumberOfPayments,"",ROW()-ROW(PaymentSchedule345[[#Headers],[PMT NO]])),"")</f>
        <v>230</v>
      </c>
      <c r="C241" s="20">
        <f>IF(PaymentSchedule345[[#This Row],[PMT NO]]&lt;&gt;"",EOMONTH(LoanStartDate,ROW(PaymentSchedule345[[#This Row],[PMT NO]])-ROW(PaymentSchedule345[[#Headers],[PMT NO]])-2)+DAY(LoanStartDate),"")</f>
        <v>50618</v>
      </c>
      <c r="D24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1460594.2212417116</v>
      </c>
      <c r="E241" s="19">
        <f>IF(PaymentSchedule345[[#This Row],[PMT NO]]&lt;&gt;"",ScheduledPayment,"")</f>
        <v>8991.2567468977813</v>
      </c>
      <c r="F24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4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41" s="19">
        <f>IF(PaymentSchedule345[[#This Row],[PMT NO]]&lt;&gt;"",PaymentSchedule345[[#This Row],[TOTAL PAYMENT]]-PaymentSchedule345[[#This Row],[INTEREST]],"")</f>
        <v>3514.0284172413631</v>
      </c>
      <c r="I241" s="19">
        <f>IF(PaymentSchedule345[[#This Row],[PMT NO]]&lt;&gt;"",PaymentSchedule345[[#This Row],[BEGINNING BALANCE]]*(InterestRate/PaymentsPerYear),"")</f>
        <v>5477.2283296564183</v>
      </c>
      <c r="J24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1457080.1928244703</v>
      </c>
      <c r="K241" s="19">
        <f>IF(PaymentSchedule345[[#This Row],[PMT NO]]&lt;&gt;"",SUM(INDEX(PaymentSchedule345[INTEREST],1,1):PaymentSchedule345[[#This Row],[INTEREST]]),"")</f>
        <v>1525069.2446109597</v>
      </c>
    </row>
    <row r="242" spans="2:11" x14ac:dyDescent="0.3">
      <c r="B242" s="21">
        <f>IF(LoanIsGood,IF(ROW()-ROW(PaymentSchedule345[[#Headers],[PMT NO]])&gt;ScheduledNumberOfPayments,"",ROW()-ROW(PaymentSchedule345[[#Headers],[PMT NO]])),"")</f>
        <v>231</v>
      </c>
      <c r="C242" s="20">
        <f>IF(PaymentSchedule345[[#This Row],[PMT NO]]&lt;&gt;"",EOMONTH(LoanStartDate,ROW(PaymentSchedule345[[#This Row],[PMT NO]])-ROW(PaymentSchedule345[[#Headers],[PMT NO]])-2)+DAY(LoanStartDate),"")</f>
        <v>50649</v>
      </c>
      <c r="D24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1457080.1928244703</v>
      </c>
      <c r="E242" s="19">
        <f>IF(PaymentSchedule345[[#This Row],[PMT NO]]&lt;&gt;"",ScheduledPayment,"")</f>
        <v>8991.2567468977813</v>
      </c>
      <c r="F24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4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42" s="19">
        <f>IF(PaymentSchedule345[[#This Row],[PMT NO]]&lt;&gt;"",PaymentSchedule345[[#This Row],[TOTAL PAYMENT]]-PaymentSchedule345[[#This Row],[INTEREST]],"")</f>
        <v>3527.2060238060176</v>
      </c>
      <c r="I242" s="19">
        <f>IF(PaymentSchedule345[[#This Row],[PMT NO]]&lt;&gt;"",PaymentSchedule345[[#This Row],[BEGINNING BALANCE]]*(InterestRate/PaymentsPerYear),"")</f>
        <v>5464.0507230917638</v>
      </c>
      <c r="J24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1453552.9868006643</v>
      </c>
      <c r="K242" s="19">
        <f>IF(PaymentSchedule345[[#This Row],[PMT NO]]&lt;&gt;"",SUM(INDEX(PaymentSchedule345[INTEREST],1,1):PaymentSchedule345[[#This Row],[INTEREST]]),"")</f>
        <v>1530533.2953340514</v>
      </c>
    </row>
    <row r="243" spans="2:11" x14ac:dyDescent="0.3">
      <c r="B243" s="21">
        <f>IF(LoanIsGood,IF(ROW()-ROW(PaymentSchedule345[[#Headers],[PMT NO]])&gt;ScheduledNumberOfPayments,"",ROW()-ROW(PaymentSchedule345[[#Headers],[PMT NO]])),"")</f>
        <v>232</v>
      </c>
      <c r="C243" s="20">
        <f>IF(PaymentSchedule345[[#This Row],[PMT NO]]&lt;&gt;"",EOMONTH(LoanStartDate,ROW(PaymentSchedule345[[#This Row],[PMT NO]])-ROW(PaymentSchedule345[[#Headers],[PMT NO]])-2)+DAY(LoanStartDate),"")</f>
        <v>50679</v>
      </c>
      <c r="D24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1453552.9868006643</v>
      </c>
      <c r="E243" s="19">
        <f>IF(PaymentSchedule345[[#This Row],[PMT NO]]&lt;&gt;"",ScheduledPayment,"")</f>
        <v>8991.2567468977813</v>
      </c>
      <c r="F24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4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43" s="19">
        <f>IF(PaymentSchedule345[[#This Row],[PMT NO]]&lt;&gt;"",PaymentSchedule345[[#This Row],[TOTAL PAYMENT]]-PaymentSchedule345[[#This Row],[INTEREST]],"")</f>
        <v>3540.4330463952901</v>
      </c>
      <c r="I243" s="19">
        <f>IF(PaymentSchedule345[[#This Row],[PMT NO]]&lt;&gt;"",PaymentSchedule345[[#This Row],[BEGINNING BALANCE]]*(InterestRate/PaymentsPerYear),"")</f>
        <v>5450.8237005024912</v>
      </c>
      <c r="J24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1450012.5537542691</v>
      </c>
      <c r="K243" s="19">
        <f>IF(PaymentSchedule345[[#This Row],[PMT NO]]&lt;&gt;"",SUM(INDEX(PaymentSchedule345[INTEREST],1,1):PaymentSchedule345[[#This Row],[INTEREST]]),"")</f>
        <v>1535984.1190345539</v>
      </c>
    </row>
    <row r="244" spans="2:11" x14ac:dyDescent="0.3">
      <c r="B244" s="21">
        <f>IF(LoanIsGood,IF(ROW()-ROW(PaymentSchedule345[[#Headers],[PMT NO]])&gt;ScheduledNumberOfPayments,"",ROW()-ROW(PaymentSchedule345[[#Headers],[PMT NO]])),"")</f>
        <v>233</v>
      </c>
      <c r="C244" s="20">
        <f>IF(PaymentSchedule345[[#This Row],[PMT NO]]&lt;&gt;"",EOMONTH(LoanStartDate,ROW(PaymentSchedule345[[#This Row],[PMT NO]])-ROW(PaymentSchedule345[[#Headers],[PMT NO]])-2)+DAY(LoanStartDate),"")</f>
        <v>50710</v>
      </c>
      <c r="D24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1450012.5537542691</v>
      </c>
      <c r="E244" s="19">
        <f>IF(PaymentSchedule345[[#This Row],[PMT NO]]&lt;&gt;"",ScheduledPayment,"")</f>
        <v>8991.2567468977813</v>
      </c>
      <c r="F24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4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44" s="19">
        <f>IF(PaymentSchedule345[[#This Row],[PMT NO]]&lt;&gt;"",PaymentSchedule345[[#This Row],[TOTAL PAYMENT]]-PaymentSchedule345[[#This Row],[INTEREST]],"")</f>
        <v>3553.7096703192719</v>
      </c>
      <c r="I244" s="19">
        <f>IF(PaymentSchedule345[[#This Row],[PMT NO]]&lt;&gt;"",PaymentSchedule345[[#This Row],[BEGINNING BALANCE]]*(InterestRate/PaymentsPerYear),"")</f>
        <v>5437.5470765785094</v>
      </c>
      <c r="J24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1446458.8440839499</v>
      </c>
      <c r="K244" s="19">
        <f>IF(PaymentSchedule345[[#This Row],[PMT NO]]&lt;&gt;"",SUM(INDEX(PaymentSchedule345[INTEREST],1,1):PaymentSchedule345[[#This Row],[INTEREST]]),"")</f>
        <v>1541421.6661111324</v>
      </c>
    </row>
    <row r="245" spans="2:11" x14ac:dyDescent="0.3">
      <c r="B245" s="21">
        <f>IF(LoanIsGood,IF(ROW()-ROW(PaymentSchedule345[[#Headers],[PMT NO]])&gt;ScheduledNumberOfPayments,"",ROW()-ROW(PaymentSchedule345[[#Headers],[PMT NO]])),"")</f>
        <v>234</v>
      </c>
      <c r="C245" s="20">
        <f>IF(PaymentSchedule345[[#This Row],[PMT NO]]&lt;&gt;"",EOMONTH(LoanStartDate,ROW(PaymentSchedule345[[#This Row],[PMT NO]])-ROW(PaymentSchedule345[[#Headers],[PMT NO]])-2)+DAY(LoanStartDate),"")</f>
        <v>50740</v>
      </c>
      <c r="D24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1446458.8440839499</v>
      </c>
      <c r="E245" s="19">
        <f>IF(PaymentSchedule345[[#This Row],[PMT NO]]&lt;&gt;"",ScheduledPayment,"")</f>
        <v>8991.2567468977813</v>
      </c>
      <c r="F24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4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45" s="19">
        <f>IF(PaymentSchedule345[[#This Row],[PMT NO]]&lt;&gt;"",PaymentSchedule345[[#This Row],[TOTAL PAYMENT]]-PaymentSchedule345[[#This Row],[INTEREST]],"")</f>
        <v>3567.036081582969</v>
      </c>
      <c r="I245" s="19">
        <f>IF(PaymentSchedule345[[#This Row],[PMT NO]]&lt;&gt;"",PaymentSchedule345[[#This Row],[BEGINNING BALANCE]]*(InterestRate/PaymentsPerYear),"")</f>
        <v>5424.2206653148123</v>
      </c>
      <c r="J24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1442891.8080023669</v>
      </c>
      <c r="K245" s="19">
        <f>IF(PaymentSchedule345[[#This Row],[PMT NO]]&lt;&gt;"",SUM(INDEX(PaymentSchedule345[INTEREST],1,1):PaymentSchedule345[[#This Row],[INTEREST]]),"")</f>
        <v>1546845.8867764471</v>
      </c>
    </row>
    <row r="246" spans="2:11" x14ac:dyDescent="0.3">
      <c r="B246" s="21">
        <f>IF(LoanIsGood,IF(ROW()-ROW(PaymentSchedule345[[#Headers],[PMT NO]])&gt;ScheduledNumberOfPayments,"",ROW()-ROW(PaymentSchedule345[[#Headers],[PMT NO]])),"")</f>
        <v>235</v>
      </c>
      <c r="C246" s="20">
        <f>IF(PaymentSchedule345[[#This Row],[PMT NO]]&lt;&gt;"",EOMONTH(LoanStartDate,ROW(PaymentSchedule345[[#This Row],[PMT NO]])-ROW(PaymentSchedule345[[#Headers],[PMT NO]])-2)+DAY(LoanStartDate),"")</f>
        <v>50771</v>
      </c>
      <c r="D24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1442891.8080023669</v>
      </c>
      <c r="E246" s="19">
        <f>IF(PaymentSchedule345[[#This Row],[PMT NO]]&lt;&gt;"",ScheduledPayment,"")</f>
        <v>8991.2567468977813</v>
      </c>
      <c r="F24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4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46" s="19">
        <f>IF(PaymentSchedule345[[#This Row],[PMT NO]]&lt;&gt;"",PaymentSchedule345[[#This Row],[TOTAL PAYMENT]]-PaymentSchedule345[[#This Row],[INTEREST]],"")</f>
        <v>3580.4124668889053</v>
      </c>
      <c r="I246" s="19">
        <f>IF(PaymentSchedule345[[#This Row],[PMT NO]]&lt;&gt;"",PaymentSchedule345[[#This Row],[BEGINNING BALANCE]]*(InterestRate/PaymentsPerYear),"")</f>
        <v>5410.844280008876</v>
      </c>
      <c r="J24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1439311.3955354779</v>
      </c>
      <c r="K246" s="19">
        <f>IF(PaymentSchedule345[[#This Row],[PMT NO]]&lt;&gt;"",SUM(INDEX(PaymentSchedule345[INTEREST],1,1):PaymentSchedule345[[#This Row],[INTEREST]]),"")</f>
        <v>1552256.731056456</v>
      </c>
    </row>
    <row r="247" spans="2:11" x14ac:dyDescent="0.3">
      <c r="B247" s="21">
        <f>IF(LoanIsGood,IF(ROW()-ROW(PaymentSchedule345[[#Headers],[PMT NO]])&gt;ScheduledNumberOfPayments,"",ROW()-ROW(PaymentSchedule345[[#Headers],[PMT NO]])),"")</f>
        <v>236</v>
      </c>
      <c r="C247" s="20">
        <f>IF(PaymentSchedule345[[#This Row],[PMT NO]]&lt;&gt;"",EOMONTH(LoanStartDate,ROW(PaymentSchedule345[[#This Row],[PMT NO]])-ROW(PaymentSchedule345[[#Headers],[PMT NO]])-2)+DAY(LoanStartDate),"")</f>
        <v>50802</v>
      </c>
      <c r="D24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1439311.3955354779</v>
      </c>
      <c r="E247" s="19">
        <f>IF(PaymentSchedule345[[#This Row],[PMT NO]]&lt;&gt;"",ScheduledPayment,"")</f>
        <v>8991.2567468977813</v>
      </c>
      <c r="F24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4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47" s="19">
        <f>IF(PaymentSchedule345[[#This Row],[PMT NO]]&lt;&gt;"",PaymentSchedule345[[#This Row],[TOTAL PAYMENT]]-PaymentSchedule345[[#This Row],[INTEREST]],"")</f>
        <v>3593.8390136397393</v>
      </c>
      <c r="I247" s="19">
        <f>IF(PaymentSchedule345[[#This Row],[PMT NO]]&lt;&gt;"",PaymentSchedule345[[#This Row],[BEGINNING BALANCE]]*(InterestRate/PaymentsPerYear),"")</f>
        <v>5397.4177332580421</v>
      </c>
      <c r="J24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1435717.5565218381</v>
      </c>
      <c r="K247" s="19">
        <f>IF(PaymentSchedule345[[#This Row],[PMT NO]]&lt;&gt;"",SUM(INDEX(PaymentSchedule345[INTEREST],1,1):PaymentSchedule345[[#This Row],[INTEREST]]),"")</f>
        <v>1557654.1487897141</v>
      </c>
    </row>
    <row r="248" spans="2:11" x14ac:dyDescent="0.3">
      <c r="B248" s="21">
        <f>IF(LoanIsGood,IF(ROW()-ROW(PaymentSchedule345[[#Headers],[PMT NO]])&gt;ScheduledNumberOfPayments,"",ROW()-ROW(PaymentSchedule345[[#Headers],[PMT NO]])),"")</f>
        <v>237</v>
      </c>
      <c r="C248" s="20">
        <f>IF(PaymentSchedule345[[#This Row],[PMT NO]]&lt;&gt;"",EOMONTH(LoanStartDate,ROW(PaymentSchedule345[[#This Row],[PMT NO]])-ROW(PaymentSchedule345[[#Headers],[PMT NO]])-2)+DAY(LoanStartDate),"")</f>
        <v>50830</v>
      </c>
      <c r="D24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1435717.5565218381</v>
      </c>
      <c r="E248" s="19">
        <f>IF(PaymentSchedule345[[#This Row],[PMT NO]]&lt;&gt;"",ScheduledPayment,"")</f>
        <v>8991.2567468977813</v>
      </c>
      <c r="F24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4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48" s="19">
        <f>IF(PaymentSchedule345[[#This Row],[PMT NO]]&lt;&gt;"",PaymentSchedule345[[#This Row],[TOTAL PAYMENT]]-PaymentSchedule345[[#This Row],[INTEREST]],"")</f>
        <v>3607.3159099408886</v>
      </c>
      <c r="I248" s="19">
        <f>IF(PaymentSchedule345[[#This Row],[PMT NO]]&lt;&gt;"",PaymentSchedule345[[#This Row],[BEGINNING BALANCE]]*(InterestRate/PaymentsPerYear),"")</f>
        <v>5383.9408369568928</v>
      </c>
      <c r="J24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1432110.2406118971</v>
      </c>
      <c r="K248" s="19">
        <f>IF(PaymentSchedule345[[#This Row],[PMT NO]]&lt;&gt;"",SUM(INDEX(PaymentSchedule345[INTEREST],1,1):PaymentSchedule345[[#This Row],[INTEREST]]),"")</f>
        <v>1563038.089626671</v>
      </c>
    </row>
    <row r="249" spans="2:11" x14ac:dyDescent="0.3">
      <c r="B249" s="21">
        <f>IF(LoanIsGood,IF(ROW()-ROW(PaymentSchedule345[[#Headers],[PMT NO]])&gt;ScheduledNumberOfPayments,"",ROW()-ROW(PaymentSchedule345[[#Headers],[PMT NO]])),"")</f>
        <v>238</v>
      </c>
      <c r="C249" s="20">
        <f>IF(PaymentSchedule345[[#This Row],[PMT NO]]&lt;&gt;"",EOMONTH(LoanStartDate,ROW(PaymentSchedule345[[#This Row],[PMT NO]])-ROW(PaymentSchedule345[[#Headers],[PMT NO]])-2)+DAY(LoanStartDate),"")</f>
        <v>50861</v>
      </c>
      <c r="D24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1432110.2406118971</v>
      </c>
      <c r="E249" s="19">
        <f>IF(PaymentSchedule345[[#This Row],[PMT NO]]&lt;&gt;"",ScheduledPayment,"")</f>
        <v>8991.2567468977813</v>
      </c>
      <c r="F24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4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49" s="19">
        <f>IF(PaymentSchedule345[[#This Row],[PMT NO]]&lt;&gt;"",PaymentSchedule345[[#This Row],[TOTAL PAYMENT]]-PaymentSchedule345[[#This Row],[INTEREST]],"")</f>
        <v>3620.8433446031677</v>
      </c>
      <c r="I249" s="19">
        <f>IF(PaymentSchedule345[[#This Row],[PMT NO]]&lt;&gt;"",PaymentSchedule345[[#This Row],[BEGINNING BALANCE]]*(InterestRate/PaymentsPerYear),"")</f>
        <v>5370.4134022946137</v>
      </c>
      <c r="J24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1428489.3972672939</v>
      </c>
      <c r="K249" s="19">
        <f>IF(PaymentSchedule345[[#This Row],[PMT NO]]&lt;&gt;"",SUM(INDEX(PaymentSchedule345[INTEREST],1,1):PaymentSchedule345[[#This Row],[INTEREST]]),"")</f>
        <v>1568408.5030289656</v>
      </c>
    </row>
    <row r="250" spans="2:11" x14ac:dyDescent="0.3">
      <c r="B250" s="21">
        <f>IF(LoanIsGood,IF(ROW()-ROW(PaymentSchedule345[[#Headers],[PMT NO]])&gt;ScheduledNumberOfPayments,"",ROW()-ROW(PaymentSchedule345[[#Headers],[PMT NO]])),"")</f>
        <v>239</v>
      </c>
      <c r="C250" s="20">
        <f>IF(PaymentSchedule345[[#This Row],[PMT NO]]&lt;&gt;"",EOMONTH(LoanStartDate,ROW(PaymentSchedule345[[#This Row],[PMT NO]])-ROW(PaymentSchedule345[[#Headers],[PMT NO]])-2)+DAY(LoanStartDate),"")</f>
        <v>50891</v>
      </c>
      <c r="D25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1428489.3972672939</v>
      </c>
      <c r="E250" s="19">
        <f>IF(PaymentSchedule345[[#This Row],[PMT NO]]&lt;&gt;"",ScheduledPayment,"")</f>
        <v>8991.2567468977813</v>
      </c>
      <c r="F25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5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50" s="19">
        <f>IF(PaymentSchedule345[[#This Row],[PMT NO]]&lt;&gt;"",PaymentSchedule345[[#This Row],[TOTAL PAYMENT]]-PaymentSchedule345[[#This Row],[INTEREST]],"")</f>
        <v>3634.4215071454291</v>
      </c>
      <c r="I250" s="19">
        <f>IF(PaymentSchedule345[[#This Row],[PMT NO]]&lt;&gt;"",PaymentSchedule345[[#This Row],[BEGINNING BALANCE]]*(InterestRate/PaymentsPerYear),"")</f>
        <v>5356.8352397523522</v>
      </c>
      <c r="J25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1424854.9757601484</v>
      </c>
      <c r="K250" s="19">
        <f>IF(PaymentSchedule345[[#This Row],[PMT NO]]&lt;&gt;"",SUM(INDEX(PaymentSchedule345[INTEREST],1,1):PaymentSchedule345[[#This Row],[INTEREST]]),"")</f>
        <v>1573765.338268718</v>
      </c>
    </row>
    <row r="251" spans="2:11" x14ac:dyDescent="0.3">
      <c r="B251" s="21">
        <f>IF(LoanIsGood,IF(ROW()-ROW(PaymentSchedule345[[#Headers],[PMT NO]])&gt;ScheduledNumberOfPayments,"",ROW()-ROW(PaymentSchedule345[[#Headers],[PMT NO]])),"")</f>
        <v>240</v>
      </c>
      <c r="C251" s="20">
        <f>IF(PaymentSchedule345[[#This Row],[PMT NO]]&lt;&gt;"",EOMONTH(LoanStartDate,ROW(PaymentSchedule345[[#This Row],[PMT NO]])-ROW(PaymentSchedule345[[#Headers],[PMT NO]])-2)+DAY(LoanStartDate),"")</f>
        <v>50922</v>
      </c>
      <c r="D25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1424854.9757601484</v>
      </c>
      <c r="E251" s="19">
        <f>IF(PaymentSchedule345[[#This Row],[PMT NO]]&lt;&gt;"",ScheduledPayment,"")</f>
        <v>8991.2567468977813</v>
      </c>
      <c r="F25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5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51" s="19">
        <f>IF(PaymentSchedule345[[#This Row],[PMT NO]]&lt;&gt;"",PaymentSchedule345[[#This Row],[TOTAL PAYMENT]]-PaymentSchedule345[[#This Row],[INTEREST]],"")</f>
        <v>3648.0505877972255</v>
      </c>
      <c r="I251" s="19">
        <f>IF(PaymentSchedule345[[#This Row],[PMT NO]]&lt;&gt;"",PaymentSchedule345[[#This Row],[BEGINNING BALANCE]]*(InterestRate/PaymentsPerYear),"")</f>
        <v>5343.2061591005559</v>
      </c>
      <c r="J25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1421206.9251723511</v>
      </c>
      <c r="K251" s="19">
        <f>IF(PaymentSchedule345[[#This Row],[PMT NO]]&lt;&gt;"",SUM(INDEX(PaymentSchedule345[INTEREST],1,1):PaymentSchedule345[[#This Row],[INTEREST]]),"")</f>
        <v>1579108.5444278186</v>
      </c>
    </row>
    <row r="252" spans="2:11" x14ac:dyDescent="0.3">
      <c r="B252" s="21">
        <f>IF(LoanIsGood,IF(ROW()-ROW(PaymentSchedule345[[#Headers],[PMT NO]])&gt;ScheduledNumberOfPayments,"",ROW()-ROW(PaymentSchedule345[[#Headers],[PMT NO]])),"")</f>
        <v>241</v>
      </c>
      <c r="C252" s="20">
        <f>IF(PaymentSchedule345[[#This Row],[PMT NO]]&lt;&gt;"",EOMONTH(LoanStartDate,ROW(PaymentSchedule345[[#This Row],[PMT NO]])-ROW(PaymentSchedule345[[#Headers],[PMT NO]])-2)+DAY(LoanStartDate),"")</f>
        <v>50952</v>
      </c>
      <c r="D25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1421206.9251723511</v>
      </c>
      <c r="E252" s="19">
        <f>IF(PaymentSchedule345[[#This Row],[PMT NO]]&lt;&gt;"",ScheduledPayment,"")</f>
        <v>8991.2567468977813</v>
      </c>
      <c r="F25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5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52" s="19">
        <f>IF(PaymentSchedule345[[#This Row],[PMT NO]]&lt;&gt;"",PaymentSchedule345[[#This Row],[TOTAL PAYMENT]]-PaymentSchedule345[[#This Row],[INTEREST]],"")</f>
        <v>3661.7307775014651</v>
      </c>
      <c r="I252" s="19">
        <f>IF(PaymentSchedule345[[#This Row],[PMT NO]]&lt;&gt;"",PaymentSchedule345[[#This Row],[BEGINNING BALANCE]]*(InterestRate/PaymentsPerYear),"")</f>
        <v>5329.5259693963162</v>
      </c>
      <c r="J25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1417545.1943948497</v>
      </c>
      <c r="K252" s="19">
        <f>IF(PaymentSchedule345[[#This Row],[PMT NO]]&lt;&gt;"",SUM(INDEX(PaymentSchedule345[INTEREST],1,1):PaymentSchedule345[[#This Row],[INTEREST]]),"")</f>
        <v>1584438.070397215</v>
      </c>
    </row>
    <row r="253" spans="2:11" x14ac:dyDescent="0.3">
      <c r="B253" s="21">
        <f>IF(LoanIsGood,IF(ROW()-ROW(PaymentSchedule345[[#Headers],[PMT NO]])&gt;ScheduledNumberOfPayments,"",ROW()-ROW(PaymentSchedule345[[#Headers],[PMT NO]])),"")</f>
        <v>242</v>
      </c>
      <c r="C253" s="20">
        <f>IF(PaymentSchedule345[[#This Row],[PMT NO]]&lt;&gt;"",EOMONTH(LoanStartDate,ROW(PaymentSchedule345[[#This Row],[PMT NO]])-ROW(PaymentSchedule345[[#Headers],[PMT NO]])-2)+DAY(LoanStartDate),"")</f>
        <v>50983</v>
      </c>
      <c r="D25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1417545.1943948497</v>
      </c>
      <c r="E253" s="19">
        <f>IF(PaymentSchedule345[[#This Row],[PMT NO]]&lt;&gt;"",ScheduledPayment,"")</f>
        <v>8991.2567468977813</v>
      </c>
      <c r="F25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5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53" s="19">
        <f>IF(PaymentSchedule345[[#This Row],[PMT NO]]&lt;&gt;"",PaymentSchedule345[[#This Row],[TOTAL PAYMENT]]-PaymentSchedule345[[#This Row],[INTEREST]],"")</f>
        <v>3675.4622679170952</v>
      </c>
      <c r="I253" s="19">
        <f>IF(PaymentSchedule345[[#This Row],[PMT NO]]&lt;&gt;"",PaymentSchedule345[[#This Row],[BEGINNING BALANCE]]*(InterestRate/PaymentsPerYear),"")</f>
        <v>5315.7944789806861</v>
      </c>
      <c r="J25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1413869.7321269326</v>
      </c>
      <c r="K253" s="19">
        <f>IF(PaymentSchedule345[[#This Row],[PMT NO]]&lt;&gt;"",SUM(INDEX(PaymentSchedule345[INTEREST],1,1):PaymentSchedule345[[#This Row],[INTEREST]]),"")</f>
        <v>1589753.8648761956</v>
      </c>
    </row>
    <row r="254" spans="2:11" x14ac:dyDescent="0.3">
      <c r="B254" s="21">
        <f>IF(LoanIsGood,IF(ROW()-ROW(PaymentSchedule345[[#Headers],[PMT NO]])&gt;ScheduledNumberOfPayments,"",ROW()-ROW(PaymentSchedule345[[#Headers],[PMT NO]])),"")</f>
        <v>243</v>
      </c>
      <c r="C254" s="20">
        <f>IF(PaymentSchedule345[[#This Row],[PMT NO]]&lt;&gt;"",EOMONTH(LoanStartDate,ROW(PaymentSchedule345[[#This Row],[PMT NO]])-ROW(PaymentSchedule345[[#Headers],[PMT NO]])-2)+DAY(LoanStartDate),"")</f>
        <v>51014</v>
      </c>
      <c r="D25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1413869.7321269326</v>
      </c>
      <c r="E254" s="19">
        <f>IF(PaymentSchedule345[[#This Row],[PMT NO]]&lt;&gt;"",ScheduledPayment,"")</f>
        <v>8991.2567468977813</v>
      </c>
      <c r="F25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5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54" s="19">
        <f>IF(PaymentSchedule345[[#This Row],[PMT NO]]&lt;&gt;"",PaymentSchedule345[[#This Row],[TOTAL PAYMENT]]-PaymentSchedule345[[#This Row],[INTEREST]],"")</f>
        <v>3689.2452514217839</v>
      </c>
      <c r="I254" s="19">
        <f>IF(PaymentSchedule345[[#This Row],[PMT NO]]&lt;&gt;"",PaymentSchedule345[[#This Row],[BEGINNING BALANCE]]*(InterestRate/PaymentsPerYear),"")</f>
        <v>5302.0114954759974</v>
      </c>
      <c r="J25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1410180.4868755108</v>
      </c>
      <c r="K254" s="19">
        <f>IF(PaymentSchedule345[[#This Row],[PMT NO]]&lt;&gt;"",SUM(INDEX(PaymentSchedule345[INTEREST],1,1):PaymentSchedule345[[#This Row],[INTEREST]]),"")</f>
        <v>1595055.8763716714</v>
      </c>
    </row>
    <row r="255" spans="2:11" x14ac:dyDescent="0.3">
      <c r="B255" s="21">
        <f>IF(LoanIsGood,IF(ROW()-ROW(PaymentSchedule345[[#Headers],[PMT NO]])&gt;ScheduledNumberOfPayments,"",ROW()-ROW(PaymentSchedule345[[#Headers],[PMT NO]])),"")</f>
        <v>244</v>
      </c>
      <c r="C255" s="20">
        <f>IF(PaymentSchedule345[[#This Row],[PMT NO]]&lt;&gt;"",EOMONTH(LoanStartDate,ROW(PaymentSchedule345[[#This Row],[PMT NO]])-ROW(PaymentSchedule345[[#Headers],[PMT NO]])-2)+DAY(LoanStartDate),"")</f>
        <v>51044</v>
      </c>
      <c r="D25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1410180.4868755108</v>
      </c>
      <c r="E255" s="19">
        <f>IF(PaymentSchedule345[[#This Row],[PMT NO]]&lt;&gt;"",ScheduledPayment,"")</f>
        <v>8991.2567468977813</v>
      </c>
      <c r="F25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5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55" s="19">
        <f>IF(PaymentSchedule345[[#This Row],[PMT NO]]&lt;&gt;"",PaymentSchedule345[[#This Row],[TOTAL PAYMENT]]-PaymentSchedule345[[#This Row],[INTEREST]],"")</f>
        <v>3703.0799211146159</v>
      </c>
      <c r="I255" s="19">
        <f>IF(PaymentSchedule345[[#This Row],[PMT NO]]&lt;&gt;"",PaymentSchedule345[[#This Row],[BEGINNING BALANCE]]*(InterestRate/PaymentsPerYear),"")</f>
        <v>5288.1768257831654</v>
      </c>
      <c r="J25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1406477.4069543961</v>
      </c>
      <c r="K255" s="19">
        <f>IF(PaymentSchedule345[[#This Row],[PMT NO]]&lt;&gt;"",SUM(INDEX(PaymentSchedule345[INTEREST],1,1):PaymentSchedule345[[#This Row],[INTEREST]]),"")</f>
        <v>1600344.0531974547</v>
      </c>
    </row>
    <row r="256" spans="2:11" x14ac:dyDescent="0.3">
      <c r="B256" s="21">
        <f>IF(LoanIsGood,IF(ROW()-ROW(PaymentSchedule345[[#Headers],[PMT NO]])&gt;ScheduledNumberOfPayments,"",ROW()-ROW(PaymentSchedule345[[#Headers],[PMT NO]])),"")</f>
        <v>245</v>
      </c>
      <c r="C256" s="20">
        <f>IF(PaymentSchedule345[[#This Row],[PMT NO]]&lt;&gt;"",EOMONTH(LoanStartDate,ROW(PaymentSchedule345[[#This Row],[PMT NO]])-ROW(PaymentSchedule345[[#Headers],[PMT NO]])-2)+DAY(LoanStartDate),"")</f>
        <v>51075</v>
      </c>
      <c r="D25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1406477.4069543961</v>
      </c>
      <c r="E256" s="19">
        <f>IF(PaymentSchedule345[[#This Row],[PMT NO]]&lt;&gt;"",ScheduledPayment,"")</f>
        <v>8991.2567468977813</v>
      </c>
      <c r="F25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5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56" s="19">
        <f>IF(PaymentSchedule345[[#This Row],[PMT NO]]&lt;&gt;"",PaymentSchedule345[[#This Row],[TOTAL PAYMENT]]-PaymentSchedule345[[#This Row],[INTEREST]],"")</f>
        <v>3716.9664708187966</v>
      </c>
      <c r="I256" s="19">
        <f>IF(PaymentSchedule345[[#This Row],[PMT NO]]&lt;&gt;"",PaymentSchedule345[[#This Row],[BEGINNING BALANCE]]*(InterestRate/PaymentsPerYear),"")</f>
        <v>5274.2902760789848</v>
      </c>
      <c r="J25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1402760.4404835773</v>
      </c>
      <c r="K256" s="19">
        <f>IF(PaymentSchedule345[[#This Row],[PMT NO]]&lt;&gt;"",SUM(INDEX(PaymentSchedule345[INTEREST],1,1):PaymentSchedule345[[#This Row],[INTEREST]]),"")</f>
        <v>1605618.3434735336</v>
      </c>
    </row>
    <row r="257" spans="2:11" x14ac:dyDescent="0.3">
      <c r="B257" s="21">
        <f>IF(LoanIsGood,IF(ROW()-ROW(PaymentSchedule345[[#Headers],[PMT NO]])&gt;ScheduledNumberOfPayments,"",ROW()-ROW(PaymentSchedule345[[#Headers],[PMT NO]])),"")</f>
        <v>246</v>
      </c>
      <c r="C257" s="20">
        <f>IF(PaymentSchedule345[[#This Row],[PMT NO]]&lt;&gt;"",EOMONTH(LoanStartDate,ROW(PaymentSchedule345[[#This Row],[PMT NO]])-ROW(PaymentSchedule345[[#Headers],[PMT NO]])-2)+DAY(LoanStartDate),"")</f>
        <v>51105</v>
      </c>
      <c r="D25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1402760.4404835773</v>
      </c>
      <c r="E257" s="19">
        <f>IF(PaymentSchedule345[[#This Row],[PMT NO]]&lt;&gt;"",ScheduledPayment,"")</f>
        <v>8991.2567468977813</v>
      </c>
      <c r="F25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5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57" s="19">
        <f>IF(PaymentSchedule345[[#This Row],[PMT NO]]&lt;&gt;"",PaymentSchedule345[[#This Row],[TOTAL PAYMENT]]-PaymentSchedule345[[#This Row],[INTEREST]],"")</f>
        <v>3730.9050950843666</v>
      </c>
      <c r="I257" s="19">
        <f>IF(PaymentSchedule345[[#This Row],[PMT NO]]&lt;&gt;"",PaymentSchedule345[[#This Row],[BEGINNING BALANCE]]*(InterestRate/PaymentsPerYear),"")</f>
        <v>5260.3516518134147</v>
      </c>
      <c r="J25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1399029.535388493</v>
      </c>
      <c r="K257" s="19">
        <f>IF(PaymentSchedule345[[#This Row],[PMT NO]]&lt;&gt;"",SUM(INDEX(PaymentSchedule345[INTEREST],1,1):PaymentSchedule345[[#This Row],[INTEREST]]),"")</f>
        <v>1610878.695125347</v>
      </c>
    </row>
    <row r="258" spans="2:11" x14ac:dyDescent="0.3">
      <c r="B258" s="21">
        <f>IF(LoanIsGood,IF(ROW()-ROW(PaymentSchedule345[[#Headers],[PMT NO]])&gt;ScheduledNumberOfPayments,"",ROW()-ROW(PaymentSchedule345[[#Headers],[PMT NO]])),"")</f>
        <v>247</v>
      </c>
      <c r="C258" s="20">
        <f>IF(PaymentSchedule345[[#This Row],[PMT NO]]&lt;&gt;"",EOMONTH(LoanStartDate,ROW(PaymentSchedule345[[#This Row],[PMT NO]])-ROW(PaymentSchedule345[[#Headers],[PMT NO]])-2)+DAY(LoanStartDate),"")</f>
        <v>51136</v>
      </c>
      <c r="D25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1399029.535388493</v>
      </c>
      <c r="E258" s="19">
        <f>IF(PaymentSchedule345[[#This Row],[PMT NO]]&lt;&gt;"",ScheduledPayment,"")</f>
        <v>8991.2567468977813</v>
      </c>
      <c r="F25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5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58" s="19">
        <f>IF(PaymentSchedule345[[#This Row],[PMT NO]]&lt;&gt;"",PaymentSchedule345[[#This Row],[TOTAL PAYMENT]]-PaymentSchedule345[[#This Row],[INTEREST]],"")</f>
        <v>3744.8959891909326</v>
      </c>
      <c r="I258" s="19">
        <f>IF(PaymentSchedule345[[#This Row],[PMT NO]]&lt;&gt;"",PaymentSchedule345[[#This Row],[BEGINNING BALANCE]]*(InterestRate/PaymentsPerYear),"")</f>
        <v>5246.3607577068487</v>
      </c>
      <c r="J25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1395284.639399302</v>
      </c>
      <c r="K258" s="19">
        <f>IF(PaymentSchedule345[[#This Row],[PMT NO]]&lt;&gt;"",SUM(INDEX(PaymentSchedule345[INTEREST],1,1):PaymentSchedule345[[#This Row],[INTEREST]]),"")</f>
        <v>1616125.0558830539</v>
      </c>
    </row>
    <row r="259" spans="2:11" x14ac:dyDescent="0.3">
      <c r="B259" s="21">
        <f>IF(LoanIsGood,IF(ROW()-ROW(PaymentSchedule345[[#Headers],[PMT NO]])&gt;ScheduledNumberOfPayments,"",ROW()-ROW(PaymentSchedule345[[#Headers],[PMT NO]])),"")</f>
        <v>248</v>
      </c>
      <c r="C259" s="20">
        <f>IF(PaymentSchedule345[[#This Row],[PMT NO]]&lt;&gt;"",EOMONTH(LoanStartDate,ROW(PaymentSchedule345[[#This Row],[PMT NO]])-ROW(PaymentSchedule345[[#Headers],[PMT NO]])-2)+DAY(LoanStartDate),"")</f>
        <v>51167</v>
      </c>
      <c r="D25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1395284.639399302</v>
      </c>
      <c r="E259" s="19">
        <f>IF(PaymentSchedule345[[#This Row],[PMT NO]]&lt;&gt;"",ScheduledPayment,"")</f>
        <v>8991.2567468977813</v>
      </c>
      <c r="F25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5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59" s="19">
        <f>IF(PaymentSchedule345[[#This Row],[PMT NO]]&lt;&gt;"",PaymentSchedule345[[#This Row],[TOTAL PAYMENT]]-PaymentSchedule345[[#This Row],[INTEREST]],"")</f>
        <v>3758.9393491503988</v>
      </c>
      <c r="I259" s="19">
        <f>IF(PaymentSchedule345[[#This Row],[PMT NO]]&lt;&gt;"",PaymentSchedule345[[#This Row],[BEGINNING BALANCE]]*(InterestRate/PaymentsPerYear),"")</f>
        <v>5232.3173977473825</v>
      </c>
      <c r="J25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1391525.7000501517</v>
      </c>
      <c r="K259" s="19">
        <f>IF(PaymentSchedule345[[#This Row],[PMT NO]]&lt;&gt;"",SUM(INDEX(PaymentSchedule345[INTEREST],1,1):PaymentSchedule345[[#This Row],[INTEREST]]),"")</f>
        <v>1621357.3732808013</v>
      </c>
    </row>
    <row r="260" spans="2:11" x14ac:dyDescent="0.3">
      <c r="B260" s="21">
        <f>IF(LoanIsGood,IF(ROW()-ROW(PaymentSchedule345[[#Headers],[PMT NO]])&gt;ScheduledNumberOfPayments,"",ROW()-ROW(PaymentSchedule345[[#Headers],[PMT NO]])),"")</f>
        <v>249</v>
      </c>
      <c r="C260" s="20">
        <f>IF(PaymentSchedule345[[#This Row],[PMT NO]]&lt;&gt;"",EOMONTH(LoanStartDate,ROW(PaymentSchedule345[[#This Row],[PMT NO]])-ROW(PaymentSchedule345[[#Headers],[PMT NO]])-2)+DAY(LoanStartDate),"")</f>
        <v>51196</v>
      </c>
      <c r="D26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1391525.7000501517</v>
      </c>
      <c r="E260" s="19">
        <f>IF(PaymentSchedule345[[#This Row],[PMT NO]]&lt;&gt;"",ScheduledPayment,"")</f>
        <v>8991.2567468977813</v>
      </c>
      <c r="F26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6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60" s="19">
        <f>IF(PaymentSchedule345[[#This Row],[PMT NO]]&lt;&gt;"",PaymentSchedule345[[#This Row],[TOTAL PAYMENT]]-PaymentSchedule345[[#This Row],[INTEREST]],"")</f>
        <v>3773.0353717097123</v>
      </c>
      <c r="I260" s="19">
        <f>IF(PaymentSchedule345[[#This Row],[PMT NO]]&lt;&gt;"",PaymentSchedule345[[#This Row],[BEGINNING BALANCE]]*(InterestRate/PaymentsPerYear),"")</f>
        <v>5218.221375188069</v>
      </c>
      <c r="J26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1387752.6646784421</v>
      </c>
      <c r="K260" s="19">
        <f>IF(PaymentSchedule345[[#This Row],[PMT NO]]&lt;&gt;"",SUM(INDEX(PaymentSchedule345[INTEREST],1,1):PaymentSchedule345[[#This Row],[INTEREST]]),"")</f>
        <v>1626575.5946559894</v>
      </c>
    </row>
    <row r="261" spans="2:11" x14ac:dyDescent="0.3">
      <c r="B261" s="21">
        <f>IF(LoanIsGood,IF(ROW()-ROW(PaymentSchedule345[[#Headers],[PMT NO]])&gt;ScheduledNumberOfPayments,"",ROW()-ROW(PaymentSchedule345[[#Headers],[PMT NO]])),"")</f>
        <v>250</v>
      </c>
      <c r="C261" s="20">
        <f>IF(PaymentSchedule345[[#This Row],[PMT NO]]&lt;&gt;"",EOMONTH(LoanStartDate,ROW(PaymentSchedule345[[#This Row],[PMT NO]])-ROW(PaymentSchedule345[[#Headers],[PMT NO]])-2)+DAY(LoanStartDate),"")</f>
        <v>51227</v>
      </c>
      <c r="D26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1387752.6646784421</v>
      </c>
      <c r="E261" s="19">
        <f>IF(PaymentSchedule345[[#This Row],[PMT NO]]&lt;&gt;"",ScheduledPayment,"")</f>
        <v>8991.2567468977813</v>
      </c>
      <c r="F26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6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61" s="19">
        <f>IF(PaymentSchedule345[[#This Row],[PMT NO]]&lt;&gt;"",PaymentSchedule345[[#This Row],[TOTAL PAYMENT]]-PaymentSchedule345[[#This Row],[INTEREST]],"")</f>
        <v>3787.1842543536241</v>
      </c>
      <c r="I261" s="19">
        <f>IF(PaymentSchedule345[[#This Row],[PMT NO]]&lt;&gt;"",PaymentSchedule345[[#This Row],[BEGINNING BALANCE]]*(InterestRate/PaymentsPerYear),"")</f>
        <v>5204.0724925441573</v>
      </c>
      <c r="J26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1383965.4804240884</v>
      </c>
      <c r="K261" s="19">
        <f>IF(PaymentSchedule345[[#This Row],[PMT NO]]&lt;&gt;"",SUM(INDEX(PaymentSchedule345[INTEREST],1,1):PaymentSchedule345[[#This Row],[INTEREST]]),"")</f>
        <v>1631779.6671485335</v>
      </c>
    </row>
    <row r="262" spans="2:11" x14ac:dyDescent="0.3">
      <c r="B262" s="21">
        <f>IF(LoanIsGood,IF(ROW()-ROW(PaymentSchedule345[[#Headers],[PMT NO]])&gt;ScheduledNumberOfPayments,"",ROW()-ROW(PaymentSchedule345[[#Headers],[PMT NO]])),"")</f>
        <v>251</v>
      </c>
      <c r="C262" s="20">
        <f>IF(PaymentSchedule345[[#This Row],[PMT NO]]&lt;&gt;"",EOMONTH(LoanStartDate,ROW(PaymentSchedule345[[#This Row],[PMT NO]])-ROW(PaymentSchedule345[[#Headers],[PMT NO]])-2)+DAY(LoanStartDate),"")</f>
        <v>51257</v>
      </c>
      <c r="D26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1383965.4804240884</v>
      </c>
      <c r="E262" s="19">
        <f>IF(PaymentSchedule345[[#This Row],[PMT NO]]&lt;&gt;"",ScheduledPayment,"")</f>
        <v>8991.2567468977813</v>
      </c>
      <c r="F26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6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62" s="19">
        <f>IF(PaymentSchedule345[[#This Row],[PMT NO]]&lt;&gt;"",PaymentSchedule345[[#This Row],[TOTAL PAYMENT]]-PaymentSchedule345[[#This Row],[INTEREST]],"")</f>
        <v>3801.3861953074502</v>
      </c>
      <c r="I262" s="19">
        <f>IF(PaymentSchedule345[[#This Row],[PMT NO]]&lt;&gt;"",PaymentSchedule345[[#This Row],[BEGINNING BALANCE]]*(InterestRate/PaymentsPerYear),"")</f>
        <v>5189.8705515903312</v>
      </c>
      <c r="J26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1380164.0942287811</v>
      </c>
      <c r="K262" s="19">
        <f>IF(PaymentSchedule345[[#This Row],[PMT NO]]&lt;&gt;"",SUM(INDEX(PaymentSchedule345[INTEREST],1,1):PaymentSchedule345[[#This Row],[INTEREST]]),"")</f>
        <v>1636969.5377001239</v>
      </c>
    </row>
    <row r="263" spans="2:11" x14ac:dyDescent="0.3">
      <c r="B263" s="21">
        <f>IF(LoanIsGood,IF(ROW()-ROW(PaymentSchedule345[[#Headers],[PMT NO]])&gt;ScheduledNumberOfPayments,"",ROW()-ROW(PaymentSchedule345[[#Headers],[PMT NO]])),"")</f>
        <v>252</v>
      </c>
      <c r="C263" s="20">
        <f>IF(PaymentSchedule345[[#This Row],[PMT NO]]&lt;&gt;"",EOMONTH(LoanStartDate,ROW(PaymentSchedule345[[#This Row],[PMT NO]])-ROW(PaymentSchedule345[[#Headers],[PMT NO]])-2)+DAY(LoanStartDate),"")</f>
        <v>51288</v>
      </c>
      <c r="D26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1380164.0942287811</v>
      </c>
      <c r="E263" s="19">
        <f>IF(PaymentSchedule345[[#This Row],[PMT NO]]&lt;&gt;"",ScheduledPayment,"")</f>
        <v>8991.2567468977813</v>
      </c>
      <c r="F26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6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63" s="19">
        <f>IF(PaymentSchedule345[[#This Row],[PMT NO]]&lt;&gt;"",PaymentSchedule345[[#This Row],[TOTAL PAYMENT]]-PaymentSchedule345[[#This Row],[INTEREST]],"")</f>
        <v>3815.6413935398523</v>
      </c>
      <c r="I263" s="19">
        <f>IF(PaymentSchedule345[[#This Row],[PMT NO]]&lt;&gt;"",PaymentSchedule345[[#This Row],[BEGINNING BALANCE]]*(InterestRate/PaymentsPerYear),"")</f>
        <v>5175.6153533579291</v>
      </c>
      <c r="J26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1376348.4528352411</v>
      </c>
      <c r="K263" s="19">
        <f>IF(PaymentSchedule345[[#This Row],[PMT NO]]&lt;&gt;"",SUM(INDEX(PaymentSchedule345[INTEREST],1,1):PaymentSchedule345[[#This Row],[INTEREST]]),"")</f>
        <v>1642145.1530534818</v>
      </c>
    </row>
    <row r="264" spans="2:11" x14ac:dyDescent="0.3">
      <c r="B264" s="21">
        <f>IF(LoanIsGood,IF(ROW()-ROW(PaymentSchedule345[[#Headers],[PMT NO]])&gt;ScheduledNumberOfPayments,"",ROW()-ROW(PaymentSchedule345[[#Headers],[PMT NO]])),"")</f>
        <v>253</v>
      </c>
      <c r="C264" s="20">
        <f>IF(PaymentSchedule345[[#This Row],[PMT NO]]&lt;&gt;"",EOMONTH(LoanStartDate,ROW(PaymentSchedule345[[#This Row],[PMT NO]])-ROW(PaymentSchedule345[[#Headers],[PMT NO]])-2)+DAY(LoanStartDate),"")</f>
        <v>51318</v>
      </c>
      <c r="D26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1376348.4528352411</v>
      </c>
      <c r="E264" s="19">
        <f>IF(PaymentSchedule345[[#This Row],[PMT NO]]&lt;&gt;"",ScheduledPayment,"")</f>
        <v>8991.2567468977813</v>
      </c>
      <c r="F26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6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64" s="19">
        <f>IF(PaymentSchedule345[[#This Row],[PMT NO]]&lt;&gt;"",PaymentSchedule345[[#This Row],[TOTAL PAYMENT]]-PaymentSchedule345[[#This Row],[INTEREST]],"")</f>
        <v>3829.9500487656278</v>
      </c>
      <c r="I264" s="19">
        <f>IF(PaymentSchedule345[[#This Row],[PMT NO]]&lt;&gt;"",PaymentSchedule345[[#This Row],[BEGINNING BALANCE]]*(InterestRate/PaymentsPerYear),"")</f>
        <v>5161.3066981321535</v>
      </c>
      <c r="J26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1372518.5027864755</v>
      </c>
      <c r="K264" s="19">
        <f>IF(PaymentSchedule345[[#This Row],[PMT NO]]&lt;&gt;"",SUM(INDEX(PaymentSchedule345[INTEREST],1,1):PaymentSchedule345[[#This Row],[INTEREST]]),"")</f>
        <v>1647306.4597516139</v>
      </c>
    </row>
    <row r="265" spans="2:11" x14ac:dyDescent="0.3">
      <c r="B265" s="21">
        <f>IF(LoanIsGood,IF(ROW()-ROW(PaymentSchedule345[[#Headers],[PMT NO]])&gt;ScheduledNumberOfPayments,"",ROW()-ROW(PaymentSchedule345[[#Headers],[PMT NO]])),"")</f>
        <v>254</v>
      </c>
      <c r="C265" s="20">
        <f>IF(PaymentSchedule345[[#This Row],[PMT NO]]&lt;&gt;"",EOMONTH(LoanStartDate,ROW(PaymentSchedule345[[#This Row],[PMT NO]])-ROW(PaymentSchedule345[[#Headers],[PMT NO]])-2)+DAY(LoanStartDate),"")</f>
        <v>51349</v>
      </c>
      <c r="D26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1372518.5027864755</v>
      </c>
      <c r="E265" s="19">
        <f>IF(PaymentSchedule345[[#This Row],[PMT NO]]&lt;&gt;"",ScheduledPayment,"")</f>
        <v>8991.2567468977813</v>
      </c>
      <c r="F26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6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65" s="19">
        <f>IF(PaymentSchedule345[[#This Row],[PMT NO]]&lt;&gt;"",PaymentSchedule345[[#This Row],[TOTAL PAYMENT]]-PaymentSchedule345[[#This Row],[INTEREST]],"")</f>
        <v>3844.3123614484985</v>
      </c>
      <c r="I265" s="19">
        <f>IF(PaymentSchedule345[[#This Row],[PMT NO]]&lt;&gt;"",PaymentSchedule345[[#This Row],[BEGINNING BALANCE]]*(InterestRate/PaymentsPerYear),"")</f>
        <v>5146.9443854492829</v>
      </c>
      <c r="J26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1368674.1904250269</v>
      </c>
      <c r="K265" s="19">
        <f>IF(PaymentSchedule345[[#This Row],[PMT NO]]&lt;&gt;"",SUM(INDEX(PaymentSchedule345[INTEREST],1,1):PaymentSchedule345[[#This Row],[INTEREST]]),"")</f>
        <v>1652453.4041370631</v>
      </c>
    </row>
    <row r="266" spans="2:11" x14ac:dyDescent="0.3">
      <c r="B266" s="21">
        <f>IF(LoanIsGood,IF(ROW()-ROW(PaymentSchedule345[[#Headers],[PMT NO]])&gt;ScheduledNumberOfPayments,"",ROW()-ROW(PaymentSchedule345[[#Headers],[PMT NO]])),"")</f>
        <v>255</v>
      </c>
      <c r="C266" s="20">
        <f>IF(PaymentSchedule345[[#This Row],[PMT NO]]&lt;&gt;"",EOMONTH(LoanStartDate,ROW(PaymentSchedule345[[#This Row],[PMT NO]])-ROW(PaymentSchedule345[[#Headers],[PMT NO]])-2)+DAY(LoanStartDate),"")</f>
        <v>51380</v>
      </c>
      <c r="D26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1368674.1904250269</v>
      </c>
      <c r="E266" s="19">
        <f>IF(PaymentSchedule345[[#This Row],[PMT NO]]&lt;&gt;"",ScheduledPayment,"")</f>
        <v>8991.2567468977813</v>
      </c>
      <c r="F26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6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66" s="19">
        <f>IF(PaymentSchedule345[[#This Row],[PMT NO]]&lt;&gt;"",PaymentSchedule345[[#This Row],[TOTAL PAYMENT]]-PaymentSchedule345[[#This Row],[INTEREST]],"")</f>
        <v>3858.7285328039306</v>
      </c>
      <c r="I266" s="19">
        <f>IF(PaymentSchedule345[[#This Row],[PMT NO]]&lt;&gt;"",PaymentSchedule345[[#This Row],[BEGINNING BALANCE]]*(InterestRate/PaymentsPerYear),"")</f>
        <v>5132.5282140938507</v>
      </c>
      <c r="J26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1364815.461892223</v>
      </c>
      <c r="K266" s="19">
        <f>IF(PaymentSchedule345[[#This Row],[PMT NO]]&lt;&gt;"",SUM(INDEX(PaymentSchedule345[INTEREST],1,1):PaymentSchedule345[[#This Row],[INTEREST]]),"")</f>
        <v>1657585.9323511568</v>
      </c>
    </row>
    <row r="267" spans="2:11" x14ac:dyDescent="0.3">
      <c r="B267" s="21">
        <f>IF(LoanIsGood,IF(ROW()-ROW(PaymentSchedule345[[#Headers],[PMT NO]])&gt;ScheduledNumberOfPayments,"",ROW()-ROW(PaymentSchedule345[[#Headers],[PMT NO]])),"")</f>
        <v>256</v>
      </c>
      <c r="C267" s="20">
        <f>IF(PaymentSchedule345[[#This Row],[PMT NO]]&lt;&gt;"",EOMONTH(LoanStartDate,ROW(PaymentSchedule345[[#This Row],[PMT NO]])-ROW(PaymentSchedule345[[#Headers],[PMT NO]])-2)+DAY(LoanStartDate),"")</f>
        <v>51410</v>
      </c>
      <c r="D26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1364815.461892223</v>
      </c>
      <c r="E267" s="19">
        <f>IF(PaymentSchedule345[[#This Row],[PMT NO]]&lt;&gt;"",ScheduledPayment,"")</f>
        <v>8991.2567468977813</v>
      </c>
      <c r="F26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6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67" s="19">
        <f>IF(PaymentSchedule345[[#This Row],[PMT NO]]&lt;&gt;"",PaymentSchedule345[[#This Row],[TOTAL PAYMENT]]-PaymentSchedule345[[#This Row],[INTEREST]],"")</f>
        <v>3873.1987648019449</v>
      </c>
      <c r="I267" s="19">
        <f>IF(PaymentSchedule345[[#This Row],[PMT NO]]&lt;&gt;"",PaymentSchedule345[[#This Row],[BEGINNING BALANCE]]*(InterestRate/PaymentsPerYear),"")</f>
        <v>5118.0579820958365</v>
      </c>
      <c r="J26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1360942.263127421</v>
      </c>
      <c r="K267" s="19">
        <f>IF(PaymentSchedule345[[#This Row],[PMT NO]]&lt;&gt;"",SUM(INDEX(PaymentSchedule345[INTEREST],1,1):PaymentSchedule345[[#This Row],[INTEREST]]),"")</f>
        <v>1662703.9903332526</v>
      </c>
    </row>
    <row r="268" spans="2:11" x14ac:dyDescent="0.3">
      <c r="B268" s="21">
        <f>IF(LoanIsGood,IF(ROW()-ROW(PaymentSchedule345[[#Headers],[PMT NO]])&gt;ScheduledNumberOfPayments,"",ROW()-ROW(PaymentSchedule345[[#Headers],[PMT NO]])),"")</f>
        <v>257</v>
      </c>
      <c r="C268" s="20">
        <f>IF(PaymentSchedule345[[#This Row],[PMT NO]]&lt;&gt;"",EOMONTH(LoanStartDate,ROW(PaymentSchedule345[[#This Row],[PMT NO]])-ROW(PaymentSchedule345[[#Headers],[PMT NO]])-2)+DAY(LoanStartDate),"")</f>
        <v>51441</v>
      </c>
      <c r="D26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1360942.263127421</v>
      </c>
      <c r="E268" s="19">
        <f>IF(PaymentSchedule345[[#This Row],[PMT NO]]&lt;&gt;"",ScheduledPayment,"")</f>
        <v>8991.2567468977813</v>
      </c>
      <c r="F26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6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68" s="19">
        <f>IF(PaymentSchedule345[[#This Row],[PMT NO]]&lt;&gt;"",PaymentSchedule345[[#This Row],[TOTAL PAYMENT]]-PaymentSchedule345[[#This Row],[INTEREST]],"")</f>
        <v>3887.7232601699525</v>
      </c>
      <c r="I268" s="19">
        <f>IF(PaymentSchedule345[[#This Row],[PMT NO]]&lt;&gt;"",PaymentSchedule345[[#This Row],[BEGINNING BALANCE]]*(InterestRate/PaymentsPerYear),"")</f>
        <v>5103.5334867278289</v>
      </c>
      <c r="J26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1357054.5398672512</v>
      </c>
      <c r="K268" s="19">
        <f>IF(PaymentSchedule345[[#This Row],[PMT NO]]&lt;&gt;"",SUM(INDEX(PaymentSchedule345[INTEREST],1,1):PaymentSchedule345[[#This Row],[INTEREST]]),"")</f>
        <v>1667807.5238199804</v>
      </c>
    </row>
    <row r="269" spans="2:11" x14ac:dyDescent="0.3">
      <c r="B269" s="21">
        <f>IF(LoanIsGood,IF(ROW()-ROW(PaymentSchedule345[[#Headers],[PMT NO]])&gt;ScheduledNumberOfPayments,"",ROW()-ROW(PaymentSchedule345[[#Headers],[PMT NO]])),"")</f>
        <v>258</v>
      </c>
      <c r="C269" s="20">
        <f>IF(PaymentSchedule345[[#This Row],[PMT NO]]&lt;&gt;"",EOMONTH(LoanStartDate,ROW(PaymentSchedule345[[#This Row],[PMT NO]])-ROW(PaymentSchedule345[[#Headers],[PMT NO]])-2)+DAY(LoanStartDate),"")</f>
        <v>51471</v>
      </c>
      <c r="D26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1357054.5398672512</v>
      </c>
      <c r="E269" s="19">
        <f>IF(PaymentSchedule345[[#This Row],[PMT NO]]&lt;&gt;"",ScheduledPayment,"")</f>
        <v>8991.2567468977813</v>
      </c>
      <c r="F26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6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69" s="19">
        <f>IF(PaymentSchedule345[[#This Row],[PMT NO]]&lt;&gt;"",PaymentSchedule345[[#This Row],[TOTAL PAYMENT]]-PaymentSchedule345[[#This Row],[INTEREST]],"")</f>
        <v>3902.3022223955895</v>
      </c>
      <c r="I269" s="19">
        <f>IF(PaymentSchedule345[[#This Row],[PMT NO]]&lt;&gt;"",PaymentSchedule345[[#This Row],[BEGINNING BALANCE]]*(InterestRate/PaymentsPerYear),"")</f>
        <v>5088.9545245021918</v>
      </c>
      <c r="J26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1353152.2376448556</v>
      </c>
      <c r="K269" s="19">
        <f>IF(PaymentSchedule345[[#This Row],[PMT NO]]&lt;&gt;"",SUM(INDEX(PaymentSchedule345[INTEREST],1,1):PaymentSchedule345[[#This Row],[INTEREST]]),"")</f>
        <v>1672896.4783444826</v>
      </c>
    </row>
    <row r="270" spans="2:11" x14ac:dyDescent="0.3">
      <c r="B270" s="21">
        <f>IF(LoanIsGood,IF(ROW()-ROW(PaymentSchedule345[[#Headers],[PMT NO]])&gt;ScheduledNumberOfPayments,"",ROW()-ROW(PaymentSchedule345[[#Headers],[PMT NO]])),"")</f>
        <v>259</v>
      </c>
      <c r="C270" s="20">
        <f>IF(PaymentSchedule345[[#This Row],[PMT NO]]&lt;&gt;"",EOMONTH(LoanStartDate,ROW(PaymentSchedule345[[#This Row],[PMT NO]])-ROW(PaymentSchedule345[[#Headers],[PMT NO]])-2)+DAY(LoanStartDate),"")</f>
        <v>51502</v>
      </c>
      <c r="D27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1353152.2376448556</v>
      </c>
      <c r="E270" s="19">
        <f>IF(PaymentSchedule345[[#This Row],[PMT NO]]&lt;&gt;"",ScheduledPayment,"")</f>
        <v>8991.2567468977813</v>
      </c>
      <c r="F27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7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70" s="19">
        <f>IF(PaymentSchedule345[[#This Row],[PMT NO]]&lt;&gt;"",PaymentSchedule345[[#This Row],[TOTAL PAYMENT]]-PaymentSchedule345[[#This Row],[INTEREST]],"")</f>
        <v>3916.9358557295727</v>
      </c>
      <c r="I270" s="19">
        <f>IF(PaymentSchedule345[[#This Row],[PMT NO]]&lt;&gt;"",PaymentSchedule345[[#This Row],[BEGINNING BALANCE]]*(InterestRate/PaymentsPerYear),"")</f>
        <v>5074.3208911682086</v>
      </c>
      <c r="J27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1349235.3017891261</v>
      </c>
      <c r="K270" s="19">
        <f>IF(PaymentSchedule345[[#This Row],[PMT NO]]&lt;&gt;"",SUM(INDEX(PaymentSchedule345[INTEREST],1,1):PaymentSchedule345[[#This Row],[INTEREST]]),"")</f>
        <v>1677970.7992356508</v>
      </c>
    </row>
    <row r="271" spans="2:11" x14ac:dyDescent="0.3">
      <c r="B271" s="21">
        <f>IF(LoanIsGood,IF(ROW()-ROW(PaymentSchedule345[[#Headers],[PMT NO]])&gt;ScheduledNumberOfPayments,"",ROW()-ROW(PaymentSchedule345[[#Headers],[PMT NO]])),"")</f>
        <v>260</v>
      </c>
      <c r="C271" s="20">
        <f>IF(PaymentSchedule345[[#This Row],[PMT NO]]&lt;&gt;"",EOMONTH(LoanStartDate,ROW(PaymentSchedule345[[#This Row],[PMT NO]])-ROW(PaymentSchedule345[[#Headers],[PMT NO]])-2)+DAY(LoanStartDate),"")</f>
        <v>51533</v>
      </c>
      <c r="D27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1349235.3017891261</v>
      </c>
      <c r="E271" s="19">
        <f>IF(PaymentSchedule345[[#This Row],[PMT NO]]&lt;&gt;"",ScheduledPayment,"")</f>
        <v>8991.2567468977813</v>
      </c>
      <c r="F27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7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71" s="19">
        <f>IF(PaymentSchedule345[[#This Row],[PMT NO]]&lt;&gt;"",PaymentSchedule345[[#This Row],[TOTAL PAYMENT]]-PaymentSchedule345[[#This Row],[INTEREST]],"")</f>
        <v>3931.6243651885588</v>
      </c>
      <c r="I271" s="19">
        <f>IF(PaymentSchedule345[[#This Row],[PMT NO]]&lt;&gt;"",PaymentSchedule345[[#This Row],[BEGINNING BALANCE]]*(InterestRate/PaymentsPerYear),"")</f>
        <v>5059.6323817092225</v>
      </c>
      <c r="J27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1345303.6774239375</v>
      </c>
      <c r="K271" s="19">
        <f>IF(PaymentSchedule345[[#This Row],[PMT NO]]&lt;&gt;"",SUM(INDEX(PaymentSchedule345[INTEREST],1,1):PaymentSchedule345[[#This Row],[INTEREST]]),"")</f>
        <v>1683030.4316173601</v>
      </c>
    </row>
    <row r="272" spans="2:11" x14ac:dyDescent="0.3">
      <c r="B272" s="21">
        <f>IF(LoanIsGood,IF(ROW()-ROW(PaymentSchedule345[[#Headers],[PMT NO]])&gt;ScheduledNumberOfPayments,"",ROW()-ROW(PaymentSchedule345[[#Headers],[PMT NO]])),"")</f>
        <v>261</v>
      </c>
      <c r="C272" s="20">
        <f>IF(PaymentSchedule345[[#This Row],[PMT NO]]&lt;&gt;"",EOMONTH(LoanStartDate,ROW(PaymentSchedule345[[#This Row],[PMT NO]])-ROW(PaymentSchedule345[[#Headers],[PMT NO]])-2)+DAY(LoanStartDate),"")</f>
        <v>51561</v>
      </c>
      <c r="D27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1345303.6774239375</v>
      </c>
      <c r="E272" s="19">
        <f>IF(PaymentSchedule345[[#This Row],[PMT NO]]&lt;&gt;"",ScheduledPayment,"")</f>
        <v>8991.2567468977813</v>
      </c>
      <c r="F27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7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72" s="19">
        <f>IF(PaymentSchedule345[[#This Row],[PMT NO]]&lt;&gt;"",PaymentSchedule345[[#This Row],[TOTAL PAYMENT]]-PaymentSchedule345[[#This Row],[INTEREST]],"")</f>
        <v>3946.367956558016</v>
      </c>
      <c r="I272" s="19">
        <f>IF(PaymentSchedule345[[#This Row],[PMT NO]]&lt;&gt;"",PaymentSchedule345[[#This Row],[BEGINNING BALANCE]]*(InterestRate/PaymentsPerYear),"")</f>
        <v>5044.8887903397654</v>
      </c>
      <c r="J27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1341357.3094673795</v>
      </c>
      <c r="K272" s="19">
        <f>IF(PaymentSchedule345[[#This Row],[PMT NO]]&lt;&gt;"",SUM(INDEX(PaymentSchedule345[INTEREST],1,1):PaymentSchedule345[[#This Row],[INTEREST]]),"")</f>
        <v>1688075.3204076998</v>
      </c>
    </row>
    <row r="273" spans="2:11" x14ac:dyDescent="0.3">
      <c r="B273" s="21">
        <f>IF(LoanIsGood,IF(ROW()-ROW(PaymentSchedule345[[#Headers],[PMT NO]])&gt;ScheduledNumberOfPayments,"",ROW()-ROW(PaymentSchedule345[[#Headers],[PMT NO]])),"")</f>
        <v>262</v>
      </c>
      <c r="C273" s="20">
        <f>IF(PaymentSchedule345[[#This Row],[PMT NO]]&lt;&gt;"",EOMONTH(LoanStartDate,ROW(PaymentSchedule345[[#This Row],[PMT NO]])-ROW(PaymentSchedule345[[#Headers],[PMT NO]])-2)+DAY(LoanStartDate),"")</f>
        <v>51592</v>
      </c>
      <c r="D27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1341357.3094673795</v>
      </c>
      <c r="E273" s="19">
        <f>IF(PaymentSchedule345[[#This Row],[PMT NO]]&lt;&gt;"",ScheduledPayment,"")</f>
        <v>8991.2567468977813</v>
      </c>
      <c r="F27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7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73" s="19">
        <f>IF(PaymentSchedule345[[#This Row],[PMT NO]]&lt;&gt;"",PaymentSchedule345[[#This Row],[TOTAL PAYMENT]]-PaymentSchedule345[[#This Row],[INTEREST]],"")</f>
        <v>3961.1668363951085</v>
      </c>
      <c r="I273" s="19">
        <f>IF(PaymentSchedule345[[#This Row],[PMT NO]]&lt;&gt;"",PaymentSchedule345[[#This Row],[BEGINNING BALANCE]]*(InterestRate/PaymentsPerYear),"")</f>
        <v>5030.0899105026729</v>
      </c>
      <c r="J27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1337396.1426309843</v>
      </c>
      <c r="K273" s="19">
        <f>IF(PaymentSchedule345[[#This Row],[PMT NO]]&lt;&gt;"",SUM(INDEX(PaymentSchedule345[INTEREST],1,1):PaymentSchedule345[[#This Row],[INTEREST]]),"")</f>
        <v>1693105.4103182026</v>
      </c>
    </row>
    <row r="274" spans="2:11" x14ac:dyDescent="0.3">
      <c r="B274" s="21">
        <f>IF(LoanIsGood,IF(ROW()-ROW(PaymentSchedule345[[#Headers],[PMT NO]])&gt;ScheduledNumberOfPayments,"",ROW()-ROW(PaymentSchedule345[[#Headers],[PMT NO]])),"")</f>
        <v>263</v>
      </c>
      <c r="C274" s="20">
        <f>IF(PaymentSchedule345[[#This Row],[PMT NO]]&lt;&gt;"",EOMONTH(LoanStartDate,ROW(PaymentSchedule345[[#This Row],[PMT NO]])-ROW(PaymentSchedule345[[#Headers],[PMT NO]])-2)+DAY(LoanStartDate),"")</f>
        <v>51622</v>
      </c>
      <c r="D27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1337396.1426309843</v>
      </c>
      <c r="E274" s="19">
        <f>IF(PaymentSchedule345[[#This Row],[PMT NO]]&lt;&gt;"",ScheduledPayment,"")</f>
        <v>8991.2567468977813</v>
      </c>
      <c r="F27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7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74" s="19">
        <f>IF(PaymentSchedule345[[#This Row],[PMT NO]]&lt;&gt;"",PaymentSchedule345[[#This Row],[TOTAL PAYMENT]]-PaymentSchedule345[[#This Row],[INTEREST]],"")</f>
        <v>3976.02121203159</v>
      </c>
      <c r="I274" s="19">
        <f>IF(PaymentSchedule345[[#This Row],[PMT NO]]&lt;&gt;"",PaymentSchedule345[[#This Row],[BEGINNING BALANCE]]*(InterestRate/PaymentsPerYear),"")</f>
        <v>5015.2355348661913</v>
      </c>
      <c r="J27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1333420.1214189527</v>
      </c>
      <c r="K274" s="19">
        <f>IF(PaymentSchedule345[[#This Row],[PMT NO]]&lt;&gt;"",SUM(INDEX(PaymentSchedule345[INTEREST],1,1):PaymentSchedule345[[#This Row],[INTEREST]]),"")</f>
        <v>1698120.6458530687</v>
      </c>
    </row>
    <row r="275" spans="2:11" x14ac:dyDescent="0.3">
      <c r="B275" s="21">
        <f>IF(LoanIsGood,IF(ROW()-ROW(PaymentSchedule345[[#Headers],[PMT NO]])&gt;ScheduledNumberOfPayments,"",ROW()-ROW(PaymentSchedule345[[#Headers],[PMT NO]])),"")</f>
        <v>264</v>
      </c>
      <c r="C275" s="20">
        <f>IF(PaymentSchedule345[[#This Row],[PMT NO]]&lt;&gt;"",EOMONTH(LoanStartDate,ROW(PaymentSchedule345[[#This Row],[PMT NO]])-ROW(PaymentSchedule345[[#Headers],[PMT NO]])-2)+DAY(LoanStartDate),"")</f>
        <v>51653</v>
      </c>
      <c r="D27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1333420.1214189527</v>
      </c>
      <c r="E275" s="19">
        <f>IF(PaymentSchedule345[[#This Row],[PMT NO]]&lt;&gt;"",ScheduledPayment,"")</f>
        <v>8991.2567468977813</v>
      </c>
      <c r="F27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7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75" s="19">
        <f>IF(PaymentSchedule345[[#This Row],[PMT NO]]&lt;&gt;"",PaymentSchedule345[[#This Row],[TOTAL PAYMENT]]-PaymentSchedule345[[#This Row],[INTEREST]],"")</f>
        <v>3990.9312915767086</v>
      </c>
      <c r="I275" s="19">
        <f>IF(PaymentSchedule345[[#This Row],[PMT NO]]&lt;&gt;"",PaymentSchedule345[[#This Row],[BEGINNING BALANCE]]*(InterestRate/PaymentsPerYear),"")</f>
        <v>5000.3254553210727</v>
      </c>
      <c r="J27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1329429.190127376</v>
      </c>
      <c r="K275" s="19">
        <f>IF(PaymentSchedule345[[#This Row],[PMT NO]]&lt;&gt;"",SUM(INDEX(PaymentSchedule345[INTEREST],1,1):PaymentSchedule345[[#This Row],[INTEREST]]),"")</f>
        <v>1703120.9713083897</v>
      </c>
    </row>
    <row r="276" spans="2:11" x14ac:dyDescent="0.3">
      <c r="B276" s="21">
        <f>IF(LoanIsGood,IF(ROW()-ROW(PaymentSchedule345[[#Headers],[PMT NO]])&gt;ScheduledNumberOfPayments,"",ROW()-ROW(PaymentSchedule345[[#Headers],[PMT NO]])),"")</f>
        <v>265</v>
      </c>
      <c r="C276" s="20">
        <f>IF(PaymentSchedule345[[#This Row],[PMT NO]]&lt;&gt;"",EOMONTH(LoanStartDate,ROW(PaymentSchedule345[[#This Row],[PMT NO]])-ROW(PaymentSchedule345[[#Headers],[PMT NO]])-2)+DAY(LoanStartDate),"")</f>
        <v>51683</v>
      </c>
      <c r="D27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1329429.190127376</v>
      </c>
      <c r="E276" s="19">
        <f>IF(PaymentSchedule345[[#This Row],[PMT NO]]&lt;&gt;"",ScheduledPayment,"")</f>
        <v>8991.2567468977813</v>
      </c>
      <c r="F27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7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76" s="19">
        <f>IF(PaymentSchedule345[[#This Row],[PMT NO]]&lt;&gt;"",PaymentSchedule345[[#This Row],[TOTAL PAYMENT]]-PaymentSchedule345[[#This Row],[INTEREST]],"")</f>
        <v>4005.8972839201215</v>
      </c>
      <c r="I276" s="19">
        <f>IF(PaymentSchedule345[[#This Row],[PMT NO]]&lt;&gt;"",PaymentSchedule345[[#This Row],[BEGINNING BALANCE]]*(InterestRate/PaymentsPerYear),"")</f>
        <v>4985.3594629776599</v>
      </c>
      <c r="J27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1325423.2928434559</v>
      </c>
      <c r="K276" s="19">
        <f>IF(PaymentSchedule345[[#This Row],[PMT NO]]&lt;&gt;"",SUM(INDEX(PaymentSchedule345[INTEREST],1,1):PaymentSchedule345[[#This Row],[INTEREST]]),"")</f>
        <v>1708106.3307713673</v>
      </c>
    </row>
    <row r="277" spans="2:11" x14ac:dyDescent="0.3">
      <c r="B277" s="21">
        <f>IF(LoanIsGood,IF(ROW()-ROW(PaymentSchedule345[[#Headers],[PMT NO]])&gt;ScheduledNumberOfPayments,"",ROW()-ROW(PaymentSchedule345[[#Headers],[PMT NO]])),"")</f>
        <v>266</v>
      </c>
      <c r="C277" s="20">
        <f>IF(PaymentSchedule345[[#This Row],[PMT NO]]&lt;&gt;"",EOMONTH(LoanStartDate,ROW(PaymentSchedule345[[#This Row],[PMT NO]])-ROW(PaymentSchedule345[[#Headers],[PMT NO]])-2)+DAY(LoanStartDate),"")</f>
        <v>51714</v>
      </c>
      <c r="D27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1325423.2928434559</v>
      </c>
      <c r="E277" s="19">
        <f>IF(PaymentSchedule345[[#This Row],[PMT NO]]&lt;&gt;"",ScheduledPayment,"")</f>
        <v>8991.2567468977813</v>
      </c>
      <c r="F27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7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77" s="19">
        <f>IF(PaymentSchedule345[[#This Row],[PMT NO]]&lt;&gt;"",PaymentSchedule345[[#This Row],[TOTAL PAYMENT]]-PaymentSchedule345[[#This Row],[INTEREST]],"")</f>
        <v>4020.9193987348217</v>
      </c>
      <c r="I277" s="19">
        <f>IF(PaymentSchedule345[[#This Row],[PMT NO]]&lt;&gt;"",PaymentSchedule345[[#This Row],[BEGINNING BALANCE]]*(InterestRate/PaymentsPerYear),"")</f>
        <v>4970.3373481629596</v>
      </c>
      <c r="J27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1321402.3734447211</v>
      </c>
      <c r="K277" s="19">
        <f>IF(PaymentSchedule345[[#This Row],[PMT NO]]&lt;&gt;"",SUM(INDEX(PaymentSchedule345[INTEREST],1,1):PaymentSchedule345[[#This Row],[INTEREST]]),"")</f>
        <v>1713076.6681195302</v>
      </c>
    </row>
    <row r="278" spans="2:11" x14ac:dyDescent="0.3">
      <c r="B278" s="21">
        <f>IF(LoanIsGood,IF(ROW()-ROW(PaymentSchedule345[[#Headers],[PMT NO]])&gt;ScheduledNumberOfPayments,"",ROW()-ROW(PaymentSchedule345[[#Headers],[PMT NO]])),"")</f>
        <v>267</v>
      </c>
      <c r="C278" s="20">
        <f>IF(PaymentSchedule345[[#This Row],[PMT NO]]&lt;&gt;"",EOMONTH(LoanStartDate,ROW(PaymentSchedule345[[#This Row],[PMT NO]])-ROW(PaymentSchedule345[[#Headers],[PMT NO]])-2)+DAY(LoanStartDate),"")</f>
        <v>51745</v>
      </c>
      <c r="D27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1321402.3734447211</v>
      </c>
      <c r="E278" s="19">
        <f>IF(PaymentSchedule345[[#This Row],[PMT NO]]&lt;&gt;"",ScheduledPayment,"")</f>
        <v>8991.2567468977813</v>
      </c>
      <c r="F27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7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78" s="19">
        <f>IF(PaymentSchedule345[[#This Row],[PMT NO]]&lt;&gt;"",PaymentSchedule345[[#This Row],[TOTAL PAYMENT]]-PaymentSchedule345[[#This Row],[INTEREST]],"")</f>
        <v>4035.997846480077</v>
      </c>
      <c r="I278" s="19">
        <f>IF(PaymentSchedule345[[#This Row],[PMT NO]]&lt;&gt;"",PaymentSchedule345[[#This Row],[BEGINNING BALANCE]]*(InterestRate/PaymentsPerYear),"")</f>
        <v>4955.2589004177044</v>
      </c>
      <c r="J27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1317366.3755982411</v>
      </c>
      <c r="K278" s="19">
        <f>IF(PaymentSchedule345[[#This Row],[PMT NO]]&lt;&gt;"",SUM(INDEX(PaymentSchedule345[INTEREST],1,1):PaymentSchedule345[[#This Row],[INTEREST]]),"")</f>
        <v>1718031.9270199479</v>
      </c>
    </row>
    <row r="279" spans="2:11" x14ac:dyDescent="0.3">
      <c r="B279" s="21">
        <f>IF(LoanIsGood,IF(ROW()-ROW(PaymentSchedule345[[#Headers],[PMT NO]])&gt;ScheduledNumberOfPayments,"",ROW()-ROW(PaymentSchedule345[[#Headers],[PMT NO]])),"")</f>
        <v>268</v>
      </c>
      <c r="C279" s="20">
        <f>IF(PaymentSchedule345[[#This Row],[PMT NO]]&lt;&gt;"",EOMONTH(LoanStartDate,ROW(PaymentSchedule345[[#This Row],[PMT NO]])-ROW(PaymentSchedule345[[#Headers],[PMT NO]])-2)+DAY(LoanStartDate),"")</f>
        <v>51775</v>
      </c>
      <c r="D27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1317366.3755982411</v>
      </c>
      <c r="E279" s="19">
        <f>IF(PaymentSchedule345[[#This Row],[PMT NO]]&lt;&gt;"",ScheduledPayment,"")</f>
        <v>8991.2567468977813</v>
      </c>
      <c r="F27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7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79" s="19">
        <f>IF(PaymentSchedule345[[#This Row],[PMT NO]]&lt;&gt;"",PaymentSchedule345[[#This Row],[TOTAL PAYMENT]]-PaymentSchedule345[[#This Row],[INTEREST]],"")</f>
        <v>4051.1328384043773</v>
      </c>
      <c r="I279" s="19">
        <f>IF(PaymentSchedule345[[#This Row],[PMT NO]]&lt;&gt;"",PaymentSchedule345[[#This Row],[BEGINNING BALANCE]]*(InterestRate/PaymentsPerYear),"")</f>
        <v>4940.1239084934041</v>
      </c>
      <c r="J27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1313315.2427598368</v>
      </c>
      <c r="K279" s="19">
        <f>IF(PaymentSchedule345[[#This Row],[PMT NO]]&lt;&gt;"",SUM(INDEX(PaymentSchedule345[INTEREST],1,1):PaymentSchedule345[[#This Row],[INTEREST]]),"")</f>
        <v>1722972.0509284413</v>
      </c>
    </row>
    <row r="280" spans="2:11" x14ac:dyDescent="0.3">
      <c r="B280" s="21">
        <f>IF(LoanIsGood,IF(ROW()-ROW(PaymentSchedule345[[#Headers],[PMT NO]])&gt;ScheduledNumberOfPayments,"",ROW()-ROW(PaymentSchedule345[[#Headers],[PMT NO]])),"")</f>
        <v>269</v>
      </c>
      <c r="C280" s="20">
        <f>IF(PaymentSchedule345[[#This Row],[PMT NO]]&lt;&gt;"",EOMONTH(LoanStartDate,ROW(PaymentSchedule345[[#This Row],[PMT NO]])-ROW(PaymentSchedule345[[#Headers],[PMT NO]])-2)+DAY(LoanStartDate),"")</f>
        <v>51806</v>
      </c>
      <c r="D28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1313315.2427598368</v>
      </c>
      <c r="E280" s="19">
        <f>IF(PaymentSchedule345[[#This Row],[PMT NO]]&lt;&gt;"",ScheduledPayment,"")</f>
        <v>8991.2567468977813</v>
      </c>
      <c r="F28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8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80" s="19">
        <f>IF(PaymentSchedule345[[#This Row],[PMT NO]]&lt;&gt;"",PaymentSchedule345[[#This Row],[TOTAL PAYMENT]]-PaymentSchedule345[[#This Row],[INTEREST]],"")</f>
        <v>4066.3245865483932</v>
      </c>
      <c r="I280" s="19">
        <f>IF(PaymentSchedule345[[#This Row],[PMT NO]]&lt;&gt;"",PaymentSchedule345[[#This Row],[BEGINNING BALANCE]]*(InterestRate/PaymentsPerYear),"")</f>
        <v>4924.9321603493881</v>
      </c>
      <c r="J28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1309248.9181732885</v>
      </c>
      <c r="K280" s="19">
        <f>IF(PaymentSchedule345[[#This Row],[PMT NO]]&lt;&gt;"",SUM(INDEX(PaymentSchedule345[INTEREST],1,1):PaymentSchedule345[[#This Row],[INTEREST]]),"")</f>
        <v>1727896.9830887907</v>
      </c>
    </row>
    <row r="281" spans="2:11" x14ac:dyDescent="0.3">
      <c r="B281" s="21">
        <f>IF(LoanIsGood,IF(ROW()-ROW(PaymentSchedule345[[#Headers],[PMT NO]])&gt;ScheduledNumberOfPayments,"",ROW()-ROW(PaymentSchedule345[[#Headers],[PMT NO]])),"")</f>
        <v>270</v>
      </c>
      <c r="C281" s="20">
        <f>IF(PaymentSchedule345[[#This Row],[PMT NO]]&lt;&gt;"",EOMONTH(LoanStartDate,ROW(PaymentSchedule345[[#This Row],[PMT NO]])-ROW(PaymentSchedule345[[#Headers],[PMT NO]])-2)+DAY(LoanStartDate),"")</f>
        <v>51836</v>
      </c>
      <c r="D28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1309248.9181732885</v>
      </c>
      <c r="E281" s="19">
        <f>IF(PaymentSchedule345[[#This Row],[PMT NO]]&lt;&gt;"",ScheduledPayment,"")</f>
        <v>8991.2567468977813</v>
      </c>
      <c r="F28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8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81" s="19">
        <f>IF(PaymentSchedule345[[#This Row],[PMT NO]]&lt;&gt;"",PaymentSchedule345[[#This Row],[TOTAL PAYMENT]]-PaymentSchedule345[[#This Row],[INTEREST]],"")</f>
        <v>4081.5733037479495</v>
      </c>
      <c r="I281" s="19">
        <f>IF(PaymentSchedule345[[#This Row],[PMT NO]]&lt;&gt;"",PaymentSchedule345[[#This Row],[BEGINNING BALANCE]]*(InterestRate/PaymentsPerYear),"")</f>
        <v>4909.6834431498319</v>
      </c>
      <c r="J28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1305167.3448695405</v>
      </c>
      <c r="K281" s="19">
        <f>IF(PaymentSchedule345[[#This Row],[PMT NO]]&lt;&gt;"",SUM(INDEX(PaymentSchedule345[INTEREST],1,1):PaymentSchedule345[[#This Row],[INTEREST]]),"")</f>
        <v>1732806.6665319405</v>
      </c>
    </row>
    <row r="282" spans="2:11" x14ac:dyDescent="0.3">
      <c r="B282" s="21">
        <f>IF(LoanIsGood,IF(ROW()-ROW(PaymentSchedule345[[#Headers],[PMT NO]])&gt;ScheduledNumberOfPayments,"",ROW()-ROW(PaymentSchedule345[[#Headers],[PMT NO]])),"")</f>
        <v>271</v>
      </c>
      <c r="C282" s="20">
        <f>IF(PaymentSchedule345[[#This Row],[PMT NO]]&lt;&gt;"",EOMONTH(LoanStartDate,ROW(PaymentSchedule345[[#This Row],[PMT NO]])-ROW(PaymentSchedule345[[#Headers],[PMT NO]])-2)+DAY(LoanStartDate),"")</f>
        <v>51867</v>
      </c>
      <c r="D28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1305167.3448695405</v>
      </c>
      <c r="E282" s="19">
        <f>IF(PaymentSchedule345[[#This Row],[PMT NO]]&lt;&gt;"",ScheduledPayment,"")</f>
        <v>8991.2567468977813</v>
      </c>
      <c r="F28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8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82" s="19">
        <f>IF(PaymentSchedule345[[#This Row],[PMT NO]]&lt;&gt;"",PaymentSchedule345[[#This Row],[TOTAL PAYMENT]]-PaymentSchedule345[[#This Row],[INTEREST]],"")</f>
        <v>4096.8792036370041</v>
      </c>
      <c r="I282" s="19">
        <f>IF(PaymentSchedule345[[#This Row],[PMT NO]]&lt;&gt;"",PaymentSchedule345[[#This Row],[BEGINNING BALANCE]]*(InterestRate/PaymentsPerYear),"")</f>
        <v>4894.3775432607772</v>
      </c>
      <c r="J28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1301070.4656659036</v>
      </c>
      <c r="K282" s="19">
        <f>IF(PaymentSchedule345[[#This Row],[PMT NO]]&lt;&gt;"",SUM(INDEX(PaymentSchedule345[INTEREST],1,1):PaymentSchedule345[[#This Row],[INTEREST]]),"")</f>
        <v>1737701.0440752013</v>
      </c>
    </row>
    <row r="283" spans="2:11" x14ac:dyDescent="0.3">
      <c r="B283" s="21">
        <f>IF(LoanIsGood,IF(ROW()-ROW(PaymentSchedule345[[#Headers],[PMT NO]])&gt;ScheduledNumberOfPayments,"",ROW()-ROW(PaymentSchedule345[[#Headers],[PMT NO]])),"")</f>
        <v>272</v>
      </c>
      <c r="C283" s="20">
        <f>IF(PaymentSchedule345[[#This Row],[PMT NO]]&lt;&gt;"",EOMONTH(LoanStartDate,ROW(PaymentSchedule345[[#This Row],[PMT NO]])-ROW(PaymentSchedule345[[#Headers],[PMT NO]])-2)+DAY(LoanStartDate),"")</f>
        <v>51898</v>
      </c>
      <c r="D28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1301070.4656659036</v>
      </c>
      <c r="E283" s="19">
        <f>IF(PaymentSchedule345[[#This Row],[PMT NO]]&lt;&gt;"",ScheduledPayment,"")</f>
        <v>8991.2567468977813</v>
      </c>
      <c r="F28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8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83" s="19">
        <f>IF(PaymentSchedule345[[#This Row],[PMT NO]]&lt;&gt;"",PaymentSchedule345[[#This Row],[TOTAL PAYMENT]]-PaymentSchedule345[[#This Row],[INTEREST]],"")</f>
        <v>4112.2425006506428</v>
      </c>
      <c r="I283" s="19">
        <f>IF(PaymentSchedule345[[#This Row],[PMT NO]]&lt;&gt;"",PaymentSchedule345[[#This Row],[BEGINNING BALANCE]]*(InterestRate/PaymentsPerYear),"")</f>
        <v>4879.0142462471385</v>
      </c>
      <c r="J28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1296958.2231652529</v>
      </c>
      <c r="K283" s="19">
        <f>IF(PaymentSchedule345[[#This Row],[PMT NO]]&lt;&gt;"",SUM(INDEX(PaymentSchedule345[INTEREST],1,1):PaymentSchedule345[[#This Row],[INTEREST]]),"")</f>
        <v>1742580.0583214485</v>
      </c>
    </row>
    <row r="284" spans="2:11" x14ac:dyDescent="0.3">
      <c r="B284" s="21">
        <f>IF(LoanIsGood,IF(ROW()-ROW(PaymentSchedule345[[#Headers],[PMT NO]])&gt;ScheduledNumberOfPayments,"",ROW()-ROW(PaymentSchedule345[[#Headers],[PMT NO]])),"")</f>
        <v>273</v>
      </c>
      <c r="C284" s="20">
        <f>IF(PaymentSchedule345[[#This Row],[PMT NO]]&lt;&gt;"",EOMONTH(LoanStartDate,ROW(PaymentSchedule345[[#This Row],[PMT NO]])-ROW(PaymentSchedule345[[#Headers],[PMT NO]])-2)+DAY(LoanStartDate),"")</f>
        <v>51926</v>
      </c>
      <c r="D28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1296958.2231652529</v>
      </c>
      <c r="E284" s="19">
        <f>IF(PaymentSchedule345[[#This Row],[PMT NO]]&lt;&gt;"",ScheduledPayment,"")</f>
        <v>8991.2567468977813</v>
      </c>
      <c r="F28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8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84" s="19">
        <f>IF(PaymentSchedule345[[#This Row],[PMT NO]]&lt;&gt;"",PaymentSchedule345[[#This Row],[TOTAL PAYMENT]]-PaymentSchedule345[[#This Row],[INTEREST]],"")</f>
        <v>4127.6634100280826</v>
      </c>
      <c r="I284" s="19">
        <f>IF(PaymentSchedule345[[#This Row],[PMT NO]]&lt;&gt;"",PaymentSchedule345[[#This Row],[BEGINNING BALANCE]]*(InterestRate/PaymentsPerYear),"")</f>
        <v>4863.5933368696988</v>
      </c>
      <c r="J28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1292830.559755225</v>
      </c>
      <c r="K284" s="19">
        <f>IF(PaymentSchedule345[[#This Row],[PMT NO]]&lt;&gt;"",SUM(INDEX(PaymentSchedule345[INTEREST],1,1):PaymentSchedule345[[#This Row],[INTEREST]]),"")</f>
        <v>1747443.6516583182</v>
      </c>
    </row>
    <row r="285" spans="2:11" x14ac:dyDescent="0.3">
      <c r="B285" s="21">
        <f>IF(LoanIsGood,IF(ROW()-ROW(PaymentSchedule345[[#Headers],[PMT NO]])&gt;ScheduledNumberOfPayments,"",ROW()-ROW(PaymentSchedule345[[#Headers],[PMT NO]])),"")</f>
        <v>274</v>
      </c>
      <c r="C285" s="20">
        <f>IF(PaymentSchedule345[[#This Row],[PMT NO]]&lt;&gt;"",EOMONTH(LoanStartDate,ROW(PaymentSchedule345[[#This Row],[PMT NO]])-ROW(PaymentSchedule345[[#Headers],[PMT NO]])-2)+DAY(LoanStartDate),"")</f>
        <v>51957</v>
      </c>
      <c r="D28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1292830.559755225</v>
      </c>
      <c r="E285" s="19">
        <f>IF(PaymentSchedule345[[#This Row],[PMT NO]]&lt;&gt;"",ScheduledPayment,"")</f>
        <v>8991.2567468977813</v>
      </c>
      <c r="F28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8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85" s="19">
        <f>IF(PaymentSchedule345[[#This Row],[PMT NO]]&lt;&gt;"",PaymentSchedule345[[#This Row],[TOTAL PAYMENT]]-PaymentSchedule345[[#This Row],[INTEREST]],"")</f>
        <v>4143.1421478156881</v>
      </c>
      <c r="I285" s="19">
        <f>IF(PaymentSchedule345[[#This Row],[PMT NO]]&lt;&gt;"",PaymentSchedule345[[#This Row],[BEGINNING BALANCE]]*(InterestRate/PaymentsPerYear),"")</f>
        <v>4848.1145990820933</v>
      </c>
      <c r="J28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1288687.4176074092</v>
      </c>
      <c r="K285" s="19">
        <f>IF(PaymentSchedule345[[#This Row],[PMT NO]]&lt;&gt;"",SUM(INDEX(PaymentSchedule345[INTEREST],1,1):PaymentSchedule345[[#This Row],[INTEREST]]),"")</f>
        <v>1752291.7662574004</v>
      </c>
    </row>
    <row r="286" spans="2:11" x14ac:dyDescent="0.3">
      <c r="B286" s="21">
        <f>IF(LoanIsGood,IF(ROW()-ROW(PaymentSchedule345[[#Headers],[PMT NO]])&gt;ScheduledNumberOfPayments,"",ROW()-ROW(PaymentSchedule345[[#Headers],[PMT NO]])),"")</f>
        <v>275</v>
      </c>
      <c r="C286" s="20">
        <f>IF(PaymentSchedule345[[#This Row],[PMT NO]]&lt;&gt;"",EOMONTH(LoanStartDate,ROW(PaymentSchedule345[[#This Row],[PMT NO]])-ROW(PaymentSchedule345[[#Headers],[PMT NO]])-2)+DAY(LoanStartDate),"")</f>
        <v>51987</v>
      </c>
      <c r="D28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1288687.4176074092</v>
      </c>
      <c r="E286" s="19">
        <f>IF(PaymentSchedule345[[#This Row],[PMT NO]]&lt;&gt;"",ScheduledPayment,"")</f>
        <v>8991.2567468977813</v>
      </c>
      <c r="F28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8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86" s="19">
        <f>IF(PaymentSchedule345[[#This Row],[PMT NO]]&lt;&gt;"",PaymentSchedule345[[#This Row],[TOTAL PAYMENT]]-PaymentSchedule345[[#This Row],[INTEREST]],"")</f>
        <v>4158.6789308699972</v>
      </c>
      <c r="I286" s="19">
        <f>IF(PaymentSchedule345[[#This Row],[PMT NO]]&lt;&gt;"",PaymentSchedule345[[#This Row],[BEGINNING BALANCE]]*(InterestRate/PaymentsPerYear),"")</f>
        <v>4832.5778160277841</v>
      </c>
      <c r="J28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1284528.7386765392</v>
      </c>
      <c r="K286" s="19">
        <f>IF(PaymentSchedule345[[#This Row],[PMT NO]]&lt;&gt;"",SUM(INDEX(PaymentSchedule345[INTEREST],1,1):PaymentSchedule345[[#This Row],[INTEREST]]),"")</f>
        <v>1757124.3440734281</v>
      </c>
    </row>
    <row r="287" spans="2:11" x14ac:dyDescent="0.3">
      <c r="B287" s="21">
        <f>IF(LoanIsGood,IF(ROW()-ROW(PaymentSchedule345[[#Headers],[PMT NO]])&gt;ScheduledNumberOfPayments,"",ROW()-ROW(PaymentSchedule345[[#Headers],[PMT NO]])),"")</f>
        <v>276</v>
      </c>
      <c r="C287" s="20">
        <f>IF(PaymentSchedule345[[#This Row],[PMT NO]]&lt;&gt;"",EOMONTH(LoanStartDate,ROW(PaymentSchedule345[[#This Row],[PMT NO]])-ROW(PaymentSchedule345[[#Headers],[PMT NO]])-2)+DAY(LoanStartDate),"")</f>
        <v>52018</v>
      </c>
      <c r="D28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1284528.7386765392</v>
      </c>
      <c r="E287" s="19">
        <f>IF(PaymentSchedule345[[#This Row],[PMT NO]]&lt;&gt;"",ScheduledPayment,"")</f>
        <v>8991.2567468977813</v>
      </c>
      <c r="F28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8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87" s="19">
        <f>IF(PaymentSchedule345[[#This Row],[PMT NO]]&lt;&gt;"",PaymentSchedule345[[#This Row],[TOTAL PAYMENT]]-PaymentSchedule345[[#This Row],[INTEREST]],"")</f>
        <v>4174.2739768607598</v>
      </c>
      <c r="I287" s="19">
        <f>IF(PaymentSchedule345[[#This Row],[PMT NO]]&lt;&gt;"",PaymentSchedule345[[#This Row],[BEGINNING BALANCE]]*(InterestRate/PaymentsPerYear),"")</f>
        <v>4816.9827700370215</v>
      </c>
      <c r="J28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1280354.4646996784</v>
      </c>
      <c r="K287" s="19">
        <f>IF(PaymentSchedule345[[#This Row],[PMT NO]]&lt;&gt;"",SUM(INDEX(PaymentSchedule345[INTEREST],1,1):PaymentSchedule345[[#This Row],[INTEREST]]),"")</f>
        <v>1761941.326843465</v>
      </c>
    </row>
    <row r="288" spans="2:11" x14ac:dyDescent="0.3">
      <c r="B288" s="21">
        <f>IF(LoanIsGood,IF(ROW()-ROW(PaymentSchedule345[[#Headers],[PMT NO]])&gt;ScheduledNumberOfPayments,"",ROW()-ROW(PaymentSchedule345[[#Headers],[PMT NO]])),"")</f>
        <v>277</v>
      </c>
      <c r="C288" s="20">
        <f>IF(PaymentSchedule345[[#This Row],[PMT NO]]&lt;&gt;"",EOMONTH(LoanStartDate,ROW(PaymentSchedule345[[#This Row],[PMT NO]])-ROW(PaymentSchedule345[[#Headers],[PMT NO]])-2)+DAY(LoanStartDate),"")</f>
        <v>52048</v>
      </c>
      <c r="D28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1280354.4646996784</v>
      </c>
      <c r="E288" s="19">
        <f>IF(PaymentSchedule345[[#This Row],[PMT NO]]&lt;&gt;"",ScheduledPayment,"")</f>
        <v>8991.2567468977813</v>
      </c>
      <c r="F28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8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88" s="19">
        <f>IF(PaymentSchedule345[[#This Row],[PMT NO]]&lt;&gt;"",PaymentSchedule345[[#This Row],[TOTAL PAYMENT]]-PaymentSchedule345[[#This Row],[INTEREST]],"")</f>
        <v>4189.9275042739873</v>
      </c>
      <c r="I288" s="19">
        <f>IF(PaymentSchedule345[[#This Row],[PMT NO]]&lt;&gt;"",PaymentSchedule345[[#This Row],[BEGINNING BALANCE]]*(InterestRate/PaymentsPerYear),"")</f>
        <v>4801.329242623794</v>
      </c>
      <c r="J28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1276164.5371954043</v>
      </c>
      <c r="K288" s="19">
        <f>IF(PaymentSchedule345[[#This Row],[PMT NO]]&lt;&gt;"",SUM(INDEX(PaymentSchedule345[INTEREST],1,1):PaymentSchedule345[[#This Row],[INTEREST]]),"")</f>
        <v>1766742.6560860889</v>
      </c>
    </row>
    <row r="289" spans="2:11" x14ac:dyDescent="0.3">
      <c r="B289" s="21">
        <f>IF(LoanIsGood,IF(ROW()-ROW(PaymentSchedule345[[#Headers],[PMT NO]])&gt;ScheduledNumberOfPayments,"",ROW()-ROW(PaymentSchedule345[[#Headers],[PMT NO]])),"")</f>
        <v>278</v>
      </c>
      <c r="C289" s="20">
        <f>IF(PaymentSchedule345[[#This Row],[PMT NO]]&lt;&gt;"",EOMONTH(LoanStartDate,ROW(PaymentSchedule345[[#This Row],[PMT NO]])-ROW(PaymentSchedule345[[#Headers],[PMT NO]])-2)+DAY(LoanStartDate),"")</f>
        <v>52079</v>
      </c>
      <c r="D28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1276164.5371954043</v>
      </c>
      <c r="E289" s="19">
        <f>IF(PaymentSchedule345[[#This Row],[PMT NO]]&lt;&gt;"",ScheduledPayment,"")</f>
        <v>8991.2567468977813</v>
      </c>
      <c r="F28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8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89" s="19">
        <f>IF(PaymentSchedule345[[#This Row],[PMT NO]]&lt;&gt;"",PaymentSchedule345[[#This Row],[TOTAL PAYMENT]]-PaymentSchedule345[[#This Row],[INTEREST]],"")</f>
        <v>4205.6397324150157</v>
      </c>
      <c r="I289" s="19">
        <f>IF(PaymentSchedule345[[#This Row],[PMT NO]]&lt;&gt;"",PaymentSchedule345[[#This Row],[BEGINNING BALANCE]]*(InterestRate/PaymentsPerYear),"")</f>
        <v>4785.6170144827656</v>
      </c>
      <c r="J28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1271958.8974629892</v>
      </c>
      <c r="K289" s="19">
        <f>IF(PaymentSchedule345[[#This Row],[PMT NO]]&lt;&gt;"",SUM(INDEX(PaymentSchedule345[INTEREST],1,1):PaymentSchedule345[[#This Row],[INTEREST]]),"")</f>
        <v>1771528.2731005717</v>
      </c>
    </row>
    <row r="290" spans="2:11" x14ac:dyDescent="0.3">
      <c r="B290" s="21">
        <f>IF(LoanIsGood,IF(ROW()-ROW(PaymentSchedule345[[#Headers],[PMT NO]])&gt;ScheduledNumberOfPayments,"",ROW()-ROW(PaymentSchedule345[[#Headers],[PMT NO]])),"")</f>
        <v>279</v>
      </c>
      <c r="C290" s="20">
        <f>IF(PaymentSchedule345[[#This Row],[PMT NO]]&lt;&gt;"",EOMONTH(LoanStartDate,ROW(PaymentSchedule345[[#This Row],[PMT NO]])-ROW(PaymentSchedule345[[#Headers],[PMT NO]])-2)+DAY(LoanStartDate),"")</f>
        <v>52110</v>
      </c>
      <c r="D29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1271958.8974629892</v>
      </c>
      <c r="E290" s="19">
        <f>IF(PaymentSchedule345[[#This Row],[PMT NO]]&lt;&gt;"",ScheduledPayment,"")</f>
        <v>8991.2567468977813</v>
      </c>
      <c r="F29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9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90" s="19">
        <f>IF(PaymentSchedule345[[#This Row],[PMT NO]]&lt;&gt;"",PaymentSchedule345[[#This Row],[TOTAL PAYMENT]]-PaymentSchedule345[[#This Row],[INTEREST]],"")</f>
        <v>4221.4108814115716</v>
      </c>
      <c r="I290" s="19">
        <f>IF(PaymentSchedule345[[#This Row],[PMT NO]]&lt;&gt;"",PaymentSchedule345[[#This Row],[BEGINNING BALANCE]]*(InterestRate/PaymentsPerYear),"")</f>
        <v>4769.8458654862097</v>
      </c>
      <c r="J29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1267737.4865815777</v>
      </c>
      <c r="K290" s="19">
        <f>IF(PaymentSchedule345[[#This Row],[PMT NO]]&lt;&gt;"",SUM(INDEX(PaymentSchedule345[INTEREST],1,1):PaymentSchedule345[[#This Row],[INTEREST]]),"")</f>
        <v>1776298.1189660579</v>
      </c>
    </row>
    <row r="291" spans="2:11" x14ac:dyDescent="0.3">
      <c r="B291" s="21">
        <f>IF(LoanIsGood,IF(ROW()-ROW(PaymentSchedule345[[#Headers],[PMT NO]])&gt;ScheduledNumberOfPayments,"",ROW()-ROW(PaymentSchedule345[[#Headers],[PMT NO]])),"")</f>
        <v>280</v>
      </c>
      <c r="C291" s="20">
        <f>IF(PaymentSchedule345[[#This Row],[PMT NO]]&lt;&gt;"",EOMONTH(LoanStartDate,ROW(PaymentSchedule345[[#This Row],[PMT NO]])-ROW(PaymentSchedule345[[#Headers],[PMT NO]])-2)+DAY(LoanStartDate),"")</f>
        <v>52140</v>
      </c>
      <c r="D29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1267737.4865815777</v>
      </c>
      <c r="E291" s="19">
        <f>IF(PaymentSchedule345[[#This Row],[PMT NO]]&lt;&gt;"",ScheduledPayment,"")</f>
        <v>8991.2567468977813</v>
      </c>
      <c r="F29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9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91" s="19">
        <f>IF(PaymentSchedule345[[#This Row],[PMT NO]]&lt;&gt;"",PaymentSchedule345[[#This Row],[TOTAL PAYMENT]]-PaymentSchedule345[[#This Row],[INTEREST]],"")</f>
        <v>4237.2411722168654</v>
      </c>
      <c r="I291" s="19">
        <f>IF(PaymentSchedule345[[#This Row],[PMT NO]]&lt;&gt;"",PaymentSchedule345[[#This Row],[BEGINNING BALANCE]]*(InterestRate/PaymentsPerYear),"")</f>
        <v>4754.015574680916</v>
      </c>
      <c r="J29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1263500.2454093609</v>
      </c>
      <c r="K291" s="19">
        <f>IF(PaymentSchedule345[[#This Row],[PMT NO]]&lt;&gt;"",SUM(INDEX(PaymentSchedule345[INTEREST],1,1):PaymentSchedule345[[#This Row],[INTEREST]]),"")</f>
        <v>1781052.1345407388</v>
      </c>
    </row>
    <row r="292" spans="2:11" x14ac:dyDescent="0.3">
      <c r="B292" s="21">
        <f>IF(LoanIsGood,IF(ROW()-ROW(PaymentSchedule345[[#Headers],[PMT NO]])&gt;ScheduledNumberOfPayments,"",ROW()-ROW(PaymentSchedule345[[#Headers],[PMT NO]])),"")</f>
        <v>281</v>
      </c>
      <c r="C292" s="20">
        <f>IF(PaymentSchedule345[[#This Row],[PMT NO]]&lt;&gt;"",EOMONTH(LoanStartDate,ROW(PaymentSchedule345[[#This Row],[PMT NO]])-ROW(PaymentSchedule345[[#Headers],[PMT NO]])-2)+DAY(LoanStartDate),"")</f>
        <v>52171</v>
      </c>
      <c r="D29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1263500.2454093609</v>
      </c>
      <c r="E292" s="19">
        <f>IF(PaymentSchedule345[[#This Row],[PMT NO]]&lt;&gt;"",ScheduledPayment,"")</f>
        <v>8991.2567468977813</v>
      </c>
      <c r="F29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9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92" s="19">
        <f>IF(PaymentSchedule345[[#This Row],[PMT NO]]&lt;&gt;"",PaymentSchedule345[[#This Row],[TOTAL PAYMENT]]-PaymentSchedule345[[#This Row],[INTEREST]],"")</f>
        <v>4253.130826612678</v>
      </c>
      <c r="I292" s="19">
        <f>IF(PaymentSchedule345[[#This Row],[PMT NO]]&lt;&gt;"",PaymentSchedule345[[#This Row],[BEGINNING BALANCE]]*(InterestRate/PaymentsPerYear),"")</f>
        <v>4738.1259202851033</v>
      </c>
      <c r="J29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1259247.1145827482</v>
      </c>
      <c r="K292" s="19">
        <f>IF(PaymentSchedule345[[#This Row],[PMT NO]]&lt;&gt;"",SUM(INDEX(PaymentSchedule345[INTEREST],1,1):PaymentSchedule345[[#This Row],[INTEREST]]),"")</f>
        <v>1785790.2604610238</v>
      </c>
    </row>
    <row r="293" spans="2:11" x14ac:dyDescent="0.3">
      <c r="B293" s="21">
        <f>IF(LoanIsGood,IF(ROW()-ROW(PaymentSchedule345[[#Headers],[PMT NO]])&gt;ScheduledNumberOfPayments,"",ROW()-ROW(PaymentSchedule345[[#Headers],[PMT NO]])),"")</f>
        <v>282</v>
      </c>
      <c r="C293" s="20">
        <f>IF(PaymentSchedule345[[#This Row],[PMT NO]]&lt;&gt;"",EOMONTH(LoanStartDate,ROW(PaymentSchedule345[[#This Row],[PMT NO]])-ROW(PaymentSchedule345[[#Headers],[PMT NO]])-2)+DAY(LoanStartDate),"")</f>
        <v>52201</v>
      </c>
      <c r="D29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1259247.1145827482</v>
      </c>
      <c r="E293" s="19">
        <f>IF(PaymentSchedule345[[#This Row],[PMT NO]]&lt;&gt;"",ScheduledPayment,"")</f>
        <v>8991.2567468977813</v>
      </c>
      <c r="F29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9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93" s="19">
        <f>IF(PaymentSchedule345[[#This Row],[PMT NO]]&lt;&gt;"",PaymentSchedule345[[#This Row],[TOTAL PAYMENT]]-PaymentSchedule345[[#This Row],[INTEREST]],"")</f>
        <v>4269.080067212476</v>
      </c>
      <c r="I293" s="19">
        <f>IF(PaymentSchedule345[[#This Row],[PMT NO]]&lt;&gt;"",PaymentSchedule345[[#This Row],[BEGINNING BALANCE]]*(InterestRate/PaymentsPerYear),"")</f>
        <v>4722.1766796853053</v>
      </c>
      <c r="J29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1254978.0345155357</v>
      </c>
      <c r="K293" s="19">
        <f>IF(PaymentSchedule345[[#This Row],[PMT NO]]&lt;&gt;"",SUM(INDEX(PaymentSchedule345[INTEREST],1,1):PaymentSchedule345[[#This Row],[INTEREST]]),"")</f>
        <v>1790512.437140709</v>
      </c>
    </row>
    <row r="294" spans="2:11" x14ac:dyDescent="0.3">
      <c r="B294" s="21">
        <f>IF(LoanIsGood,IF(ROW()-ROW(PaymentSchedule345[[#Headers],[PMT NO]])&gt;ScheduledNumberOfPayments,"",ROW()-ROW(PaymentSchedule345[[#Headers],[PMT NO]])),"")</f>
        <v>283</v>
      </c>
      <c r="C294" s="20">
        <f>IF(PaymentSchedule345[[#This Row],[PMT NO]]&lt;&gt;"",EOMONTH(LoanStartDate,ROW(PaymentSchedule345[[#This Row],[PMT NO]])-ROW(PaymentSchedule345[[#Headers],[PMT NO]])-2)+DAY(LoanStartDate),"")</f>
        <v>52232</v>
      </c>
      <c r="D29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1254978.0345155357</v>
      </c>
      <c r="E294" s="19">
        <f>IF(PaymentSchedule345[[#This Row],[PMT NO]]&lt;&gt;"",ScheduledPayment,"")</f>
        <v>8991.2567468977813</v>
      </c>
      <c r="F29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9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94" s="19">
        <f>IF(PaymentSchedule345[[#This Row],[PMT NO]]&lt;&gt;"",PaymentSchedule345[[#This Row],[TOTAL PAYMENT]]-PaymentSchedule345[[#This Row],[INTEREST]],"")</f>
        <v>4285.089117464523</v>
      </c>
      <c r="I294" s="19">
        <f>IF(PaymentSchedule345[[#This Row],[PMT NO]]&lt;&gt;"",PaymentSchedule345[[#This Row],[BEGINNING BALANCE]]*(InterestRate/PaymentsPerYear),"")</f>
        <v>4706.1676294332583</v>
      </c>
      <c r="J29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1250692.9453980711</v>
      </c>
      <c r="K294" s="19">
        <f>IF(PaymentSchedule345[[#This Row],[PMT NO]]&lt;&gt;"",SUM(INDEX(PaymentSchedule345[INTEREST],1,1):PaymentSchedule345[[#This Row],[INTEREST]]),"")</f>
        <v>1795218.6047701424</v>
      </c>
    </row>
    <row r="295" spans="2:11" x14ac:dyDescent="0.3">
      <c r="B295" s="21">
        <f>IF(LoanIsGood,IF(ROW()-ROW(PaymentSchedule345[[#Headers],[PMT NO]])&gt;ScheduledNumberOfPayments,"",ROW()-ROW(PaymentSchedule345[[#Headers],[PMT NO]])),"")</f>
        <v>284</v>
      </c>
      <c r="C295" s="20">
        <f>IF(PaymentSchedule345[[#This Row],[PMT NO]]&lt;&gt;"",EOMONTH(LoanStartDate,ROW(PaymentSchedule345[[#This Row],[PMT NO]])-ROW(PaymentSchedule345[[#Headers],[PMT NO]])-2)+DAY(LoanStartDate),"")</f>
        <v>52263</v>
      </c>
      <c r="D29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1250692.9453980711</v>
      </c>
      <c r="E295" s="19">
        <f>IF(PaymentSchedule345[[#This Row],[PMT NO]]&lt;&gt;"",ScheduledPayment,"")</f>
        <v>8991.2567468977813</v>
      </c>
      <c r="F29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9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95" s="19">
        <f>IF(PaymentSchedule345[[#This Row],[PMT NO]]&lt;&gt;"",PaymentSchedule345[[#This Row],[TOTAL PAYMENT]]-PaymentSchedule345[[#This Row],[INTEREST]],"")</f>
        <v>4301.1582016550146</v>
      </c>
      <c r="I295" s="19">
        <f>IF(PaymentSchedule345[[#This Row],[PMT NO]]&lt;&gt;"",PaymentSchedule345[[#This Row],[BEGINNING BALANCE]]*(InterestRate/PaymentsPerYear),"")</f>
        <v>4690.0985452427667</v>
      </c>
      <c r="J29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1246391.7871964162</v>
      </c>
      <c r="K295" s="19">
        <f>IF(PaymentSchedule345[[#This Row],[PMT NO]]&lt;&gt;"",SUM(INDEX(PaymentSchedule345[INTEREST],1,1):PaymentSchedule345[[#This Row],[INTEREST]]),"")</f>
        <v>1799908.7033153852</v>
      </c>
    </row>
    <row r="296" spans="2:11" x14ac:dyDescent="0.3">
      <c r="B296" s="21">
        <f>IF(LoanIsGood,IF(ROW()-ROW(PaymentSchedule345[[#Headers],[PMT NO]])&gt;ScheduledNumberOfPayments,"",ROW()-ROW(PaymentSchedule345[[#Headers],[PMT NO]])),"")</f>
        <v>285</v>
      </c>
      <c r="C296" s="20">
        <f>IF(PaymentSchedule345[[#This Row],[PMT NO]]&lt;&gt;"",EOMONTH(LoanStartDate,ROW(PaymentSchedule345[[#This Row],[PMT NO]])-ROW(PaymentSchedule345[[#Headers],[PMT NO]])-2)+DAY(LoanStartDate),"")</f>
        <v>52291</v>
      </c>
      <c r="D29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1246391.7871964162</v>
      </c>
      <c r="E296" s="19">
        <f>IF(PaymentSchedule345[[#This Row],[PMT NO]]&lt;&gt;"",ScheduledPayment,"")</f>
        <v>8991.2567468977813</v>
      </c>
      <c r="F29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9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96" s="19">
        <f>IF(PaymentSchedule345[[#This Row],[PMT NO]]&lt;&gt;"",PaymentSchedule345[[#This Row],[TOTAL PAYMENT]]-PaymentSchedule345[[#This Row],[INTEREST]],"")</f>
        <v>4317.2875449112207</v>
      </c>
      <c r="I296" s="19">
        <f>IF(PaymentSchedule345[[#This Row],[PMT NO]]&lt;&gt;"",PaymentSchedule345[[#This Row],[BEGINNING BALANCE]]*(InterestRate/PaymentsPerYear),"")</f>
        <v>4673.9692019865606</v>
      </c>
      <c r="J29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1242074.4996515049</v>
      </c>
      <c r="K296" s="19">
        <f>IF(PaymentSchedule345[[#This Row],[PMT NO]]&lt;&gt;"",SUM(INDEX(PaymentSchedule345[INTEREST],1,1):PaymentSchedule345[[#This Row],[INTEREST]]),"")</f>
        <v>1804582.6725173716</v>
      </c>
    </row>
    <row r="297" spans="2:11" x14ac:dyDescent="0.3">
      <c r="B297" s="21">
        <f>IF(LoanIsGood,IF(ROW()-ROW(PaymentSchedule345[[#Headers],[PMT NO]])&gt;ScheduledNumberOfPayments,"",ROW()-ROW(PaymentSchedule345[[#Headers],[PMT NO]])),"")</f>
        <v>286</v>
      </c>
      <c r="C297" s="20">
        <f>IF(PaymentSchedule345[[#This Row],[PMT NO]]&lt;&gt;"",EOMONTH(LoanStartDate,ROW(PaymentSchedule345[[#This Row],[PMT NO]])-ROW(PaymentSchedule345[[#Headers],[PMT NO]])-2)+DAY(LoanStartDate),"")</f>
        <v>52322</v>
      </c>
      <c r="D29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1242074.4996515049</v>
      </c>
      <c r="E297" s="19">
        <f>IF(PaymentSchedule345[[#This Row],[PMT NO]]&lt;&gt;"",ScheduledPayment,"")</f>
        <v>8991.2567468977813</v>
      </c>
      <c r="F29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9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97" s="19">
        <f>IF(PaymentSchedule345[[#This Row],[PMT NO]]&lt;&gt;"",PaymentSchedule345[[#This Row],[TOTAL PAYMENT]]-PaymentSchedule345[[#This Row],[INTEREST]],"")</f>
        <v>4333.4773732046378</v>
      </c>
      <c r="I297" s="19">
        <f>IF(PaymentSchedule345[[#This Row],[PMT NO]]&lt;&gt;"",PaymentSchedule345[[#This Row],[BEGINNING BALANCE]]*(InterestRate/PaymentsPerYear),"")</f>
        <v>4657.7793736931435</v>
      </c>
      <c r="J29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1237741.0222783003</v>
      </c>
      <c r="K297" s="19">
        <f>IF(PaymentSchedule345[[#This Row],[PMT NO]]&lt;&gt;"",SUM(INDEX(PaymentSchedule345[INTEREST],1,1):PaymentSchedule345[[#This Row],[INTEREST]]),"")</f>
        <v>1809240.4518910646</v>
      </c>
    </row>
    <row r="298" spans="2:11" x14ac:dyDescent="0.3">
      <c r="B298" s="21">
        <f>IF(LoanIsGood,IF(ROW()-ROW(PaymentSchedule345[[#Headers],[PMT NO]])&gt;ScheduledNumberOfPayments,"",ROW()-ROW(PaymentSchedule345[[#Headers],[PMT NO]])),"")</f>
        <v>287</v>
      </c>
      <c r="C298" s="20">
        <f>IF(PaymentSchedule345[[#This Row],[PMT NO]]&lt;&gt;"",EOMONTH(LoanStartDate,ROW(PaymentSchedule345[[#This Row],[PMT NO]])-ROW(PaymentSchedule345[[#Headers],[PMT NO]])-2)+DAY(LoanStartDate),"")</f>
        <v>52352</v>
      </c>
      <c r="D29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1237741.0222783003</v>
      </c>
      <c r="E298" s="19">
        <f>IF(PaymentSchedule345[[#This Row],[PMT NO]]&lt;&gt;"",ScheduledPayment,"")</f>
        <v>8991.2567468977813</v>
      </c>
      <c r="F29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9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98" s="19">
        <f>IF(PaymentSchedule345[[#This Row],[PMT NO]]&lt;&gt;"",PaymentSchedule345[[#This Row],[TOTAL PAYMENT]]-PaymentSchedule345[[#This Row],[INTEREST]],"")</f>
        <v>4349.7279133541551</v>
      </c>
      <c r="I298" s="19">
        <f>IF(PaymentSchedule345[[#This Row],[PMT NO]]&lt;&gt;"",PaymentSchedule345[[#This Row],[BEGINNING BALANCE]]*(InterestRate/PaymentsPerYear),"")</f>
        <v>4641.5288335436262</v>
      </c>
      <c r="J29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1233391.2943649462</v>
      </c>
      <c r="K298" s="19">
        <f>IF(PaymentSchedule345[[#This Row],[PMT NO]]&lt;&gt;"",SUM(INDEX(PaymentSchedule345[INTEREST],1,1):PaymentSchedule345[[#This Row],[INTEREST]]),"")</f>
        <v>1813881.9807246083</v>
      </c>
    </row>
    <row r="299" spans="2:11" x14ac:dyDescent="0.3">
      <c r="B299" s="21">
        <f>IF(LoanIsGood,IF(ROW()-ROW(PaymentSchedule345[[#Headers],[PMT NO]])&gt;ScheduledNumberOfPayments,"",ROW()-ROW(PaymentSchedule345[[#Headers],[PMT NO]])),"")</f>
        <v>288</v>
      </c>
      <c r="C299" s="20">
        <f>IF(PaymentSchedule345[[#This Row],[PMT NO]]&lt;&gt;"",EOMONTH(LoanStartDate,ROW(PaymentSchedule345[[#This Row],[PMT NO]])-ROW(PaymentSchedule345[[#Headers],[PMT NO]])-2)+DAY(LoanStartDate),"")</f>
        <v>52383</v>
      </c>
      <c r="D29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1233391.2943649462</v>
      </c>
      <c r="E299" s="19">
        <f>IF(PaymentSchedule345[[#This Row],[PMT NO]]&lt;&gt;"",ScheduledPayment,"")</f>
        <v>8991.2567468977813</v>
      </c>
      <c r="F29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29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299" s="19">
        <f>IF(PaymentSchedule345[[#This Row],[PMT NO]]&lt;&gt;"",PaymentSchedule345[[#This Row],[TOTAL PAYMENT]]-PaymentSchedule345[[#This Row],[INTEREST]],"")</f>
        <v>4366.039393029233</v>
      </c>
      <c r="I299" s="19">
        <f>IF(PaymentSchedule345[[#This Row],[PMT NO]]&lt;&gt;"",PaymentSchedule345[[#This Row],[BEGINNING BALANCE]]*(InterestRate/PaymentsPerYear),"")</f>
        <v>4625.2173538685483</v>
      </c>
      <c r="J29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1229025.254971917</v>
      </c>
      <c r="K299" s="19">
        <f>IF(PaymentSchedule345[[#This Row],[PMT NO]]&lt;&gt;"",SUM(INDEX(PaymentSchedule345[INTEREST],1,1):PaymentSchedule345[[#This Row],[INTEREST]]),"")</f>
        <v>1818507.1980784768</v>
      </c>
    </row>
    <row r="300" spans="2:11" x14ac:dyDescent="0.3">
      <c r="B300" s="21">
        <f>IF(LoanIsGood,IF(ROW()-ROW(PaymentSchedule345[[#Headers],[PMT NO]])&gt;ScheduledNumberOfPayments,"",ROW()-ROW(PaymentSchedule345[[#Headers],[PMT NO]])),"")</f>
        <v>289</v>
      </c>
      <c r="C300" s="20">
        <f>IF(PaymentSchedule345[[#This Row],[PMT NO]]&lt;&gt;"",EOMONTH(LoanStartDate,ROW(PaymentSchedule345[[#This Row],[PMT NO]])-ROW(PaymentSchedule345[[#Headers],[PMT NO]])-2)+DAY(LoanStartDate),"")</f>
        <v>52413</v>
      </c>
      <c r="D30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1229025.254971917</v>
      </c>
      <c r="E300" s="19">
        <f>IF(PaymentSchedule345[[#This Row],[PMT NO]]&lt;&gt;"",ScheduledPayment,"")</f>
        <v>8991.2567468977813</v>
      </c>
      <c r="F30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0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00" s="19">
        <f>IF(PaymentSchedule345[[#This Row],[PMT NO]]&lt;&gt;"",PaymentSchedule345[[#This Row],[TOTAL PAYMENT]]-PaymentSchedule345[[#This Row],[INTEREST]],"")</f>
        <v>4382.4120407530927</v>
      </c>
      <c r="I300" s="19">
        <f>IF(PaymentSchedule345[[#This Row],[PMT NO]]&lt;&gt;"",PaymentSchedule345[[#This Row],[BEGINNING BALANCE]]*(InterestRate/PaymentsPerYear),"")</f>
        <v>4608.8447061446886</v>
      </c>
      <c r="J30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1224642.842931164</v>
      </c>
      <c r="K300" s="19">
        <f>IF(PaymentSchedule345[[#This Row],[PMT NO]]&lt;&gt;"",SUM(INDEX(PaymentSchedule345[INTEREST],1,1):PaymentSchedule345[[#This Row],[INTEREST]]),"")</f>
        <v>1823116.0427846215</v>
      </c>
    </row>
    <row r="301" spans="2:11" x14ac:dyDescent="0.3">
      <c r="B301" s="21">
        <f>IF(LoanIsGood,IF(ROW()-ROW(PaymentSchedule345[[#Headers],[PMT NO]])&gt;ScheduledNumberOfPayments,"",ROW()-ROW(PaymentSchedule345[[#Headers],[PMT NO]])),"")</f>
        <v>290</v>
      </c>
      <c r="C301" s="20">
        <f>IF(PaymentSchedule345[[#This Row],[PMT NO]]&lt;&gt;"",EOMONTH(LoanStartDate,ROW(PaymentSchedule345[[#This Row],[PMT NO]])-ROW(PaymentSchedule345[[#Headers],[PMT NO]])-2)+DAY(LoanStartDate),"")</f>
        <v>52444</v>
      </c>
      <c r="D30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1224642.842931164</v>
      </c>
      <c r="E301" s="19">
        <f>IF(PaymentSchedule345[[#This Row],[PMT NO]]&lt;&gt;"",ScheduledPayment,"")</f>
        <v>8991.2567468977813</v>
      </c>
      <c r="F30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0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01" s="19">
        <f>IF(PaymentSchedule345[[#This Row],[PMT NO]]&lt;&gt;"",PaymentSchedule345[[#This Row],[TOTAL PAYMENT]]-PaymentSchedule345[[#This Row],[INTEREST]],"")</f>
        <v>4398.8460859059169</v>
      </c>
      <c r="I301" s="19">
        <f>IF(PaymentSchedule345[[#This Row],[PMT NO]]&lt;&gt;"",PaymentSchedule345[[#This Row],[BEGINNING BALANCE]]*(InterestRate/PaymentsPerYear),"")</f>
        <v>4592.4106609918645</v>
      </c>
      <c r="J30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1220243.9968452579</v>
      </c>
      <c r="K301" s="19">
        <f>IF(PaymentSchedule345[[#This Row],[PMT NO]]&lt;&gt;"",SUM(INDEX(PaymentSchedule345[INTEREST],1,1):PaymentSchedule345[[#This Row],[INTEREST]]),"")</f>
        <v>1827708.4534456134</v>
      </c>
    </row>
    <row r="302" spans="2:11" x14ac:dyDescent="0.3">
      <c r="B302" s="21">
        <f>IF(LoanIsGood,IF(ROW()-ROW(PaymentSchedule345[[#Headers],[PMT NO]])&gt;ScheduledNumberOfPayments,"",ROW()-ROW(PaymentSchedule345[[#Headers],[PMT NO]])),"")</f>
        <v>291</v>
      </c>
      <c r="C302" s="20">
        <f>IF(PaymentSchedule345[[#This Row],[PMT NO]]&lt;&gt;"",EOMONTH(LoanStartDate,ROW(PaymentSchedule345[[#This Row],[PMT NO]])-ROW(PaymentSchedule345[[#Headers],[PMT NO]])-2)+DAY(LoanStartDate),"")</f>
        <v>52475</v>
      </c>
      <c r="D30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1220243.9968452579</v>
      </c>
      <c r="E302" s="19">
        <f>IF(PaymentSchedule345[[#This Row],[PMT NO]]&lt;&gt;"",ScheduledPayment,"")</f>
        <v>8991.2567468977813</v>
      </c>
      <c r="F30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0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02" s="19">
        <f>IF(PaymentSchedule345[[#This Row],[PMT NO]]&lt;&gt;"",PaymentSchedule345[[#This Row],[TOTAL PAYMENT]]-PaymentSchedule345[[#This Row],[INTEREST]],"")</f>
        <v>4415.3417587280646</v>
      </c>
      <c r="I302" s="19">
        <f>IF(PaymentSchedule345[[#This Row],[PMT NO]]&lt;&gt;"",PaymentSchedule345[[#This Row],[BEGINNING BALANCE]]*(InterestRate/PaymentsPerYear),"")</f>
        <v>4575.9149881697167</v>
      </c>
      <c r="J30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1215828.6550865299</v>
      </c>
      <c r="K302" s="19">
        <f>IF(PaymentSchedule345[[#This Row],[PMT NO]]&lt;&gt;"",SUM(INDEX(PaymentSchedule345[INTEREST],1,1):PaymentSchedule345[[#This Row],[INTEREST]]),"")</f>
        <v>1832284.3684337831</v>
      </c>
    </row>
    <row r="303" spans="2:11" x14ac:dyDescent="0.3">
      <c r="B303" s="21">
        <f>IF(LoanIsGood,IF(ROW()-ROW(PaymentSchedule345[[#Headers],[PMT NO]])&gt;ScheduledNumberOfPayments,"",ROW()-ROW(PaymentSchedule345[[#Headers],[PMT NO]])),"")</f>
        <v>292</v>
      </c>
      <c r="C303" s="20">
        <f>IF(PaymentSchedule345[[#This Row],[PMT NO]]&lt;&gt;"",EOMONTH(LoanStartDate,ROW(PaymentSchedule345[[#This Row],[PMT NO]])-ROW(PaymentSchedule345[[#Headers],[PMT NO]])-2)+DAY(LoanStartDate),"")</f>
        <v>52505</v>
      </c>
      <c r="D30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1215828.6550865299</v>
      </c>
      <c r="E303" s="19">
        <f>IF(PaymentSchedule345[[#This Row],[PMT NO]]&lt;&gt;"",ScheduledPayment,"")</f>
        <v>8991.2567468977813</v>
      </c>
      <c r="F30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0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03" s="19">
        <f>IF(PaymentSchedule345[[#This Row],[PMT NO]]&lt;&gt;"",PaymentSchedule345[[#This Row],[TOTAL PAYMENT]]-PaymentSchedule345[[#This Row],[INTEREST]],"")</f>
        <v>4431.8992903232947</v>
      </c>
      <c r="I303" s="19">
        <f>IF(PaymentSchedule345[[#This Row],[PMT NO]]&lt;&gt;"",PaymentSchedule345[[#This Row],[BEGINNING BALANCE]]*(InterestRate/PaymentsPerYear),"")</f>
        <v>4559.3574565744866</v>
      </c>
      <c r="J30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1211396.7557962066</v>
      </c>
      <c r="K303" s="19">
        <f>IF(PaymentSchedule345[[#This Row],[PMT NO]]&lt;&gt;"",SUM(INDEX(PaymentSchedule345[INTEREST],1,1):PaymentSchedule345[[#This Row],[INTEREST]]),"")</f>
        <v>1836843.7258903575</v>
      </c>
    </row>
    <row r="304" spans="2:11" x14ac:dyDescent="0.3">
      <c r="B304" s="21">
        <f>IF(LoanIsGood,IF(ROW()-ROW(PaymentSchedule345[[#Headers],[PMT NO]])&gt;ScheduledNumberOfPayments,"",ROW()-ROW(PaymentSchedule345[[#Headers],[PMT NO]])),"")</f>
        <v>293</v>
      </c>
      <c r="C304" s="20">
        <f>IF(PaymentSchedule345[[#This Row],[PMT NO]]&lt;&gt;"",EOMONTH(LoanStartDate,ROW(PaymentSchedule345[[#This Row],[PMT NO]])-ROW(PaymentSchedule345[[#Headers],[PMT NO]])-2)+DAY(LoanStartDate),"")</f>
        <v>52536</v>
      </c>
      <c r="D30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1211396.7557962066</v>
      </c>
      <c r="E304" s="19">
        <f>IF(PaymentSchedule345[[#This Row],[PMT NO]]&lt;&gt;"",ScheduledPayment,"")</f>
        <v>8991.2567468977813</v>
      </c>
      <c r="F30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0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04" s="19">
        <f>IF(PaymentSchedule345[[#This Row],[PMT NO]]&lt;&gt;"",PaymentSchedule345[[#This Row],[TOTAL PAYMENT]]-PaymentSchedule345[[#This Row],[INTEREST]],"")</f>
        <v>4448.5189126620062</v>
      </c>
      <c r="I304" s="19">
        <f>IF(PaymentSchedule345[[#This Row],[PMT NO]]&lt;&gt;"",PaymentSchedule345[[#This Row],[BEGINNING BALANCE]]*(InterestRate/PaymentsPerYear),"")</f>
        <v>4542.7378342357752</v>
      </c>
      <c r="J30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1206948.2368835446</v>
      </c>
      <c r="K304" s="19">
        <f>IF(PaymentSchedule345[[#This Row],[PMT NO]]&lt;&gt;"",SUM(INDEX(PaymentSchedule345[INTEREST],1,1):PaymentSchedule345[[#This Row],[INTEREST]]),"")</f>
        <v>1841386.4637245934</v>
      </c>
    </row>
    <row r="305" spans="2:11" x14ac:dyDescent="0.3">
      <c r="B305" s="21">
        <f>IF(LoanIsGood,IF(ROW()-ROW(PaymentSchedule345[[#Headers],[PMT NO]])&gt;ScheduledNumberOfPayments,"",ROW()-ROW(PaymentSchedule345[[#Headers],[PMT NO]])),"")</f>
        <v>294</v>
      </c>
      <c r="C305" s="20">
        <f>IF(PaymentSchedule345[[#This Row],[PMT NO]]&lt;&gt;"",EOMONTH(LoanStartDate,ROW(PaymentSchedule345[[#This Row],[PMT NO]])-ROW(PaymentSchedule345[[#Headers],[PMT NO]])-2)+DAY(LoanStartDate),"")</f>
        <v>52566</v>
      </c>
      <c r="D30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1206948.2368835446</v>
      </c>
      <c r="E305" s="19">
        <f>IF(PaymentSchedule345[[#This Row],[PMT NO]]&lt;&gt;"",ScheduledPayment,"")</f>
        <v>8991.2567468977813</v>
      </c>
      <c r="F30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0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05" s="19">
        <f>IF(PaymentSchedule345[[#This Row],[PMT NO]]&lt;&gt;"",PaymentSchedule345[[#This Row],[TOTAL PAYMENT]]-PaymentSchedule345[[#This Row],[INTEREST]],"")</f>
        <v>4465.2008585844897</v>
      </c>
      <c r="I305" s="19">
        <f>IF(PaymentSchedule345[[#This Row],[PMT NO]]&lt;&gt;"",PaymentSchedule345[[#This Row],[BEGINNING BALANCE]]*(InterestRate/PaymentsPerYear),"")</f>
        <v>4526.0558883132917</v>
      </c>
      <c r="J30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1202483.03602496</v>
      </c>
      <c r="K305" s="19">
        <f>IF(PaymentSchedule345[[#This Row],[PMT NO]]&lt;&gt;"",SUM(INDEX(PaymentSchedule345[INTEREST],1,1):PaymentSchedule345[[#This Row],[INTEREST]]),"")</f>
        <v>1845912.5196129067</v>
      </c>
    </row>
    <row r="306" spans="2:11" x14ac:dyDescent="0.3">
      <c r="B306" s="21">
        <f>IF(LoanIsGood,IF(ROW()-ROW(PaymentSchedule345[[#Headers],[PMT NO]])&gt;ScheduledNumberOfPayments,"",ROW()-ROW(PaymentSchedule345[[#Headers],[PMT NO]])),"")</f>
        <v>295</v>
      </c>
      <c r="C306" s="20">
        <f>IF(PaymentSchedule345[[#This Row],[PMT NO]]&lt;&gt;"",EOMONTH(LoanStartDate,ROW(PaymentSchedule345[[#This Row],[PMT NO]])-ROW(PaymentSchedule345[[#Headers],[PMT NO]])-2)+DAY(LoanStartDate),"")</f>
        <v>52597</v>
      </c>
      <c r="D30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1202483.03602496</v>
      </c>
      <c r="E306" s="19">
        <f>IF(PaymentSchedule345[[#This Row],[PMT NO]]&lt;&gt;"",ScheduledPayment,"")</f>
        <v>8991.2567468977813</v>
      </c>
      <c r="F30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0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06" s="19">
        <f>IF(PaymentSchedule345[[#This Row],[PMT NO]]&lt;&gt;"",PaymentSchedule345[[#This Row],[TOTAL PAYMENT]]-PaymentSchedule345[[#This Row],[INTEREST]],"")</f>
        <v>4481.9453618041816</v>
      </c>
      <c r="I306" s="19">
        <f>IF(PaymentSchedule345[[#This Row],[PMT NO]]&lt;&gt;"",PaymentSchedule345[[#This Row],[BEGINNING BALANCE]]*(InterestRate/PaymentsPerYear),"")</f>
        <v>4509.3113850935997</v>
      </c>
      <c r="J30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1198001.0906631558</v>
      </c>
      <c r="K306" s="19">
        <f>IF(PaymentSchedule345[[#This Row],[PMT NO]]&lt;&gt;"",SUM(INDEX(PaymentSchedule345[INTEREST],1,1):PaymentSchedule345[[#This Row],[INTEREST]]),"")</f>
        <v>1850421.8309980002</v>
      </c>
    </row>
    <row r="307" spans="2:11" x14ac:dyDescent="0.3">
      <c r="B307" s="21">
        <f>IF(LoanIsGood,IF(ROW()-ROW(PaymentSchedule345[[#Headers],[PMT NO]])&gt;ScheduledNumberOfPayments,"",ROW()-ROW(PaymentSchedule345[[#Headers],[PMT NO]])),"")</f>
        <v>296</v>
      </c>
      <c r="C307" s="20">
        <f>IF(PaymentSchedule345[[#This Row],[PMT NO]]&lt;&gt;"",EOMONTH(LoanStartDate,ROW(PaymentSchedule345[[#This Row],[PMT NO]])-ROW(PaymentSchedule345[[#Headers],[PMT NO]])-2)+DAY(LoanStartDate),"")</f>
        <v>52628</v>
      </c>
      <c r="D30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1198001.0906631558</v>
      </c>
      <c r="E307" s="19">
        <f>IF(PaymentSchedule345[[#This Row],[PMT NO]]&lt;&gt;"",ScheduledPayment,"")</f>
        <v>8991.2567468977813</v>
      </c>
      <c r="F30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0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07" s="19">
        <f>IF(PaymentSchedule345[[#This Row],[PMT NO]]&lt;&gt;"",PaymentSchedule345[[#This Row],[TOTAL PAYMENT]]-PaymentSchedule345[[#This Row],[INTEREST]],"")</f>
        <v>4498.7526569109477</v>
      </c>
      <c r="I307" s="19">
        <f>IF(PaymentSchedule345[[#This Row],[PMT NO]]&lt;&gt;"",PaymentSchedule345[[#This Row],[BEGINNING BALANCE]]*(InterestRate/PaymentsPerYear),"")</f>
        <v>4492.5040899868336</v>
      </c>
      <c r="J30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1193502.3380062447</v>
      </c>
      <c r="K307" s="19">
        <f>IF(PaymentSchedule345[[#This Row],[PMT NO]]&lt;&gt;"",SUM(INDEX(PaymentSchedule345[INTEREST],1,1):PaymentSchedule345[[#This Row],[INTEREST]]),"")</f>
        <v>1854914.3350879871</v>
      </c>
    </row>
    <row r="308" spans="2:11" x14ac:dyDescent="0.3">
      <c r="B308" s="21">
        <f>IF(LoanIsGood,IF(ROW()-ROW(PaymentSchedule345[[#Headers],[PMT NO]])&gt;ScheduledNumberOfPayments,"",ROW()-ROW(PaymentSchedule345[[#Headers],[PMT NO]])),"")</f>
        <v>297</v>
      </c>
      <c r="C308" s="20">
        <f>IF(PaymentSchedule345[[#This Row],[PMT NO]]&lt;&gt;"",EOMONTH(LoanStartDate,ROW(PaymentSchedule345[[#This Row],[PMT NO]])-ROW(PaymentSchedule345[[#Headers],[PMT NO]])-2)+DAY(LoanStartDate),"")</f>
        <v>52657</v>
      </c>
      <c r="D30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1193502.3380062447</v>
      </c>
      <c r="E308" s="19">
        <f>IF(PaymentSchedule345[[#This Row],[PMT NO]]&lt;&gt;"",ScheduledPayment,"")</f>
        <v>8991.2567468977813</v>
      </c>
      <c r="F30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0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08" s="19">
        <f>IF(PaymentSchedule345[[#This Row],[PMT NO]]&lt;&gt;"",PaymentSchedule345[[#This Row],[TOTAL PAYMENT]]-PaymentSchedule345[[#This Row],[INTEREST]],"")</f>
        <v>4515.6229793743641</v>
      </c>
      <c r="I308" s="19">
        <f>IF(PaymentSchedule345[[#This Row],[PMT NO]]&lt;&gt;"",PaymentSchedule345[[#This Row],[BEGINNING BALANCE]]*(InterestRate/PaymentsPerYear),"")</f>
        <v>4475.6337675234172</v>
      </c>
      <c r="J30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1188986.7150268704</v>
      </c>
      <c r="K308" s="19">
        <f>IF(PaymentSchedule345[[#This Row],[PMT NO]]&lt;&gt;"",SUM(INDEX(PaymentSchedule345[INTEREST],1,1):PaymentSchedule345[[#This Row],[INTEREST]]),"")</f>
        <v>1859389.9688555105</v>
      </c>
    </row>
    <row r="309" spans="2:11" x14ac:dyDescent="0.3">
      <c r="B309" s="21">
        <f>IF(LoanIsGood,IF(ROW()-ROW(PaymentSchedule345[[#Headers],[PMT NO]])&gt;ScheduledNumberOfPayments,"",ROW()-ROW(PaymentSchedule345[[#Headers],[PMT NO]])),"")</f>
        <v>298</v>
      </c>
      <c r="C309" s="20">
        <f>IF(PaymentSchedule345[[#This Row],[PMT NO]]&lt;&gt;"",EOMONTH(LoanStartDate,ROW(PaymentSchedule345[[#This Row],[PMT NO]])-ROW(PaymentSchedule345[[#Headers],[PMT NO]])-2)+DAY(LoanStartDate),"")</f>
        <v>52688</v>
      </c>
      <c r="D30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1188986.7150268704</v>
      </c>
      <c r="E309" s="19">
        <f>IF(PaymentSchedule345[[#This Row],[PMT NO]]&lt;&gt;"",ScheduledPayment,"")</f>
        <v>8991.2567468977813</v>
      </c>
      <c r="F30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0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09" s="19">
        <f>IF(PaymentSchedule345[[#This Row],[PMT NO]]&lt;&gt;"",PaymentSchedule345[[#This Row],[TOTAL PAYMENT]]-PaymentSchedule345[[#This Row],[INTEREST]],"")</f>
        <v>4532.5565655470173</v>
      </c>
      <c r="I309" s="19">
        <f>IF(PaymentSchedule345[[#This Row],[PMT NO]]&lt;&gt;"",PaymentSchedule345[[#This Row],[BEGINNING BALANCE]]*(InterestRate/PaymentsPerYear),"")</f>
        <v>4458.7001813507641</v>
      </c>
      <c r="J30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1184454.1584613232</v>
      </c>
      <c r="K309" s="19">
        <f>IF(PaymentSchedule345[[#This Row],[PMT NO]]&lt;&gt;"",SUM(INDEX(PaymentSchedule345[INTEREST],1,1):PaymentSchedule345[[#This Row],[INTEREST]]),"")</f>
        <v>1863848.6690368613</v>
      </c>
    </row>
    <row r="310" spans="2:11" x14ac:dyDescent="0.3">
      <c r="B310" s="21">
        <f>IF(LoanIsGood,IF(ROW()-ROW(PaymentSchedule345[[#Headers],[PMT NO]])&gt;ScheduledNumberOfPayments,"",ROW()-ROW(PaymentSchedule345[[#Headers],[PMT NO]])),"")</f>
        <v>299</v>
      </c>
      <c r="C310" s="20">
        <f>IF(PaymentSchedule345[[#This Row],[PMT NO]]&lt;&gt;"",EOMONTH(LoanStartDate,ROW(PaymentSchedule345[[#This Row],[PMT NO]])-ROW(PaymentSchedule345[[#Headers],[PMT NO]])-2)+DAY(LoanStartDate),"")</f>
        <v>52718</v>
      </c>
      <c r="D31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1184454.1584613232</v>
      </c>
      <c r="E310" s="19">
        <f>IF(PaymentSchedule345[[#This Row],[PMT NO]]&lt;&gt;"",ScheduledPayment,"")</f>
        <v>8991.2567468977813</v>
      </c>
      <c r="F31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1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10" s="19">
        <f>IF(PaymentSchedule345[[#This Row],[PMT NO]]&lt;&gt;"",PaymentSchedule345[[#This Row],[TOTAL PAYMENT]]-PaymentSchedule345[[#This Row],[INTEREST]],"")</f>
        <v>4549.5536526678197</v>
      </c>
      <c r="I310" s="19">
        <f>IF(PaymentSchedule345[[#This Row],[PMT NO]]&lt;&gt;"",PaymentSchedule345[[#This Row],[BEGINNING BALANCE]]*(InterestRate/PaymentsPerYear),"")</f>
        <v>4441.7030942299616</v>
      </c>
      <c r="J31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1179904.6048086553</v>
      </c>
      <c r="K310" s="19">
        <f>IF(PaymentSchedule345[[#This Row],[PMT NO]]&lt;&gt;"",SUM(INDEX(PaymentSchedule345[INTEREST],1,1):PaymentSchedule345[[#This Row],[INTEREST]]),"")</f>
        <v>1868290.3721310913</v>
      </c>
    </row>
    <row r="311" spans="2:11" x14ac:dyDescent="0.3">
      <c r="B311" s="21">
        <f>IF(LoanIsGood,IF(ROW()-ROW(PaymentSchedule345[[#Headers],[PMT NO]])&gt;ScheduledNumberOfPayments,"",ROW()-ROW(PaymentSchedule345[[#Headers],[PMT NO]])),"")</f>
        <v>300</v>
      </c>
      <c r="C311" s="20">
        <f>IF(PaymentSchedule345[[#This Row],[PMT NO]]&lt;&gt;"",EOMONTH(LoanStartDate,ROW(PaymentSchedule345[[#This Row],[PMT NO]])-ROW(PaymentSchedule345[[#Headers],[PMT NO]])-2)+DAY(LoanStartDate),"")</f>
        <v>52749</v>
      </c>
      <c r="D31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1179904.6048086553</v>
      </c>
      <c r="E311" s="19">
        <f>IF(PaymentSchedule345[[#This Row],[PMT NO]]&lt;&gt;"",ScheduledPayment,"")</f>
        <v>8991.2567468977813</v>
      </c>
      <c r="F31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1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11" s="19">
        <f>IF(PaymentSchedule345[[#This Row],[PMT NO]]&lt;&gt;"",PaymentSchedule345[[#This Row],[TOTAL PAYMENT]]-PaymentSchedule345[[#This Row],[INTEREST]],"")</f>
        <v>4566.6144788653237</v>
      </c>
      <c r="I311" s="19">
        <f>IF(PaymentSchedule345[[#This Row],[PMT NO]]&lt;&gt;"",PaymentSchedule345[[#This Row],[BEGINNING BALANCE]]*(InterestRate/PaymentsPerYear),"")</f>
        <v>4424.6422680324577</v>
      </c>
      <c r="J31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1175337.9903297899</v>
      </c>
      <c r="K311" s="19">
        <f>IF(PaymentSchedule345[[#This Row],[PMT NO]]&lt;&gt;"",SUM(INDEX(PaymentSchedule345[INTEREST],1,1):PaymentSchedule345[[#This Row],[INTEREST]]),"")</f>
        <v>1872715.0143991238</v>
      </c>
    </row>
    <row r="312" spans="2:11" x14ac:dyDescent="0.3">
      <c r="B312" s="21">
        <f>IF(LoanIsGood,IF(ROW()-ROW(PaymentSchedule345[[#Headers],[PMT NO]])&gt;ScheduledNumberOfPayments,"",ROW()-ROW(PaymentSchedule345[[#Headers],[PMT NO]])),"")</f>
        <v>301</v>
      </c>
      <c r="C312" s="20">
        <f>IF(PaymentSchedule345[[#This Row],[PMT NO]]&lt;&gt;"",EOMONTH(LoanStartDate,ROW(PaymentSchedule345[[#This Row],[PMT NO]])-ROW(PaymentSchedule345[[#Headers],[PMT NO]])-2)+DAY(LoanStartDate),"")</f>
        <v>52779</v>
      </c>
      <c r="D31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1175337.9903297899</v>
      </c>
      <c r="E312" s="19">
        <f>IF(PaymentSchedule345[[#This Row],[PMT NO]]&lt;&gt;"",ScheduledPayment,"")</f>
        <v>8991.2567468977813</v>
      </c>
      <c r="F31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1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12" s="19">
        <f>IF(PaymentSchedule345[[#This Row],[PMT NO]]&lt;&gt;"",PaymentSchedule345[[#This Row],[TOTAL PAYMENT]]-PaymentSchedule345[[#This Row],[INTEREST]],"")</f>
        <v>4583.7392831610696</v>
      </c>
      <c r="I312" s="19">
        <f>IF(PaymentSchedule345[[#This Row],[PMT NO]]&lt;&gt;"",PaymentSchedule345[[#This Row],[BEGINNING BALANCE]]*(InterestRate/PaymentsPerYear),"")</f>
        <v>4407.5174637367118</v>
      </c>
      <c r="J31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1170754.2510466289</v>
      </c>
      <c r="K312" s="19">
        <f>IF(PaymentSchedule345[[#This Row],[PMT NO]]&lt;&gt;"",SUM(INDEX(PaymentSchedule345[INTEREST],1,1):PaymentSchedule345[[#This Row],[INTEREST]]),"")</f>
        <v>1877122.5318628605</v>
      </c>
    </row>
    <row r="313" spans="2:11" x14ac:dyDescent="0.3">
      <c r="B313" s="21">
        <f>IF(LoanIsGood,IF(ROW()-ROW(PaymentSchedule345[[#Headers],[PMT NO]])&gt;ScheduledNumberOfPayments,"",ROW()-ROW(PaymentSchedule345[[#Headers],[PMT NO]])),"")</f>
        <v>302</v>
      </c>
      <c r="C313" s="20">
        <f>IF(PaymentSchedule345[[#This Row],[PMT NO]]&lt;&gt;"",EOMONTH(LoanStartDate,ROW(PaymentSchedule345[[#This Row],[PMT NO]])-ROW(PaymentSchedule345[[#Headers],[PMT NO]])-2)+DAY(LoanStartDate),"")</f>
        <v>52810</v>
      </c>
      <c r="D31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1170754.2510466289</v>
      </c>
      <c r="E313" s="19">
        <f>IF(PaymentSchedule345[[#This Row],[PMT NO]]&lt;&gt;"",ScheduledPayment,"")</f>
        <v>8991.2567468977813</v>
      </c>
      <c r="F31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1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13" s="19">
        <f>IF(PaymentSchedule345[[#This Row],[PMT NO]]&lt;&gt;"",PaymentSchedule345[[#This Row],[TOTAL PAYMENT]]-PaymentSchedule345[[#This Row],[INTEREST]],"")</f>
        <v>4600.9283054729231</v>
      </c>
      <c r="I313" s="19">
        <f>IF(PaymentSchedule345[[#This Row],[PMT NO]]&lt;&gt;"",PaymentSchedule345[[#This Row],[BEGINNING BALANCE]]*(InterestRate/PaymentsPerYear),"")</f>
        <v>4390.3284414248583</v>
      </c>
      <c r="J31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1166153.322741156</v>
      </c>
      <c r="K313" s="19">
        <f>IF(PaymentSchedule345[[#This Row],[PMT NO]]&lt;&gt;"",SUM(INDEX(PaymentSchedule345[INTEREST],1,1):PaymentSchedule345[[#This Row],[INTEREST]]),"")</f>
        <v>1881512.8603042853</v>
      </c>
    </row>
    <row r="314" spans="2:11" x14ac:dyDescent="0.3">
      <c r="B314" s="21">
        <f>IF(LoanIsGood,IF(ROW()-ROW(PaymentSchedule345[[#Headers],[PMT NO]])&gt;ScheduledNumberOfPayments,"",ROW()-ROW(PaymentSchedule345[[#Headers],[PMT NO]])),"")</f>
        <v>303</v>
      </c>
      <c r="C314" s="20">
        <f>IF(PaymentSchedule345[[#This Row],[PMT NO]]&lt;&gt;"",EOMONTH(LoanStartDate,ROW(PaymentSchedule345[[#This Row],[PMT NO]])-ROW(PaymentSchedule345[[#Headers],[PMT NO]])-2)+DAY(LoanStartDate),"")</f>
        <v>52841</v>
      </c>
      <c r="D31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1166153.322741156</v>
      </c>
      <c r="E314" s="19">
        <f>IF(PaymentSchedule345[[#This Row],[PMT NO]]&lt;&gt;"",ScheduledPayment,"")</f>
        <v>8991.2567468977813</v>
      </c>
      <c r="F31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1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14" s="19">
        <f>IF(PaymentSchedule345[[#This Row],[PMT NO]]&lt;&gt;"",PaymentSchedule345[[#This Row],[TOTAL PAYMENT]]-PaymentSchedule345[[#This Row],[INTEREST]],"")</f>
        <v>4618.1817866184465</v>
      </c>
      <c r="I314" s="19">
        <f>IF(PaymentSchedule345[[#This Row],[PMT NO]]&lt;&gt;"",PaymentSchedule345[[#This Row],[BEGINNING BALANCE]]*(InterestRate/PaymentsPerYear),"")</f>
        <v>4373.0749602793348</v>
      </c>
      <c r="J31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1161535.1409545375</v>
      </c>
      <c r="K314" s="19">
        <f>IF(PaymentSchedule345[[#This Row],[PMT NO]]&lt;&gt;"",SUM(INDEX(PaymentSchedule345[INTEREST],1,1):PaymentSchedule345[[#This Row],[INTEREST]]),"")</f>
        <v>1885885.9352645646</v>
      </c>
    </row>
    <row r="315" spans="2:11" x14ac:dyDescent="0.3">
      <c r="B315" s="21">
        <f>IF(LoanIsGood,IF(ROW()-ROW(PaymentSchedule345[[#Headers],[PMT NO]])&gt;ScheduledNumberOfPayments,"",ROW()-ROW(PaymentSchedule345[[#Headers],[PMT NO]])),"")</f>
        <v>304</v>
      </c>
      <c r="C315" s="20">
        <f>IF(PaymentSchedule345[[#This Row],[PMT NO]]&lt;&gt;"",EOMONTH(LoanStartDate,ROW(PaymentSchedule345[[#This Row],[PMT NO]])-ROW(PaymentSchedule345[[#Headers],[PMT NO]])-2)+DAY(LoanStartDate),"")</f>
        <v>52871</v>
      </c>
      <c r="D31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1161535.1409545375</v>
      </c>
      <c r="E315" s="19">
        <f>IF(PaymentSchedule345[[#This Row],[PMT NO]]&lt;&gt;"",ScheduledPayment,"")</f>
        <v>8991.2567468977813</v>
      </c>
      <c r="F31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1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15" s="19">
        <f>IF(PaymentSchedule345[[#This Row],[PMT NO]]&lt;&gt;"",PaymentSchedule345[[#This Row],[TOTAL PAYMENT]]-PaymentSchedule345[[#This Row],[INTEREST]],"")</f>
        <v>4635.4999683182659</v>
      </c>
      <c r="I315" s="19">
        <f>IF(PaymentSchedule345[[#This Row],[PMT NO]]&lt;&gt;"",PaymentSchedule345[[#This Row],[BEGINNING BALANCE]]*(InterestRate/PaymentsPerYear),"")</f>
        <v>4355.7567785795154</v>
      </c>
      <c r="J31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1156899.6409862193</v>
      </c>
      <c r="K315" s="19">
        <f>IF(PaymentSchedule345[[#This Row],[PMT NO]]&lt;&gt;"",SUM(INDEX(PaymentSchedule345[INTEREST],1,1):PaymentSchedule345[[#This Row],[INTEREST]]),"")</f>
        <v>1890241.692043144</v>
      </c>
    </row>
    <row r="316" spans="2:11" x14ac:dyDescent="0.3">
      <c r="B316" s="21">
        <f>IF(LoanIsGood,IF(ROW()-ROW(PaymentSchedule345[[#Headers],[PMT NO]])&gt;ScheduledNumberOfPayments,"",ROW()-ROW(PaymentSchedule345[[#Headers],[PMT NO]])),"")</f>
        <v>305</v>
      </c>
      <c r="C316" s="20">
        <f>IF(PaymentSchedule345[[#This Row],[PMT NO]]&lt;&gt;"",EOMONTH(LoanStartDate,ROW(PaymentSchedule345[[#This Row],[PMT NO]])-ROW(PaymentSchedule345[[#Headers],[PMT NO]])-2)+DAY(LoanStartDate),"")</f>
        <v>52902</v>
      </c>
      <c r="D31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1156899.6409862193</v>
      </c>
      <c r="E316" s="19">
        <f>IF(PaymentSchedule345[[#This Row],[PMT NO]]&lt;&gt;"",ScheduledPayment,"")</f>
        <v>8991.2567468977813</v>
      </c>
      <c r="F31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1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16" s="19">
        <f>IF(PaymentSchedule345[[#This Row],[PMT NO]]&lt;&gt;"",PaymentSchedule345[[#This Row],[TOTAL PAYMENT]]-PaymentSchedule345[[#This Row],[INTEREST]],"")</f>
        <v>4652.8830931994589</v>
      </c>
      <c r="I316" s="19">
        <f>IF(PaymentSchedule345[[#This Row],[PMT NO]]&lt;&gt;"",PaymentSchedule345[[#This Row],[BEGINNING BALANCE]]*(InterestRate/PaymentsPerYear),"")</f>
        <v>4338.3736536983224</v>
      </c>
      <c r="J31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1152246.7578930198</v>
      </c>
      <c r="K316" s="19">
        <f>IF(PaymentSchedule345[[#This Row],[PMT NO]]&lt;&gt;"",SUM(INDEX(PaymentSchedule345[INTEREST],1,1):PaymentSchedule345[[#This Row],[INTEREST]]),"")</f>
        <v>1894580.0656968423</v>
      </c>
    </row>
    <row r="317" spans="2:11" x14ac:dyDescent="0.3">
      <c r="B317" s="21">
        <f>IF(LoanIsGood,IF(ROW()-ROW(PaymentSchedule345[[#Headers],[PMT NO]])&gt;ScheduledNumberOfPayments,"",ROW()-ROW(PaymentSchedule345[[#Headers],[PMT NO]])),"")</f>
        <v>306</v>
      </c>
      <c r="C317" s="20">
        <f>IF(PaymentSchedule345[[#This Row],[PMT NO]]&lt;&gt;"",EOMONTH(LoanStartDate,ROW(PaymentSchedule345[[#This Row],[PMT NO]])-ROW(PaymentSchedule345[[#Headers],[PMT NO]])-2)+DAY(LoanStartDate),"")</f>
        <v>52932</v>
      </c>
      <c r="D31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1152246.7578930198</v>
      </c>
      <c r="E317" s="19">
        <f>IF(PaymentSchedule345[[#This Row],[PMT NO]]&lt;&gt;"",ScheduledPayment,"")</f>
        <v>8991.2567468977813</v>
      </c>
      <c r="F31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1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17" s="19">
        <f>IF(PaymentSchedule345[[#This Row],[PMT NO]]&lt;&gt;"",PaymentSchedule345[[#This Row],[TOTAL PAYMENT]]-PaymentSchedule345[[#This Row],[INTEREST]],"")</f>
        <v>4670.331404798957</v>
      </c>
      <c r="I317" s="19">
        <f>IF(PaymentSchedule345[[#This Row],[PMT NO]]&lt;&gt;"",PaymentSchedule345[[#This Row],[BEGINNING BALANCE]]*(InterestRate/PaymentsPerYear),"")</f>
        <v>4320.9253420988243</v>
      </c>
      <c r="J31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1147576.4264882209</v>
      </c>
      <c r="K317" s="19">
        <f>IF(PaymentSchedule345[[#This Row],[PMT NO]]&lt;&gt;"",SUM(INDEX(PaymentSchedule345[INTEREST],1,1):PaymentSchedule345[[#This Row],[INTEREST]]),"")</f>
        <v>1898900.9910389411</v>
      </c>
    </row>
    <row r="318" spans="2:11" x14ac:dyDescent="0.3">
      <c r="B318" s="21">
        <f>IF(LoanIsGood,IF(ROW()-ROW(PaymentSchedule345[[#Headers],[PMT NO]])&gt;ScheduledNumberOfPayments,"",ROW()-ROW(PaymentSchedule345[[#Headers],[PMT NO]])),"")</f>
        <v>307</v>
      </c>
      <c r="C318" s="20">
        <f>IF(PaymentSchedule345[[#This Row],[PMT NO]]&lt;&gt;"",EOMONTH(LoanStartDate,ROW(PaymentSchedule345[[#This Row],[PMT NO]])-ROW(PaymentSchedule345[[#Headers],[PMT NO]])-2)+DAY(LoanStartDate),"")</f>
        <v>52963</v>
      </c>
      <c r="D31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1147576.4264882209</v>
      </c>
      <c r="E318" s="19">
        <f>IF(PaymentSchedule345[[#This Row],[PMT NO]]&lt;&gt;"",ScheduledPayment,"")</f>
        <v>8991.2567468977813</v>
      </c>
      <c r="F31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1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18" s="19">
        <f>IF(PaymentSchedule345[[#This Row],[PMT NO]]&lt;&gt;"",PaymentSchedule345[[#This Row],[TOTAL PAYMENT]]-PaymentSchedule345[[#This Row],[INTEREST]],"")</f>
        <v>4687.8451475669526</v>
      </c>
      <c r="I318" s="19">
        <f>IF(PaymentSchedule345[[#This Row],[PMT NO]]&lt;&gt;"",PaymentSchedule345[[#This Row],[BEGINNING BALANCE]]*(InterestRate/PaymentsPerYear),"")</f>
        <v>4303.4115993308287</v>
      </c>
      <c r="J31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1142888.5813406541</v>
      </c>
      <c r="K318" s="19">
        <f>IF(PaymentSchedule345[[#This Row],[PMT NO]]&lt;&gt;"",SUM(INDEX(PaymentSchedule345[INTEREST],1,1):PaymentSchedule345[[#This Row],[INTEREST]]),"")</f>
        <v>1903204.4026382719</v>
      </c>
    </row>
    <row r="319" spans="2:11" x14ac:dyDescent="0.3">
      <c r="B319" s="21">
        <f>IF(LoanIsGood,IF(ROW()-ROW(PaymentSchedule345[[#Headers],[PMT NO]])&gt;ScheduledNumberOfPayments,"",ROW()-ROW(PaymentSchedule345[[#Headers],[PMT NO]])),"")</f>
        <v>308</v>
      </c>
      <c r="C319" s="20">
        <f>IF(PaymentSchedule345[[#This Row],[PMT NO]]&lt;&gt;"",EOMONTH(LoanStartDate,ROW(PaymentSchedule345[[#This Row],[PMT NO]])-ROW(PaymentSchedule345[[#Headers],[PMT NO]])-2)+DAY(LoanStartDate),"")</f>
        <v>52994</v>
      </c>
      <c r="D31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1142888.5813406541</v>
      </c>
      <c r="E319" s="19">
        <f>IF(PaymentSchedule345[[#This Row],[PMT NO]]&lt;&gt;"",ScheduledPayment,"")</f>
        <v>8991.2567468977813</v>
      </c>
      <c r="F31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1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19" s="19">
        <f>IF(PaymentSchedule345[[#This Row],[PMT NO]]&lt;&gt;"",PaymentSchedule345[[#This Row],[TOTAL PAYMENT]]-PaymentSchedule345[[#This Row],[INTEREST]],"")</f>
        <v>4705.4245668703288</v>
      </c>
      <c r="I319" s="19">
        <f>IF(PaymentSchedule345[[#This Row],[PMT NO]]&lt;&gt;"",PaymentSchedule345[[#This Row],[BEGINNING BALANCE]]*(InterestRate/PaymentsPerYear),"")</f>
        <v>4285.8321800274525</v>
      </c>
      <c r="J31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1138183.1567737837</v>
      </c>
      <c r="K319" s="19">
        <f>IF(PaymentSchedule345[[#This Row],[PMT NO]]&lt;&gt;"",SUM(INDEX(PaymentSchedule345[INTEREST],1,1):PaymentSchedule345[[#This Row],[INTEREST]]),"")</f>
        <v>1907490.2348182993</v>
      </c>
    </row>
    <row r="320" spans="2:11" x14ac:dyDescent="0.3">
      <c r="B320" s="21">
        <f>IF(LoanIsGood,IF(ROW()-ROW(PaymentSchedule345[[#Headers],[PMT NO]])&gt;ScheduledNumberOfPayments,"",ROW()-ROW(PaymentSchedule345[[#Headers],[PMT NO]])),"")</f>
        <v>309</v>
      </c>
      <c r="C320" s="20">
        <f>IF(PaymentSchedule345[[#This Row],[PMT NO]]&lt;&gt;"",EOMONTH(LoanStartDate,ROW(PaymentSchedule345[[#This Row],[PMT NO]])-ROW(PaymentSchedule345[[#Headers],[PMT NO]])-2)+DAY(LoanStartDate),"")</f>
        <v>53022</v>
      </c>
      <c r="D32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1138183.1567737837</v>
      </c>
      <c r="E320" s="19">
        <f>IF(PaymentSchedule345[[#This Row],[PMT NO]]&lt;&gt;"",ScheduledPayment,"")</f>
        <v>8991.2567468977813</v>
      </c>
      <c r="F32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2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20" s="19">
        <f>IF(PaymentSchedule345[[#This Row],[PMT NO]]&lt;&gt;"",PaymentSchedule345[[#This Row],[TOTAL PAYMENT]]-PaymentSchedule345[[#This Row],[INTEREST]],"")</f>
        <v>4723.0699089960926</v>
      </c>
      <c r="I320" s="19">
        <f>IF(PaymentSchedule345[[#This Row],[PMT NO]]&lt;&gt;"",PaymentSchedule345[[#This Row],[BEGINNING BALANCE]]*(InterestRate/PaymentsPerYear),"")</f>
        <v>4268.1868379016887</v>
      </c>
      <c r="J32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1133460.0868647876</v>
      </c>
      <c r="K320" s="19">
        <f>IF(PaymentSchedule345[[#This Row],[PMT NO]]&lt;&gt;"",SUM(INDEX(PaymentSchedule345[INTEREST],1,1):PaymentSchedule345[[#This Row],[INTEREST]]),"")</f>
        <v>1911758.4216562009</v>
      </c>
    </row>
    <row r="321" spans="2:11" x14ac:dyDescent="0.3">
      <c r="B321" s="21">
        <f>IF(LoanIsGood,IF(ROW()-ROW(PaymentSchedule345[[#Headers],[PMT NO]])&gt;ScheduledNumberOfPayments,"",ROW()-ROW(PaymentSchedule345[[#Headers],[PMT NO]])),"")</f>
        <v>310</v>
      </c>
      <c r="C321" s="20">
        <f>IF(PaymentSchedule345[[#This Row],[PMT NO]]&lt;&gt;"",EOMONTH(LoanStartDate,ROW(PaymentSchedule345[[#This Row],[PMT NO]])-ROW(PaymentSchedule345[[#Headers],[PMT NO]])-2)+DAY(LoanStartDate),"")</f>
        <v>53053</v>
      </c>
      <c r="D32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1133460.0868647876</v>
      </c>
      <c r="E321" s="19">
        <f>IF(PaymentSchedule345[[#This Row],[PMT NO]]&lt;&gt;"",ScheduledPayment,"")</f>
        <v>8991.2567468977813</v>
      </c>
      <c r="F32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2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21" s="19">
        <f>IF(PaymentSchedule345[[#This Row],[PMT NO]]&lt;&gt;"",PaymentSchedule345[[#This Row],[TOTAL PAYMENT]]-PaymentSchedule345[[#This Row],[INTEREST]],"")</f>
        <v>4740.7814211548275</v>
      </c>
      <c r="I321" s="19">
        <f>IF(PaymentSchedule345[[#This Row],[PMT NO]]&lt;&gt;"",PaymentSchedule345[[#This Row],[BEGINNING BALANCE]]*(InterestRate/PaymentsPerYear),"")</f>
        <v>4250.4753257429538</v>
      </c>
      <c r="J32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1128719.3054436329</v>
      </c>
      <c r="K321" s="19">
        <f>IF(PaymentSchedule345[[#This Row],[PMT NO]]&lt;&gt;"",SUM(INDEX(PaymentSchedule345[INTEREST],1,1):PaymentSchedule345[[#This Row],[INTEREST]]),"")</f>
        <v>1916008.8969819439</v>
      </c>
    </row>
    <row r="322" spans="2:11" x14ac:dyDescent="0.3">
      <c r="B322" s="21">
        <f>IF(LoanIsGood,IF(ROW()-ROW(PaymentSchedule345[[#Headers],[PMT NO]])&gt;ScheduledNumberOfPayments,"",ROW()-ROW(PaymentSchedule345[[#Headers],[PMT NO]])),"")</f>
        <v>311</v>
      </c>
      <c r="C322" s="20">
        <f>IF(PaymentSchedule345[[#This Row],[PMT NO]]&lt;&gt;"",EOMONTH(LoanStartDate,ROW(PaymentSchedule345[[#This Row],[PMT NO]])-ROW(PaymentSchedule345[[#Headers],[PMT NO]])-2)+DAY(LoanStartDate),"")</f>
        <v>53083</v>
      </c>
      <c r="D32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1128719.3054436329</v>
      </c>
      <c r="E322" s="19">
        <f>IF(PaymentSchedule345[[#This Row],[PMT NO]]&lt;&gt;"",ScheduledPayment,"")</f>
        <v>8991.2567468977813</v>
      </c>
      <c r="F32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2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22" s="19">
        <f>IF(PaymentSchedule345[[#This Row],[PMT NO]]&lt;&gt;"",PaymentSchedule345[[#This Row],[TOTAL PAYMENT]]-PaymentSchedule345[[#This Row],[INTEREST]],"")</f>
        <v>4758.5593514841585</v>
      </c>
      <c r="I322" s="19">
        <f>IF(PaymentSchedule345[[#This Row],[PMT NO]]&lt;&gt;"",PaymentSchedule345[[#This Row],[BEGINNING BALANCE]]*(InterestRate/PaymentsPerYear),"")</f>
        <v>4232.6973954136229</v>
      </c>
      <c r="J32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1123960.7460921488</v>
      </c>
      <c r="K322" s="19">
        <f>IF(PaymentSchedule345[[#This Row],[PMT NO]]&lt;&gt;"",SUM(INDEX(PaymentSchedule345[INTEREST],1,1):PaymentSchedule345[[#This Row],[INTEREST]]),"")</f>
        <v>1920241.5943773575</v>
      </c>
    </row>
    <row r="323" spans="2:11" x14ac:dyDescent="0.3">
      <c r="B323" s="21">
        <f>IF(LoanIsGood,IF(ROW()-ROW(PaymentSchedule345[[#Headers],[PMT NO]])&gt;ScheduledNumberOfPayments,"",ROW()-ROW(PaymentSchedule345[[#Headers],[PMT NO]])),"")</f>
        <v>312</v>
      </c>
      <c r="C323" s="20">
        <f>IF(PaymentSchedule345[[#This Row],[PMT NO]]&lt;&gt;"",EOMONTH(LoanStartDate,ROW(PaymentSchedule345[[#This Row],[PMT NO]])-ROW(PaymentSchedule345[[#Headers],[PMT NO]])-2)+DAY(LoanStartDate),"")</f>
        <v>53114</v>
      </c>
      <c r="D32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1123960.7460921488</v>
      </c>
      <c r="E323" s="19">
        <f>IF(PaymentSchedule345[[#This Row],[PMT NO]]&lt;&gt;"",ScheduledPayment,"")</f>
        <v>8991.2567468977813</v>
      </c>
      <c r="F32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2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23" s="19">
        <f>IF(PaymentSchedule345[[#This Row],[PMT NO]]&lt;&gt;"",PaymentSchedule345[[#This Row],[TOTAL PAYMENT]]-PaymentSchedule345[[#This Row],[INTEREST]],"")</f>
        <v>4776.4039490522237</v>
      </c>
      <c r="I323" s="19">
        <f>IF(PaymentSchedule345[[#This Row],[PMT NO]]&lt;&gt;"",PaymentSchedule345[[#This Row],[BEGINNING BALANCE]]*(InterestRate/PaymentsPerYear),"")</f>
        <v>4214.8527978455577</v>
      </c>
      <c r="J32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1119184.3421430965</v>
      </c>
      <c r="K323" s="19">
        <f>IF(PaymentSchedule345[[#This Row],[PMT NO]]&lt;&gt;"",SUM(INDEX(PaymentSchedule345[INTEREST],1,1):PaymentSchedule345[[#This Row],[INTEREST]]),"")</f>
        <v>1924456.4471752031</v>
      </c>
    </row>
    <row r="324" spans="2:11" x14ac:dyDescent="0.3">
      <c r="B324" s="21">
        <f>IF(LoanIsGood,IF(ROW()-ROW(PaymentSchedule345[[#Headers],[PMT NO]])&gt;ScheduledNumberOfPayments,"",ROW()-ROW(PaymentSchedule345[[#Headers],[PMT NO]])),"")</f>
        <v>313</v>
      </c>
      <c r="C324" s="20">
        <f>IF(PaymentSchedule345[[#This Row],[PMT NO]]&lt;&gt;"",EOMONTH(LoanStartDate,ROW(PaymentSchedule345[[#This Row],[PMT NO]])-ROW(PaymentSchedule345[[#Headers],[PMT NO]])-2)+DAY(LoanStartDate),"")</f>
        <v>53144</v>
      </c>
      <c r="D32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1119184.3421430965</v>
      </c>
      <c r="E324" s="19">
        <f>IF(PaymentSchedule345[[#This Row],[PMT NO]]&lt;&gt;"",ScheduledPayment,"")</f>
        <v>8991.2567468977813</v>
      </c>
      <c r="F32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2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24" s="19">
        <f>IF(PaymentSchedule345[[#This Row],[PMT NO]]&lt;&gt;"",PaymentSchedule345[[#This Row],[TOTAL PAYMENT]]-PaymentSchedule345[[#This Row],[INTEREST]],"")</f>
        <v>4794.3154638611695</v>
      </c>
      <c r="I324" s="19">
        <f>IF(PaymentSchedule345[[#This Row],[PMT NO]]&lt;&gt;"",PaymentSchedule345[[#This Row],[BEGINNING BALANCE]]*(InterestRate/PaymentsPerYear),"")</f>
        <v>4196.9412830366118</v>
      </c>
      <c r="J32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1114390.0266792353</v>
      </c>
      <c r="K324" s="19">
        <f>IF(PaymentSchedule345[[#This Row],[PMT NO]]&lt;&gt;"",SUM(INDEX(PaymentSchedule345[INTEREST],1,1):PaymentSchedule345[[#This Row],[INTEREST]]),"")</f>
        <v>1928653.3884582398</v>
      </c>
    </row>
    <row r="325" spans="2:11" x14ac:dyDescent="0.3">
      <c r="B325" s="21">
        <f>IF(LoanIsGood,IF(ROW()-ROW(PaymentSchedule345[[#Headers],[PMT NO]])&gt;ScheduledNumberOfPayments,"",ROW()-ROW(PaymentSchedule345[[#Headers],[PMT NO]])),"")</f>
        <v>314</v>
      </c>
      <c r="C325" s="20">
        <f>IF(PaymentSchedule345[[#This Row],[PMT NO]]&lt;&gt;"",EOMONTH(LoanStartDate,ROW(PaymentSchedule345[[#This Row],[PMT NO]])-ROW(PaymentSchedule345[[#Headers],[PMT NO]])-2)+DAY(LoanStartDate),"")</f>
        <v>53175</v>
      </c>
      <c r="D32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1114390.0266792353</v>
      </c>
      <c r="E325" s="19">
        <f>IF(PaymentSchedule345[[#This Row],[PMT NO]]&lt;&gt;"",ScheduledPayment,"")</f>
        <v>8991.2567468977813</v>
      </c>
      <c r="F32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2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25" s="19">
        <f>IF(PaymentSchedule345[[#This Row],[PMT NO]]&lt;&gt;"",PaymentSchedule345[[#This Row],[TOTAL PAYMENT]]-PaymentSchedule345[[#This Row],[INTEREST]],"")</f>
        <v>4812.2941468506488</v>
      </c>
      <c r="I325" s="19">
        <f>IF(PaymentSchedule345[[#This Row],[PMT NO]]&lt;&gt;"",PaymentSchedule345[[#This Row],[BEGINNING BALANCE]]*(InterestRate/PaymentsPerYear),"")</f>
        <v>4178.9626000471326</v>
      </c>
      <c r="J32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1109577.7325323846</v>
      </c>
      <c r="K325" s="19">
        <f>IF(PaymentSchedule345[[#This Row],[PMT NO]]&lt;&gt;"",SUM(INDEX(PaymentSchedule345[INTEREST],1,1):PaymentSchedule345[[#This Row],[INTEREST]]),"")</f>
        <v>1932832.3510582871</v>
      </c>
    </row>
    <row r="326" spans="2:11" x14ac:dyDescent="0.3">
      <c r="B326" s="21">
        <f>IF(LoanIsGood,IF(ROW()-ROW(PaymentSchedule345[[#Headers],[PMT NO]])&gt;ScheduledNumberOfPayments,"",ROW()-ROW(PaymentSchedule345[[#Headers],[PMT NO]])),"")</f>
        <v>315</v>
      </c>
      <c r="C326" s="20">
        <f>IF(PaymentSchedule345[[#This Row],[PMT NO]]&lt;&gt;"",EOMONTH(LoanStartDate,ROW(PaymentSchedule345[[#This Row],[PMT NO]])-ROW(PaymentSchedule345[[#Headers],[PMT NO]])-2)+DAY(LoanStartDate),"")</f>
        <v>53206</v>
      </c>
      <c r="D32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1109577.7325323846</v>
      </c>
      <c r="E326" s="19">
        <f>IF(PaymentSchedule345[[#This Row],[PMT NO]]&lt;&gt;"",ScheduledPayment,"")</f>
        <v>8991.2567468977813</v>
      </c>
      <c r="F32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2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26" s="19">
        <f>IF(PaymentSchedule345[[#This Row],[PMT NO]]&lt;&gt;"",PaymentSchedule345[[#This Row],[TOTAL PAYMENT]]-PaymentSchedule345[[#This Row],[INTEREST]],"")</f>
        <v>4830.3402499013391</v>
      </c>
      <c r="I326" s="19">
        <f>IF(PaymentSchedule345[[#This Row],[PMT NO]]&lt;&gt;"",PaymentSchedule345[[#This Row],[BEGINNING BALANCE]]*(InterestRate/PaymentsPerYear),"")</f>
        <v>4160.9164969964422</v>
      </c>
      <c r="J32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1104747.3922824832</v>
      </c>
      <c r="K326" s="19">
        <f>IF(PaymentSchedule345[[#This Row],[PMT NO]]&lt;&gt;"",SUM(INDEX(PaymentSchedule345[INTEREST],1,1):PaymentSchedule345[[#This Row],[INTEREST]]),"")</f>
        <v>1936993.2675552836</v>
      </c>
    </row>
    <row r="327" spans="2:11" x14ac:dyDescent="0.3">
      <c r="B327" s="21">
        <f>IF(LoanIsGood,IF(ROW()-ROW(PaymentSchedule345[[#Headers],[PMT NO]])&gt;ScheduledNumberOfPayments,"",ROW()-ROW(PaymentSchedule345[[#Headers],[PMT NO]])),"")</f>
        <v>316</v>
      </c>
      <c r="C327" s="20">
        <f>IF(PaymentSchedule345[[#This Row],[PMT NO]]&lt;&gt;"",EOMONTH(LoanStartDate,ROW(PaymentSchedule345[[#This Row],[PMT NO]])-ROW(PaymentSchedule345[[#Headers],[PMT NO]])-2)+DAY(LoanStartDate),"")</f>
        <v>53236</v>
      </c>
      <c r="D32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1104747.3922824832</v>
      </c>
      <c r="E327" s="19">
        <f>IF(PaymentSchedule345[[#This Row],[PMT NO]]&lt;&gt;"",ScheduledPayment,"")</f>
        <v>8991.2567468977813</v>
      </c>
      <c r="F32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2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27" s="19">
        <f>IF(PaymentSchedule345[[#This Row],[PMT NO]]&lt;&gt;"",PaymentSchedule345[[#This Row],[TOTAL PAYMENT]]-PaymentSchedule345[[#This Row],[INTEREST]],"")</f>
        <v>4848.4540258384695</v>
      </c>
      <c r="I327" s="19">
        <f>IF(PaymentSchedule345[[#This Row],[PMT NO]]&lt;&gt;"",PaymentSchedule345[[#This Row],[BEGINNING BALANCE]]*(InterestRate/PaymentsPerYear),"")</f>
        <v>4142.8027210593118</v>
      </c>
      <c r="J32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1099898.9382566446</v>
      </c>
      <c r="K327" s="19">
        <f>IF(PaymentSchedule345[[#This Row],[PMT NO]]&lt;&gt;"",SUM(INDEX(PaymentSchedule345[INTEREST],1,1):PaymentSchedule345[[#This Row],[INTEREST]]),"")</f>
        <v>1941136.070276343</v>
      </c>
    </row>
    <row r="328" spans="2:11" x14ac:dyDescent="0.3">
      <c r="B328" s="21">
        <f>IF(LoanIsGood,IF(ROW()-ROW(PaymentSchedule345[[#Headers],[PMT NO]])&gt;ScheduledNumberOfPayments,"",ROW()-ROW(PaymentSchedule345[[#Headers],[PMT NO]])),"")</f>
        <v>317</v>
      </c>
      <c r="C328" s="20">
        <f>IF(PaymentSchedule345[[#This Row],[PMT NO]]&lt;&gt;"",EOMONTH(LoanStartDate,ROW(PaymentSchedule345[[#This Row],[PMT NO]])-ROW(PaymentSchedule345[[#Headers],[PMT NO]])-2)+DAY(LoanStartDate),"")</f>
        <v>53267</v>
      </c>
      <c r="D32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1099898.9382566446</v>
      </c>
      <c r="E328" s="19">
        <f>IF(PaymentSchedule345[[#This Row],[PMT NO]]&lt;&gt;"",ScheduledPayment,"")</f>
        <v>8991.2567468977813</v>
      </c>
      <c r="F32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2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28" s="19">
        <f>IF(PaymentSchedule345[[#This Row],[PMT NO]]&lt;&gt;"",PaymentSchedule345[[#This Row],[TOTAL PAYMENT]]-PaymentSchedule345[[#This Row],[INTEREST]],"")</f>
        <v>4866.6357284353644</v>
      </c>
      <c r="I328" s="19">
        <f>IF(PaymentSchedule345[[#This Row],[PMT NO]]&lt;&gt;"",PaymentSchedule345[[#This Row],[BEGINNING BALANCE]]*(InterestRate/PaymentsPerYear),"")</f>
        <v>4124.6210184624169</v>
      </c>
      <c r="J32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1095032.3025282093</v>
      </c>
      <c r="K328" s="19">
        <f>IF(PaymentSchedule345[[#This Row],[PMT NO]]&lt;&gt;"",SUM(INDEX(PaymentSchedule345[INTEREST],1,1):PaymentSchedule345[[#This Row],[INTEREST]]),"")</f>
        <v>1945260.6912948054</v>
      </c>
    </row>
    <row r="329" spans="2:11" x14ac:dyDescent="0.3">
      <c r="B329" s="21">
        <f>IF(LoanIsGood,IF(ROW()-ROW(PaymentSchedule345[[#Headers],[PMT NO]])&gt;ScheduledNumberOfPayments,"",ROW()-ROW(PaymentSchedule345[[#Headers],[PMT NO]])),"")</f>
        <v>318</v>
      </c>
      <c r="C329" s="20">
        <f>IF(PaymentSchedule345[[#This Row],[PMT NO]]&lt;&gt;"",EOMONTH(LoanStartDate,ROW(PaymentSchedule345[[#This Row],[PMT NO]])-ROW(PaymentSchedule345[[#Headers],[PMT NO]])-2)+DAY(LoanStartDate),"")</f>
        <v>53297</v>
      </c>
      <c r="D32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1095032.3025282093</v>
      </c>
      <c r="E329" s="19">
        <f>IF(PaymentSchedule345[[#This Row],[PMT NO]]&lt;&gt;"",ScheduledPayment,"")</f>
        <v>8991.2567468977813</v>
      </c>
      <c r="F32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2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29" s="19">
        <f>IF(PaymentSchedule345[[#This Row],[PMT NO]]&lt;&gt;"",PaymentSchedule345[[#This Row],[TOTAL PAYMENT]]-PaymentSchedule345[[#This Row],[INTEREST]],"")</f>
        <v>4884.885612416997</v>
      </c>
      <c r="I329" s="19">
        <f>IF(PaymentSchedule345[[#This Row],[PMT NO]]&lt;&gt;"",PaymentSchedule345[[#This Row],[BEGINNING BALANCE]]*(InterestRate/PaymentsPerYear),"")</f>
        <v>4106.3711344807843</v>
      </c>
      <c r="J32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1090147.4169157923</v>
      </c>
      <c r="K329" s="19">
        <f>IF(PaymentSchedule345[[#This Row],[PMT NO]]&lt;&gt;"",SUM(INDEX(PaymentSchedule345[INTEREST],1,1):PaymentSchedule345[[#This Row],[INTEREST]]),"")</f>
        <v>1949367.0624292861</v>
      </c>
    </row>
    <row r="330" spans="2:11" x14ac:dyDescent="0.3">
      <c r="B330" s="21">
        <f>IF(LoanIsGood,IF(ROW()-ROW(PaymentSchedule345[[#Headers],[PMT NO]])&gt;ScheduledNumberOfPayments,"",ROW()-ROW(PaymentSchedule345[[#Headers],[PMT NO]])),"")</f>
        <v>319</v>
      </c>
      <c r="C330" s="20">
        <f>IF(PaymentSchedule345[[#This Row],[PMT NO]]&lt;&gt;"",EOMONTH(LoanStartDate,ROW(PaymentSchedule345[[#This Row],[PMT NO]])-ROW(PaymentSchedule345[[#Headers],[PMT NO]])-2)+DAY(LoanStartDate),"")</f>
        <v>53328</v>
      </c>
      <c r="D33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1090147.4169157923</v>
      </c>
      <c r="E330" s="19">
        <f>IF(PaymentSchedule345[[#This Row],[PMT NO]]&lt;&gt;"",ScheduledPayment,"")</f>
        <v>8991.2567468977813</v>
      </c>
      <c r="F33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3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30" s="19">
        <f>IF(PaymentSchedule345[[#This Row],[PMT NO]]&lt;&gt;"",PaymentSchedule345[[#This Row],[TOTAL PAYMENT]]-PaymentSchedule345[[#This Row],[INTEREST]],"")</f>
        <v>4903.203933463561</v>
      </c>
      <c r="I330" s="19">
        <f>IF(PaymentSchedule345[[#This Row],[PMT NO]]&lt;&gt;"",PaymentSchedule345[[#This Row],[BEGINNING BALANCE]]*(InterestRate/PaymentsPerYear),"")</f>
        <v>4088.0528134342208</v>
      </c>
      <c r="J33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1085244.2129823286</v>
      </c>
      <c r="K330" s="19">
        <f>IF(PaymentSchedule345[[#This Row],[PMT NO]]&lt;&gt;"",SUM(INDEX(PaymentSchedule345[INTEREST],1,1):PaymentSchedule345[[#This Row],[INTEREST]]),"")</f>
        <v>1953455.1152427203</v>
      </c>
    </row>
    <row r="331" spans="2:11" x14ac:dyDescent="0.3">
      <c r="B331" s="21">
        <f>IF(LoanIsGood,IF(ROW()-ROW(PaymentSchedule345[[#Headers],[PMT NO]])&gt;ScheduledNumberOfPayments,"",ROW()-ROW(PaymentSchedule345[[#Headers],[PMT NO]])),"")</f>
        <v>320</v>
      </c>
      <c r="C331" s="20">
        <f>IF(PaymentSchedule345[[#This Row],[PMT NO]]&lt;&gt;"",EOMONTH(LoanStartDate,ROW(PaymentSchedule345[[#This Row],[PMT NO]])-ROW(PaymentSchedule345[[#Headers],[PMT NO]])-2)+DAY(LoanStartDate),"")</f>
        <v>53359</v>
      </c>
      <c r="D33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1085244.2129823286</v>
      </c>
      <c r="E331" s="19">
        <f>IF(PaymentSchedule345[[#This Row],[PMT NO]]&lt;&gt;"",ScheduledPayment,"")</f>
        <v>8991.2567468977813</v>
      </c>
      <c r="F33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3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31" s="19">
        <f>IF(PaymentSchedule345[[#This Row],[PMT NO]]&lt;&gt;"",PaymentSchedule345[[#This Row],[TOTAL PAYMENT]]-PaymentSchedule345[[#This Row],[INTEREST]],"")</f>
        <v>4921.5909482140487</v>
      </c>
      <c r="I331" s="19">
        <f>IF(PaymentSchedule345[[#This Row],[PMT NO]]&lt;&gt;"",PaymentSchedule345[[#This Row],[BEGINNING BALANCE]]*(InterestRate/PaymentsPerYear),"")</f>
        <v>4069.6657986837322</v>
      </c>
      <c r="J33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1080322.6220341146</v>
      </c>
      <c r="K331" s="19">
        <f>IF(PaymentSchedule345[[#This Row],[PMT NO]]&lt;&gt;"",SUM(INDEX(PaymentSchedule345[INTEREST],1,1):PaymentSchedule345[[#This Row],[INTEREST]]),"")</f>
        <v>1957524.781041404</v>
      </c>
    </row>
    <row r="332" spans="2:11" x14ac:dyDescent="0.3">
      <c r="B332" s="21">
        <f>IF(LoanIsGood,IF(ROW()-ROW(PaymentSchedule345[[#Headers],[PMT NO]])&gt;ScheduledNumberOfPayments,"",ROW()-ROW(PaymentSchedule345[[#Headers],[PMT NO]])),"")</f>
        <v>321</v>
      </c>
      <c r="C332" s="20">
        <f>IF(PaymentSchedule345[[#This Row],[PMT NO]]&lt;&gt;"",EOMONTH(LoanStartDate,ROW(PaymentSchedule345[[#This Row],[PMT NO]])-ROW(PaymentSchedule345[[#Headers],[PMT NO]])-2)+DAY(LoanStartDate),"")</f>
        <v>53387</v>
      </c>
      <c r="D33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1080322.6220341146</v>
      </c>
      <c r="E332" s="19">
        <f>IF(PaymentSchedule345[[#This Row],[PMT NO]]&lt;&gt;"",ScheduledPayment,"")</f>
        <v>8991.2567468977813</v>
      </c>
      <c r="F33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3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32" s="19">
        <f>IF(PaymentSchedule345[[#This Row],[PMT NO]]&lt;&gt;"",PaymentSchedule345[[#This Row],[TOTAL PAYMENT]]-PaymentSchedule345[[#This Row],[INTEREST]],"")</f>
        <v>4940.0469142698521</v>
      </c>
      <c r="I332" s="19">
        <f>IF(PaymentSchedule345[[#This Row],[PMT NO]]&lt;&gt;"",PaymentSchedule345[[#This Row],[BEGINNING BALANCE]]*(InterestRate/PaymentsPerYear),"")</f>
        <v>4051.2098326279292</v>
      </c>
      <c r="J33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1075382.5751198446</v>
      </c>
      <c r="K332" s="19">
        <f>IF(PaymentSchedule345[[#This Row],[PMT NO]]&lt;&gt;"",SUM(INDEX(PaymentSchedule345[INTEREST],1,1):PaymentSchedule345[[#This Row],[INTEREST]]),"")</f>
        <v>1961575.990874032</v>
      </c>
    </row>
    <row r="333" spans="2:11" x14ac:dyDescent="0.3">
      <c r="B333" s="21">
        <f>IF(LoanIsGood,IF(ROW()-ROW(PaymentSchedule345[[#Headers],[PMT NO]])&gt;ScheduledNumberOfPayments,"",ROW()-ROW(PaymentSchedule345[[#Headers],[PMT NO]])),"")</f>
        <v>322</v>
      </c>
      <c r="C333" s="20">
        <f>IF(PaymentSchedule345[[#This Row],[PMT NO]]&lt;&gt;"",EOMONTH(LoanStartDate,ROW(PaymentSchedule345[[#This Row],[PMT NO]])-ROW(PaymentSchedule345[[#Headers],[PMT NO]])-2)+DAY(LoanStartDate),"")</f>
        <v>53418</v>
      </c>
      <c r="D33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1075382.5751198446</v>
      </c>
      <c r="E333" s="19">
        <f>IF(PaymentSchedule345[[#This Row],[PMT NO]]&lt;&gt;"",ScheduledPayment,"")</f>
        <v>8991.2567468977813</v>
      </c>
      <c r="F33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3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33" s="19">
        <f>IF(PaymentSchedule345[[#This Row],[PMT NO]]&lt;&gt;"",PaymentSchedule345[[#This Row],[TOTAL PAYMENT]]-PaymentSchedule345[[#This Row],[INTEREST]],"")</f>
        <v>4958.5720901983641</v>
      </c>
      <c r="I333" s="19">
        <f>IF(PaymentSchedule345[[#This Row],[PMT NO]]&lt;&gt;"",PaymentSchedule345[[#This Row],[BEGINNING BALANCE]]*(InterestRate/PaymentsPerYear),"")</f>
        <v>4032.6846566994172</v>
      </c>
      <c r="J33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1070424.0030296464</v>
      </c>
      <c r="K333" s="19">
        <f>IF(PaymentSchedule345[[#This Row],[PMT NO]]&lt;&gt;"",SUM(INDEX(PaymentSchedule345[INTEREST],1,1):PaymentSchedule345[[#This Row],[INTEREST]]),"")</f>
        <v>1965608.6755307314</v>
      </c>
    </row>
    <row r="334" spans="2:11" x14ac:dyDescent="0.3">
      <c r="B334" s="21">
        <f>IF(LoanIsGood,IF(ROW()-ROW(PaymentSchedule345[[#Headers],[PMT NO]])&gt;ScheduledNumberOfPayments,"",ROW()-ROW(PaymentSchedule345[[#Headers],[PMT NO]])),"")</f>
        <v>323</v>
      </c>
      <c r="C334" s="20">
        <f>IF(PaymentSchedule345[[#This Row],[PMT NO]]&lt;&gt;"",EOMONTH(LoanStartDate,ROW(PaymentSchedule345[[#This Row],[PMT NO]])-ROW(PaymentSchedule345[[#Headers],[PMT NO]])-2)+DAY(LoanStartDate),"")</f>
        <v>53448</v>
      </c>
      <c r="D33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1070424.0030296464</v>
      </c>
      <c r="E334" s="19">
        <f>IF(PaymentSchedule345[[#This Row],[PMT NO]]&lt;&gt;"",ScheduledPayment,"")</f>
        <v>8991.2567468977813</v>
      </c>
      <c r="F33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3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34" s="19">
        <f>IF(PaymentSchedule345[[#This Row],[PMT NO]]&lt;&gt;"",PaymentSchedule345[[#This Row],[TOTAL PAYMENT]]-PaymentSchedule345[[#This Row],[INTEREST]],"")</f>
        <v>4977.166735536608</v>
      </c>
      <c r="I334" s="19">
        <f>IF(PaymentSchedule345[[#This Row],[PMT NO]]&lt;&gt;"",PaymentSchedule345[[#This Row],[BEGINNING BALANCE]]*(InterestRate/PaymentsPerYear),"")</f>
        <v>4014.0900113611738</v>
      </c>
      <c r="J33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1065446.8362941097</v>
      </c>
      <c r="K334" s="19">
        <f>IF(PaymentSchedule345[[#This Row],[PMT NO]]&lt;&gt;"",SUM(INDEX(PaymentSchedule345[INTEREST],1,1):PaymentSchedule345[[#This Row],[INTEREST]]),"")</f>
        <v>1969622.7655420927</v>
      </c>
    </row>
    <row r="335" spans="2:11" x14ac:dyDescent="0.3">
      <c r="B335" s="21">
        <f>IF(LoanIsGood,IF(ROW()-ROW(PaymentSchedule345[[#Headers],[PMT NO]])&gt;ScheduledNumberOfPayments,"",ROW()-ROW(PaymentSchedule345[[#Headers],[PMT NO]])),"")</f>
        <v>324</v>
      </c>
      <c r="C335" s="20">
        <f>IF(PaymentSchedule345[[#This Row],[PMT NO]]&lt;&gt;"",EOMONTH(LoanStartDate,ROW(PaymentSchedule345[[#This Row],[PMT NO]])-ROW(PaymentSchedule345[[#Headers],[PMT NO]])-2)+DAY(LoanStartDate),"")</f>
        <v>53479</v>
      </c>
      <c r="D33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1065446.8362941097</v>
      </c>
      <c r="E335" s="19">
        <f>IF(PaymentSchedule345[[#This Row],[PMT NO]]&lt;&gt;"",ScheduledPayment,"")</f>
        <v>8991.2567468977813</v>
      </c>
      <c r="F33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3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35" s="19">
        <f>IF(PaymentSchedule345[[#This Row],[PMT NO]]&lt;&gt;"",PaymentSchedule345[[#This Row],[TOTAL PAYMENT]]-PaymentSchedule345[[#This Row],[INTEREST]],"")</f>
        <v>4995.8311107948703</v>
      </c>
      <c r="I335" s="19">
        <f>IF(PaymentSchedule345[[#This Row],[PMT NO]]&lt;&gt;"",PaymentSchedule345[[#This Row],[BEGINNING BALANCE]]*(InterestRate/PaymentsPerYear),"")</f>
        <v>3995.4256361029111</v>
      </c>
      <c r="J33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1060451.0051833149</v>
      </c>
      <c r="K335" s="19">
        <f>IF(PaymentSchedule345[[#This Row],[PMT NO]]&lt;&gt;"",SUM(INDEX(PaymentSchedule345[INTEREST],1,1):PaymentSchedule345[[#This Row],[INTEREST]]),"")</f>
        <v>1973618.1911781956</v>
      </c>
    </row>
    <row r="336" spans="2:11" x14ac:dyDescent="0.3">
      <c r="B336" s="21">
        <f>IF(LoanIsGood,IF(ROW()-ROW(PaymentSchedule345[[#Headers],[PMT NO]])&gt;ScheduledNumberOfPayments,"",ROW()-ROW(PaymentSchedule345[[#Headers],[PMT NO]])),"")</f>
        <v>325</v>
      </c>
      <c r="C336" s="20">
        <f>IF(PaymentSchedule345[[#This Row],[PMT NO]]&lt;&gt;"",EOMONTH(LoanStartDate,ROW(PaymentSchedule345[[#This Row],[PMT NO]])-ROW(PaymentSchedule345[[#Headers],[PMT NO]])-2)+DAY(LoanStartDate),"")</f>
        <v>53509</v>
      </c>
      <c r="D33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1060451.0051833149</v>
      </c>
      <c r="E336" s="19">
        <f>IF(PaymentSchedule345[[#This Row],[PMT NO]]&lt;&gt;"",ScheduledPayment,"")</f>
        <v>8991.2567468977813</v>
      </c>
      <c r="F33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3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36" s="19">
        <f>IF(PaymentSchedule345[[#This Row],[PMT NO]]&lt;&gt;"",PaymentSchedule345[[#This Row],[TOTAL PAYMENT]]-PaymentSchedule345[[#This Row],[INTEREST]],"")</f>
        <v>5014.5654774603499</v>
      </c>
      <c r="I336" s="19">
        <f>IF(PaymentSchedule345[[#This Row],[PMT NO]]&lt;&gt;"",PaymentSchedule345[[#This Row],[BEGINNING BALANCE]]*(InterestRate/PaymentsPerYear),"")</f>
        <v>3976.6912694374309</v>
      </c>
      <c r="J33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1055436.4397058545</v>
      </c>
      <c r="K336" s="19">
        <f>IF(PaymentSchedule345[[#This Row],[PMT NO]]&lt;&gt;"",SUM(INDEX(PaymentSchedule345[INTEREST],1,1):PaymentSchedule345[[#This Row],[INTEREST]]),"")</f>
        <v>1977594.882447633</v>
      </c>
    </row>
    <row r="337" spans="2:11" x14ac:dyDescent="0.3">
      <c r="B337" s="21">
        <f>IF(LoanIsGood,IF(ROW()-ROW(PaymentSchedule345[[#Headers],[PMT NO]])&gt;ScheduledNumberOfPayments,"",ROW()-ROW(PaymentSchedule345[[#Headers],[PMT NO]])),"")</f>
        <v>326</v>
      </c>
      <c r="C337" s="20">
        <f>IF(PaymentSchedule345[[#This Row],[PMT NO]]&lt;&gt;"",EOMONTH(LoanStartDate,ROW(PaymentSchedule345[[#This Row],[PMT NO]])-ROW(PaymentSchedule345[[#Headers],[PMT NO]])-2)+DAY(LoanStartDate),"")</f>
        <v>53540</v>
      </c>
      <c r="D33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1055436.4397058545</v>
      </c>
      <c r="E337" s="19">
        <f>IF(PaymentSchedule345[[#This Row],[PMT NO]]&lt;&gt;"",ScheduledPayment,"")</f>
        <v>8991.2567468977813</v>
      </c>
      <c r="F33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3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37" s="19">
        <f>IF(PaymentSchedule345[[#This Row],[PMT NO]]&lt;&gt;"",PaymentSchedule345[[#This Row],[TOTAL PAYMENT]]-PaymentSchedule345[[#This Row],[INTEREST]],"")</f>
        <v>5033.3700980008271</v>
      </c>
      <c r="I337" s="19">
        <f>IF(PaymentSchedule345[[#This Row],[PMT NO]]&lt;&gt;"",PaymentSchedule345[[#This Row],[BEGINNING BALANCE]]*(InterestRate/PaymentsPerYear),"")</f>
        <v>3957.8866488969543</v>
      </c>
      <c r="J33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1050403.0696078537</v>
      </c>
      <c r="K337" s="19">
        <f>IF(PaymentSchedule345[[#This Row],[PMT NO]]&lt;&gt;"",SUM(INDEX(PaymentSchedule345[INTEREST],1,1):PaymentSchedule345[[#This Row],[INTEREST]]),"")</f>
        <v>1981552.7690965298</v>
      </c>
    </row>
    <row r="338" spans="2:11" x14ac:dyDescent="0.3">
      <c r="B338" s="21">
        <f>IF(LoanIsGood,IF(ROW()-ROW(PaymentSchedule345[[#Headers],[PMT NO]])&gt;ScheduledNumberOfPayments,"",ROW()-ROW(PaymentSchedule345[[#Headers],[PMT NO]])),"")</f>
        <v>327</v>
      </c>
      <c r="C338" s="20">
        <f>IF(PaymentSchedule345[[#This Row],[PMT NO]]&lt;&gt;"",EOMONTH(LoanStartDate,ROW(PaymentSchedule345[[#This Row],[PMT NO]])-ROW(PaymentSchedule345[[#Headers],[PMT NO]])-2)+DAY(LoanStartDate),"")</f>
        <v>53571</v>
      </c>
      <c r="D33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1050403.0696078537</v>
      </c>
      <c r="E338" s="19">
        <f>IF(PaymentSchedule345[[#This Row],[PMT NO]]&lt;&gt;"",ScheduledPayment,"")</f>
        <v>8991.2567468977813</v>
      </c>
      <c r="F33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3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38" s="19">
        <f>IF(PaymentSchedule345[[#This Row],[PMT NO]]&lt;&gt;"",PaymentSchedule345[[#This Row],[TOTAL PAYMENT]]-PaymentSchedule345[[#This Row],[INTEREST]],"")</f>
        <v>5052.2452358683304</v>
      </c>
      <c r="I338" s="19">
        <f>IF(PaymentSchedule345[[#This Row],[PMT NO]]&lt;&gt;"",PaymentSchedule345[[#This Row],[BEGINNING BALANCE]]*(InterestRate/PaymentsPerYear),"")</f>
        <v>3939.011511029451</v>
      </c>
      <c r="J33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1045350.8243719853</v>
      </c>
      <c r="K338" s="19">
        <f>IF(PaymentSchedule345[[#This Row],[PMT NO]]&lt;&gt;"",SUM(INDEX(PaymentSchedule345[INTEREST],1,1):PaymentSchedule345[[#This Row],[INTEREST]]),"")</f>
        <v>1985491.7806075593</v>
      </c>
    </row>
    <row r="339" spans="2:11" x14ac:dyDescent="0.3">
      <c r="B339" s="21">
        <f>IF(LoanIsGood,IF(ROW()-ROW(PaymentSchedule345[[#Headers],[PMT NO]])&gt;ScheduledNumberOfPayments,"",ROW()-ROW(PaymentSchedule345[[#Headers],[PMT NO]])),"")</f>
        <v>328</v>
      </c>
      <c r="C339" s="20">
        <f>IF(PaymentSchedule345[[#This Row],[PMT NO]]&lt;&gt;"",EOMONTH(LoanStartDate,ROW(PaymentSchedule345[[#This Row],[PMT NO]])-ROW(PaymentSchedule345[[#Headers],[PMT NO]])-2)+DAY(LoanStartDate),"")</f>
        <v>53601</v>
      </c>
      <c r="D33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1045350.8243719853</v>
      </c>
      <c r="E339" s="19">
        <f>IF(PaymentSchedule345[[#This Row],[PMT NO]]&lt;&gt;"",ScheduledPayment,"")</f>
        <v>8991.2567468977813</v>
      </c>
      <c r="F33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3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39" s="19">
        <f>IF(PaymentSchedule345[[#This Row],[PMT NO]]&lt;&gt;"",PaymentSchedule345[[#This Row],[TOTAL PAYMENT]]-PaymentSchedule345[[#This Row],[INTEREST]],"")</f>
        <v>5071.1911555028364</v>
      </c>
      <c r="I339" s="19">
        <f>IF(PaymentSchedule345[[#This Row],[PMT NO]]&lt;&gt;"",PaymentSchedule345[[#This Row],[BEGINNING BALANCE]]*(InterestRate/PaymentsPerYear),"")</f>
        <v>3920.0655913949445</v>
      </c>
      <c r="J33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1040279.6332164825</v>
      </c>
      <c r="K339" s="19">
        <f>IF(PaymentSchedule345[[#This Row],[PMT NO]]&lt;&gt;"",SUM(INDEX(PaymentSchedule345[INTEREST],1,1):PaymentSchedule345[[#This Row],[INTEREST]]),"")</f>
        <v>1989411.8461989542</v>
      </c>
    </row>
    <row r="340" spans="2:11" x14ac:dyDescent="0.3">
      <c r="B340" s="21">
        <f>IF(LoanIsGood,IF(ROW()-ROW(PaymentSchedule345[[#Headers],[PMT NO]])&gt;ScheduledNumberOfPayments,"",ROW()-ROW(PaymentSchedule345[[#Headers],[PMT NO]])),"")</f>
        <v>329</v>
      </c>
      <c r="C340" s="20">
        <f>IF(PaymentSchedule345[[#This Row],[PMT NO]]&lt;&gt;"",EOMONTH(LoanStartDate,ROW(PaymentSchedule345[[#This Row],[PMT NO]])-ROW(PaymentSchedule345[[#Headers],[PMT NO]])-2)+DAY(LoanStartDate),"")</f>
        <v>53632</v>
      </c>
      <c r="D34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1040279.6332164825</v>
      </c>
      <c r="E340" s="19">
        <f>IF(PaymentSchedule345[[#This Row],[PMT NO]]&lt;&gt;"",ScheduledPayment,"")</f>
        <v>8991.2567468977813</v>
      </c>
      <c r="F34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4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40" s="19">
        <f>IF(PaymentSchedule345[[#This Row],[PMT NO]]&lt;&gt;"",PaymentSchedule345[[#This Row],[TOTAL PAYMENT]]-PaymentSchedule345[[#This Row],[INTEREST]],"")</f>
        <v>5090.2081223359728</v>
      </c>
      <c r="I340" s="19">
        <f>IF(PaymentSchedule345[[#This Row],[PMT NO]]&lt;&gt;"",PaymentSchedule345[[#This Row],[BEGINNING BALANCE]]*(InterestRate/PaymentsPerYear),"")</f>
        <v>3901.048624561809</v>
      </c>
      <c r="J34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1035189.4250941465</v>
      </c>
      <c r="K340" s="19">
        <f>IF(PaymentSchedule345[[#This Row],[PMT NO]]&lt;&gt;"",SUM(INDEX(PaymentSchedule345[INTEREST],1,1):PaymentSchedule345[[#This Row],[INTEREST]]),"")</f>
        <v>1993312.894823516</v>
      </c>
    </row>
    <row r="341" spans="2:11" x14ac:dyDescent="0.3">
      <c r="B341" s="21">
        <f>IF(LoanIsGood,IF(ROW()-ROW(PaymentSchedule345[[#Headers],[PMT NO]])&gt;ScheduledNumberOfPayments,"",ROW()-ROW(PaymentSchedule345[[#Headers],[PMT NO]])),"")</f>
        <v>330</v>
      </c>
      <c r="C341" s="20">
        <f>IF(PaymentSchedule345[[#This Row],[PMT NO]]&lt;&gt;"",EOMONTH(LoanStartDate,ROW(PaymentSchedule345[[#This Row],[PMT NO]])-ROW(PaymentSchedule345[[#Headers],[PMT NO]])-2)+DAY(LoanStartDate),"")</f>
        <v>53662</v>
      </c>
      <c r="D34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1035189.4250941465</v>
      </c>
      <c r="E341" s="19">
        <f>IF(PaymentSchedule345[[#This Row],[PMT NO]]&lt;&gt;"",ScheduledPayment,"")</f>
        <v>8991.2567468977813</v>
      </c>
      <c r="F34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4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41" s="19">
        <f>IF(PaymentSchedule345[[#This Row],[PMT NO]]&lt;&gt;"",PaymentSchedule345[[#This Row],[TOTAL PAYMENT]]-PaymentSchedule345[[#This Row],[INTEREST]],"")</f>
        <v>5109.2964027947319</v>
      </c>
      <c r="I341" s="19">
        <f>IF(PaymentSchedule345[[#This Row],[PMT NO]]&lt;&gt;"",PaymentSchedule345[[#This Row],[BEGINNING BALANCE]]*(InterestRate/PaymentsPerYear),"")</f>
        <v>3881.9603441030495</v>
      </c>
      <c r="J34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1030080.1286913517</v>
      </c>
      <c r="K341" s="19">
        <f>IF(PaymentSchedule345[[#This Row],[PMT NO]]&lt;&gt;"",SUM(INDEX(PaymentSchedule345[INTEREST],1,1):PaymentSchedule345[[#This Row],[INTEREST]]),"")</f>
        <v>1997194.8551676192</v>
      </c>
    </row>
    <row r="342" spans="2:11" x14ac:dyDescent="0.3">
      <c r="B342" s="21">
        <f>IF(LoanIsGood,IF(ROW()-ROW(PaymentSchedule345[[#Headers],[PMT NO]])&gt;ScheduledNumberOfPayments,"",ROW()-ROW(PaymentSchedule345[[#Headers],[PMT NO]])),"")</f>
        <v>331</v>
      </c>
      <c r="C342" s="20">
        <f>IF(PaymentSchedule345[[#This Row],[PMT NO]]&lt;&gt;"",EOMONTH(LoanStartDate,ROW(PaymentSchedule345[[#This Row],[PMT NO]])-ROW(PaymentSchedule345[[#Headers],[PMT NO]])-2)+DAY(LoanStartDate),"")</f>
        <v>53693</v>
      </c>
      <c r="D34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1030080.1286913517</v>
      </c>
      <c r="E342" s="19">
        <f>IF(PaymentSchedule345[[#This Row],[PMT NO]]&lt;&gt;"",ScheduledPayment,"")</f>
        <v>8991.2567468977813</v>
      </c>
      <c r="F34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4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42" s="19">
        <f>IF(PaymentSchedule345[[#This Row],[PMT NO]]&lt;&gt;"",PaymentSchedule345[[#This Row],[TOTAL PAYMENT]]-PaymentSchedule345[[#This Row],[INTEREST]],"")</f>
        <v>5128.4562643052122</v>
      </c>
      <c r="I342" s="19">
        <f>IF(PaymentSchedule345[[#This Row],[PMT NO]]&lt;&gt;"",PaymentSchedule345[[#This Row],[BEGINNING BALANCE]]*(InterestRate/PaymentsPerYear),"")</f>
        <v>3862.8004825925691</v>
      </c>
      <c r="J34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1024951.6724270466</v>
      </c>
      <c r="K342" s="19">
        <f>IF(PaymentSchedule345[[#This Row],[PMT NO]]&lt;&gt;"",SUM(INDEX(PaymentSchedule345[INTEREST],1,1):PaymentSchedule345[[#This Row],[INTEREST]]),"")</f>
        <v>2001057.6556502117</v>
      </c>
    </row>
    <row r="343" spans="2:11" x14ac:dyDescent="0.3">
      <c r="B343" s="21">
        <f>IF(LoanIsGood,IF(ROW()-ROW(PaymentSchedule345[[#Headers],[PMT NO]])&gt;ScheduledNumberOfPayments,"",ROW()-ROW(PaymentSchedule345[[#Headers],[PMT NO]])),"")</f>
        <v>332</v>
      </c>
      <c r="C343" s="20">
        <f>IF(PaymentSchedule345[[#This Row],[PMT NO]]&lt;&gt;"",EOMONTH(LoanStartDate,ROW(PaymentSchedule345[[#This Row],[PMT NO]])-ROW(PaymentSchedule345[[#Headers],[PMT NO]])-2)+DAY(LoanStartDate),"")</f>
        <v>53724</v>
      </c>
      <c r="D34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1024951.6724270466</v>
      </c>
      <c r="E343" s="19">
        <f>IF(PaymentSchedule345[[#This Row],[PMT NO]]&lt;&gt;"",ScheduledPayment,"")</f>
        <v>8991.2567468977813</v>
      </c>
      <c r="F34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4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43" s="19">
        <f>IF(PaymentSchedule345[[#This Row],[PMT NO]]&lt;&gt;"",PaymentSchedule345[[#This Row],[TOTAL PAYMENT]]-PaymentSchedule345[[#This Row],[INTEREST]],"")</f>
        <v>5147.6879752963569</v>
      </c>
      <c r="I343" s="19">
        <f>IF(PaymentSchedule345[[#This Row],[PMT NO]]&lt;&gt;"",PaymentSchedule345[[#This Row],[BEGINNING BALANCE]]*(InterestRate/PaymentsPerYear),"")</f>
        <v>3843.5687716014245</v>
      </c>
      <c r="J34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1019803.9844517502</v>
      </c>
      <c r="K343" s="19">
        <f>IF(PaymentSchedule345[[#This Row],[PMT NO]]&lt;&gt;"",SUM(INDEX(PaymentSchedule345[INTEREST],1,1):PaymentSchedule345[[#This Row],[INTEREST]]),"")</f>
        <v>2004901.2244218132</v>
      </c>
    </row>
    <row r="344" spans="2:11" x14ac:dyDescent="0.3">
      <c r="B344" s="21">
        <f>IF(LoanIsGood,IF(ROW()-ROW(PaymentSchedule345[[#Headers],[PMT NO]])&gt;ScheduledNumberOfPayments,"",ROW()-ROW(PaymentSchedule345[[#Headers],[PMT NO]])),"")</f>
        <v>333</v>
      </c>
      <c r="C344" s="20">
        <f>IF(PaymentSchedule345[[#This Row],[PMT NO]]&lt;&gt;"",EOMONTH(LoanStartDate,ROW(PaymentSchedule345[[#This Row],[PMT NO]])-ROW(PaymentSchedule345[[#Headers],[PMT NO]])-2)+DAY(LoanStartDate),"")</f>
        <v>53752</v>
      </c>
      <c r="D34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1019803.9844517502</v>
      </c>
      <c r="E344" s="19">
        <f>IF(PaymentSchedule345[[#This Row],[PMT NO]]&lt;&gt;"",ScheduledPayment,"")</f>
        <v>8991.2567468977813</v>
      </c>
      <c r="F34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4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44" s="19">
        <f>IF(PaymentSchedule345[[#This Row],[PMT NO]]&lt;&gt;"",PaymentSchedule345[[#This Row],[TOTAL PAYMENT]]-PaymentSchedule345[[#This Row],[INTEREST]],"")</f>
        <v>5166.9918052037183</v>
      </c>
      <c r="I344" s="19">
        <f>IF(PaymentSchedule345[[#This Row],[PMT NO]]&lt;&gt;"",PaymentSchedule345[[#This Row],[BEGINNING BALANCE]]*(InterestRate/PaymentsPerYear),"")</f>
        <v>3824.2649416940631</v>
      </c>
      <c r="J34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1014636.9926465465</v>
      </c>
      <c r="K344" s="19">
        <f>IF(PaymentSchedule345[[#This Row],[PMT NO]]&lt;&gt;"",SUM(INDEX(PaymentSchedule345[INTEREST],1,1):PaymentSchedule345[[#This Row],[INTEREST]]),"")</f>
        <v>2008725.4893635071</v>
      </c>
    </row>
    <row r="345" spans="2:11" x14ac:dyDescent="0.3">
      <c r="B345" s="21">
        <f>IF(LoanIsGood,IF(ROW()-ROW(PaymentSchedule345[[#Headers],[PMT NO]])&gt;ScheduledNumberOfPayments,"",ROW()-ROW(PaymentSchedule345[[#Headers],[PMT NO]])),"")</f>
        <v>334</v>
      </c>
      <c r="C345" s="20">
        <f>IF(PaymentSchedule345[[#This Row],[PMT NO]]&lt;&gt;"",EOMONTH(LoanStartDate,ROW(PaymentSchedule345[[#This Row],[PMT NO]])-ROW(PaymentSchedule345[[#Headers],[PMT NO]])-2)+DAY(LoanStartDate),"")</f>
        <v>53783</v>
      </c>
      <c r="D34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1014636.9926465465</v>
      </c>
      <c r="E345" s="19">
        <f>IF(PaymentSchedule345[[#This Row],[PMT NO]]&lt;&gt;"",ScheduledPayment,"")</f>
        <v>8991.2567468977813</v>
      </c>
      <c r="F34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4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45" s="19">
        <f>IF(PaymentSchedule345[[#This Row],[PMT NO]]&lt;&gt;"",PaymentSchedule345[[#This Row],[TOTAL PAYMENT]]-PaymentSchedule345[[#This Row],[INTEREST]],"")</f>
        <v>5186.3680244732323</v>
      </c>
      <c r="I345" s="19">
        <f>IF(PaymentSchedule345[[#This Row],[PMT NO]]&lt;&gt;"",PaymentSchedule345[[#This Row],[BEGINNING BALANCE]]*(InterestRate/PaymentsPerYear),"")</f>
        <v>3804.8887224245491</v>
      </c>
      <c r="J34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1009450.6246220733</v>
      </c>
      <c r="K345" s="19">
        <f>IF(PaymentSchedule345[[#This Row],[PMT NO]]&lt;&gt;"",SUM(INDEX(PaymentSchedule345[INTEREST],1,1):PaymentSchedule345[[#This Row],[INTEREST]]),"")</f>
        <v>2012530.3780859318</v>
      </c>
    </row>
    <row r="346" spans="2:11" x14ac:dyDescent="0.3">
      <c r="B346" s="21">
        <f>IF(LoanIsGood,IF(ROW()-ROW(PaymentSchedule345[[#Headers],[PMT NO]])&gt;ScheduledNumberOfPayments,"",ROW()-ROW(PaymentSchedule345[[#Headers],[PMT NO]])),"")</f>
        <v>335</v>
      </c>
      <c r="C346" s="20">
        <f>IF(PaymentSchedule345[[#This Row],[PMT NO]]&lt;&gt;"",EOMONTH(LoanStartDate,ROW(PaymentSchedule345[[#This Row],[PMT NO]])-ROW(PaymentSchedule345[[#Headers],[PMT NO]])-2)+DAY(LoanStartDate),"")</f>
        <v>53813</v>
      </c>
      <c r="D34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1009450.6246220733</v>
      </c>
      <c r="E346" s="19">
        <f>IF(PaymentSchedule345[[#This Row],[PMT NO]]&lt;&gt;"",ScheduledPayment,"")</f>
        <v>8991.2567468977813</v>
      </c>
      <c r="F34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4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46" s="19">
        <f>IF(PaymentSchedule345[[#This Row],[PMT NO]]&lt;&gt;"",PaymentSchedule345[[#This Row],[TOTAL PAYMENT]]-PaymentSchedule345[[#This Row],[INTEREST]],"")</f>
        <v>5205.8169045650066</v>
      </c>
      <c r="I346" s="19">
        <f>IF(PaymentSchedule345[[#This Row],[PMT NO]]&lt;&gt;"",PaymentSchedule345[[#This Row],[BEGINNING BALANCE]]*(InterestRate/PaymentsPerYear),"")</f>
        <v>3785.4398423327748</v>
      </c>
      <c r="J34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1004244.8077175083</v>
      </c>
      <c r="K346" s="19">
        <f>IF(PaymentSchedule345[[#This Row],[PMT NO]]&lt;&gt;"",SUM(INDEX(PaymentSchedule345[INTEREST],1,1):PaymentSchedule345[[#This Row],[INTEREST]]),"")</f>
        <v>2016315.8179282646</v>
      </c>
    </row>
    <row r="347" spans="2:11" x14ac:dyDescent="0.3">
      <c r="B347" s="21">
        <f>IF(LoanIsGood,IF(ROW()-ROW(PaymentSchedule345[[#Headers],[PMT NO]])&gt;ScheduledNumberOfPayments,"",ROW()-ROW(PaymentSchedule345[[#Headers],[PMT NO]])),"")</f>
        <v>336</v>
      </c>
      <c r="C347" s="20">
        <f>IF(PaymentSchedule345[[#This Row],[PMT NO]]&lt;&gt;"",EOMONTH(LoanStartDate,ROW(PaymentSchedule345[[#This Row],[PMT NO]])-ROW(PaymentSchedule345[[#Headers],[PMT NO]])-2)+DAY(LoanStartDate),"")</f>
        <v>53844</v>
      </c>
      <c r="D34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1004244.8077175083</v>
      </c>
      <c r="E347" s="19">
        <f>IF(PaymentSchedule345[[#This Row],[PMT NO]]&lt;&gt;"",ScheduledPayment,"")</f>
        <v>8991.2567468977813</v>
      </c>
      <c r="F34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4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47" s="19">
        <f>IF(PaymentSchedule345[[#This Row],[PMT NO]]&lt;&gt;"",PaymentSchedule345[[#This Row],[TOTAL PAYMENT]]-PaymentSchedule345[[#This Row],[INTEREST]],"")</f>
        <v>5225.3387179571255</v>
      </c>
      <c r="I347" s="19">
        <f>IF(PaymentSchedule345[[#This Row],[PMT NO]]&lt;&gt;"",PaymentSchedule345[[#This Row],[BEGINNING BALANCE]]*(InterestRate/PaymentsPerYear),"")</f>
        <v>3765.9180289406559</v>
      </c>
      <c r="J34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999019.46899955114</v>
      </c>
      <c r="K347" s="19">
        <f>IF(PaymentSchedule345[[#This Row],[PMT NO]]&lt;&gt;"",SUM(INDEX(PaymentSchedule345[INTEREST],1,1):PaymentSchedule345[[#This Row],[INTEREST]]),"")</f>
        <v>2020081.7359572053</v>
      </c>
    </row>
    <row r="348" spans="2:11" x14ac:dyDescent="0.3">
      <c r="B348" s="21">
        <f>IF(LoanIsGood,IF(ROW()-ROW(PaymentSchedule345[[#Headers],[PMT NO]])&gt;ScheduledNumberOfPayments,"",ROW()-ROW(PaymentSchedule345[[#Headers],[PMT NO]])),"")</f>
        <v>337</v>
      </c>
      <c r="C348" s="20">
        <f>IF(PaymentSchedule345[[#This Row],[PMT NO]]&lt;&gt;"",EOMONTH(LoanStartDate,ROW(PaymentSchedule345[[#This Row],[PMT NO]])-ROW(PaymentSchedule345[[#Headers],[PMT NO]])-2)+DAY(LoanStartDate),"")</f>
        <v>53874</v>
      </c>
      <c r="D34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999019.46899955114</v>
      </c>
      <c r="E348" s="19">
        <f>IF(PaymentSchedule345[[#This Row],[PMT NO]]&lt;&gt;"",ScheduledPayment,"")</f>
        <v>8991.2567468977813</v>
      </c>
      <c r="F34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4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48" s="19">
        <f>IF(PaymentSchedule345[[#This Row],[PMT NO]]&lt;&gt;"",PaymentSchedule345[[#This Row],[TOTAL PAYMENT]]-PaymentSchedule345[[#This Row],[INTEREST]],"")</f>
        <v>5244.9337381494643</v>
      </c>
      <c r="I348" s="19">
        <f>IF(PaymentSchedule345[[#This Row],[PMT NO]]&lt;&gt;"",PaymentSchedule345[[#This Row],[BEGINNING BALANCE]]*(InterestRate/PaymentsPerYear),"")</f>
        <v>3746.3230087483166</v>
      </c>
      <c r="J34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993774.53526140167</v>
      </c>
      <c r="K348" s="19">
        <f>IF(PaymentSchedule345[[#This Row],[PMT NO]]&lt;&gt;"",SUM(INDEX(PaymentSchedule345[INTEREST],1,1):PaymentSchedule345[[#This Row],[INTEREST]]),"")</f>
        <v>2023828.0589659535</v>
      </c>
    </row>
    <row r="349" spans="2:11" x14ac:dyDescent="0.3">
      <c r="B349" s="21">
        <f>IF(LoanIsGood,IF(ROW()-ROW(PaymentSchedule345[[#Headers],[PMT NO]])&gt;ScheduledNumberOfPayments,"",ROW()-ROW(PaymentSchedule345[[#Headers],[PMT NO]])),"")</f>
        <v>338</v>
      </c>
      <c r="C349" s="20">
        <f>IF(PaymentSchedule345[[#This Row],[PMT NO]]&lt;&gt;"",EOMONTH(LoanStartDate,ROW(PaymentSchedule345[[#This Row],[PMT NO]])-ROW(PaymentSchedule345[[#Headers],[PMT NO]])-2)+DAY(LoanStartDate),"")</f>
        <v>53905</v>
      </c>
      <c r="D34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993774.53526140167</v>
      </c>
      <c r="E349" s="19">
        <f>IF(PaymentSchedule345[[#This Row],[PMT NO]]&lt;&gt;"",ScheduledPayment,"")</f>
        <v>8991.2567468977813</v>
      </c>
      <c r="F34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4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49" s="19">
        <f>IF(PaymentSchedule345[[#This Row],[PMT NO]]&lt;&gt;"",PaymentSchedule345[[#This Row],[TOTAL PAYMENT]]-PaymentSchedule345[[#This Row],[INTEREST]],"")</f>
        <v>5264.6022396675253</v>
      </c>
      <c r="I349" s="19">
        <f>IF(PaymentSchedule345[[#This Row],[PMT NO]]&lt;&gt;"",PaymentSchedule345[[#This Row],[BEGINNING BALANCE]]*(InterestRate/PaymentsPerYear),"")</f>
        <v>3726.6545072302561</v>
      </c>
      <c r="J34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988509.93302173412</v>
      </c>
      <c r="K349" s="19">
        <f>IF(PaymentSchedule345[[#This Row],[PMT NO]]&lt;&gt;"",SUM(INDEX(PaymentSchedule345[INTEREST],1,1):PaymentSchedule345[[#This Row],[INTEREST]]),"")</f>
        <v>2027554.7134731838</v>
      </c>
    </row>
    <row r="350" spans="2:11" x14ac:dyDescent="0.3">
      <c r="B350" s="21">
        <f>IF(LoanIsGood,IF(ROW()-ROW(PaymentSchedule345[[#Headers],[PMT NO]])&gt;ScheduledNumberOfPayments,"",ROW()-ROW(PaymentSchedule345[[#Headers],[PMT NO]])),"")</f>
        <v>339</v>
      </c>
      <c r="C350" s="20">
        <f>IF(PaymentSchedule345[[#This Row],[PMT NO]]&lt;&gt;"",EOMONTH(LoanStartDate,ROW(PaymentSchedule345[[#This Row],[PMT NO]])-ROW(PaymentSchedule345[[#Headers],[PMT NO]])-2)+DAY(LoanStartDate),"")</f>
        <v>53936</v>
      </c>
      <c r="D35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988509.93302173412</v>
      </c>
      <c r="E350" s="19">
        <f>IF(PaymentSchedule345[[#This Row],[PMT NO]]&lt;&gt;"",ScheduledPayment,"")</f>
        <v>8991.2567468977813</v>
      </c>
      <c r="F35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5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50" s="19">
        <f>IF(PaymentSchedule345[[#This Row],[PMT NO]]&lt;&gt;"",PaymentSchedule345[[#This Row],[TOTAL PAYMENT]]-PaymentSchedule345[[#This Row],[INTEREST]],"")</f>
        <v>5284.3444980662789</v>
      </c>
      <c r="I350" s="19">
        <f>IF(PaymentSchedule345[[#This Row],[PMT NO]]&lt;&gt;"",PaymentSchedule345[[#This Row],[BEGINNING BALANCE]]*(InterestRate/PaymentsPerYear),"")</f>
        <v>3706.9122488315029</v>
      </c>
      <c r="J35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983225.58852366789</v>
      </c>
      <c r="K350" s="19">
        <f>IF(PaymentSchedule345[[#This Row],[PMT NO]]&lt;&gt;"",SUM(INDEX(PaymentSchedule345[INTEREST],1,1):PaymentSchedule345[[#This Row],[INTEREST]]),"")</f>
        <v>2031261.6257220153</v>
      </c>
    </row>
    <row r="351" spans="2:11" x14ac:dyDescent="0.3">
      <c r="B351" s="21">
        <f>IF(LoanIsGood,IF(ROW()-ROW(PaymentSchedule345[[#Headers],[PMT NO]])&gt;ScheduledNumberOfPayments,"",ROW()-ROW(PaymentSchedule345[[#Headers],[PMT NO]])),"")</f>
        <v>340</v>
      </c>
      <c r="C351" s="20">
        <f>IF(PaymentSchedule345[[#This Row],[PMT NO]]&lt;&gt;"",EOMONTH(LoanStartDate,ROW(PaymentSchedule345[[#This Row],[PMT NO]])-ROW(PaymentSchedule345[[#Headers],[PMT NO]])-2)+DAY(LoanStartDate),"")</f>
        <v>53966</v>
      </c>
      <c r="D35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983225.58852366789</v>
      </c>
      <c r="E351" s="19">
        <f>IF(PaymentSchedule345[[#This Row],[PMT NO]]&lt;&gt;"",ScheduledPayment,"")</f>
        <v>8991.2567468977813</v>
      </c>
      <c r="F35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5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51" s="19">
        <f>IF(PaymentSchedule345[[#This Row],[PMT NO]]&lt;&gt;"",PaymentSchedule345[[#This Row],[TOTAL PAYMENT]]-PaymentSchedule345[[#This Row],[INTEREST]],"")</f>
        <v>5304.160789934027</v>
      </c>
      <c r="I351" s="19">
        <f>IF(PaymentSchedule345[[#This Row],[PMT NO]]&lt;&gt;"",PaymentSchedule345[[#This Row],[BEGINNING BALANCE]]*(InterestRate/PaymentsPerYear),"")</f>
        <v>3687.0959569637544</v>
      </c>
      <c r="J35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977921.4277337339</v>
      </c>
      <c r="K351" s="19">
        <f>IF(PaymentSchedule345[[#This Row],[PMT NO]]&lt;&gt;"",SUM(INDEX(PaymentSchedule345[INTEREST],1,1):PaymentSchedule345[[#This Row],[INTEREST]]),"")</f>
        <v>2034948.721678979</v>
      </c>
    </row>
    <row r="352" spans="2:11" x14ac:dyDescent="0.3">
      <c r="B352" s="21">
        <f>IF(LoanIsGood,IF(ROW()-ROW(PaymentSchedule345[[#Headers],[PMT NO]])&gt;ScheduledNumberOfPayments,"",ROW()-ROW(PaymentSchedule345[[#Headers],[PMT NO]])),"")</f>
        <v>341</v>
      </c>
      <c r="C352" s="20">
        <f>IF(PaymentSchedule345[[#This Row],[PMT NO]]&lt;&gt;"",EOMONTH(LoanStartDate,ROW(PaymentSchedule345[[#This Row],[PMT NO]])-ROW(PaymentSchedule345[[#Headers],[PMT NO]])-2)+DAY(LoanStartDate),"")</f>
        <v>53997</v>
      </c>
      <c r="D35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977921.4277337339</v>
      </c>
      <c r="E352" s="19">
        <f>IF(PaymentSchedule345[[#This Row],[PMT NO]]&lt;&gt;"",ScheduledPayment,"")</f>
        <v>8991.2567468977813</v>
      </c>
      <c r="F35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5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52" s="19">
        <f>IF(PaymentSchedule345[[#This Row],[PMT NO]]&lt;&gt;"",PaymentSchedule345[[#This Row],[TOTAL PAYMENT]]-PaymentSchedule345[[#This Row],[INTEREST]],"")</f>
        <v>5324.0513928962791</v>
      </c>
      <c r="I352" s="19">
        <f>IF(PaymentSchedule345[[#This Row],[PMT NO]]&lt;&gt;"",PaymentSchedule345[[#This Row],[BEGINNING BALANCE]]*(InterestRate/PaymentsPerYear),"")</f>
        <v>3667.2053540015022</v>
      </c>
      <c r="J35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972597.37634083757</v>
      </c>
      <c r="K352" s="19">
        <f>IF(PaymentSchedule345[[#This Row],[PMT NO]]&lt;&gt;"",SUM(INDEX(PaymentSchedule345[INTEREST],1,1):PaymentSchedule345[[#This Row],[INTEREST]]),"")</f>
        <v>2038615.9270329806</v>
      </c>
    </row>
    <row r="353" spans="2:11" x14ac:dyDescent="0.3">
      <c r="B353" s="21">
        <f>IF(LoanIsGood,IF(ROW()-ROW(PaymentSchedule345[[#Headers],[PMT NO]])&gt;ScheduledNumberOfPayments,"",ROW()-ROW(PaymentSchedule345[[#Headers],[PMT NO]])),"")</f>
        <v>342</v>
      </c>
      <c r="C353" s="20">
        <f>IF(PaymentSchedule345[[#This Row],[PMT NO]]&lt;&gt;"",EOMONTH(LoanStartDate,ROW(PaymentSchedule345[[#This Row],[PMT NO]])-ROW(PaymentSchedule345[[#Headers],[PMT NO]])-2)+DAY(LoanStartDate),"")</f>
        <v>54027</v>
      </c>
      <c r="D35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972597.37634083757</v>
      </c>
      <c r="E353" s="19">
        <f>IF(PaymentSchedule345[[#This Row],[PMT NO]]&lt;&gt;"",ScheduledPayment,"")</f>
        <v>8991.2567468977813</v>
      </c>
      <c r="F35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5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53" s="19">
        <f>IF(PaymentSchedule345[[#This Row],[PMT NO]]&lt;&gt;"",PaymentSchedule345[[#This Row],[TOTAL PAYMENT]]-PaymentSchedule345[[#This Row],[INTEREST]],"")</f>
        <v>5344.01658561964</v>
      </c>
      <c r="I353" s="19">
        <f>IF(PaymentSchedule345[[#This Row],[PMT NO]]&lt;&gt;"",PaymentSchedule345[[#This Row],[BEGINNING BALANCE]]*(InterestRate/PaymentsPerYear),"")</f>
        <v>3647.2401612781409</v>
      </c>
      <c r="J35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967253.35975521791</v>
      </c>
      <c r="K353" s="19">
        <f>IF(PaymentSchedule345[[#This Row],[PMT NO]]&lt;&gt;"",SUM(INDEX(PaymentSchedule345[INTEREST],1,1):PaymentSchedule345[[#This Row],[INTEREST]]),"")</f>
        <v>2042263.1671942587</v>
      </c>
    </row>
    <row r="354" spans="2:11" x14ac:dyDescent="0.3">
      <c r="B354" s="21">
        <f>IF(LoanIsGood,IF(ROW()-ROW(PaymentSchedule345[[#Headers],[PMT NO]])&gt;ScheduledNumberOfPayments,"",ROW()-ROW(PaymentSchedule345[[#Headers],[PMT NO]])),"")</f>
        <v>343</v>
      </c>
      <c r="C354" s="20">
        <f>IF(PaymentSchedule345[[#This Row],[PMT NO]]&lt;&gt;"",EOMONTH(LoanStartDate,ROW(PaymentSchedule345[[#This Row],[PMT NO]])-ROW(PaymentSchedule345[[#Headers],[PMT NO]])-2)+DAY(LoanStartDate),"")</f>
        <v>54058</v>
      </c>
      <c r="D35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967253.35975521791</v>
      </c>
      <c r="E354" s="19">
        <f>IF(PaymentSchedule345[[#This Row],[PMT NO]]&lt;&gt;"",ScheduledPayment,"")</f>
        <v>8991.2567468977813</v>
      </c>
      <c r="F35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5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54" s="19">
        <f>IF(PaymentSchedule345[[#This Row],[PMT NO]]&lt;&gt;"",PaymentSchedule345[[#This Row],[TOTAL PAYMENT]]-PaymentSchedule345[[#This Row],[INTEREST]],"")</f>
        <v>5364.0566478157143</v>
      </c>
      <c r="I354" s="19">
        <f>IF(PaymentSchedule345[[#This Row],[PMT NO]]&lt;&gt;"",PaymentSchedule345[[#This Row],[BEGINNING BALANCE]]*(InterestRate/PaymentsPerYear),"")</f>
        <v>3627.200099082067</v>
      </c>
      <c r="J35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961889.30310740217</v>
      </c>
      <c r="K354" s="19">
        <f>IF(PaymentSchedule345[[#This Row],[PMT NO]]&lt;&gt;"",SUM(INDEX(PaymentSchedule345[INTEREST],1,1):PaymentSchedule345[[#This Row],[INTEREST]]),"")</f>
        <v>2045890.3672933406</v>
      </c>
    </row>
    <row r="355" spans="2:11" x14ac:dyDescent="0.3">
      <c r="B355" s="21">
        <f>IF(LoanIsGood,IF(ROW()-ROW(PaymentSchedule345[[#Headers],[PMT NO]])&gt;ScheduledNumberOfPayments,"",ROW()-ROW(PaymentSchedule345[[#Headers],[PMT NO]])),"")</f>
        <v>344</v>
      </c>
      <c r="C355" s="20">
        <f>IF(PaymentSchedule345[[#This Row],[PMT NO]]&lt;&gt;"",EOMONTH(LoanStartDate,ROW(PaymentSchedule345[[#This Row],[PMT NO]])-ROW(PaymentSchedule345[[#Headers],[PMT NO]])-2)+DAY(LoanStartDate),"")</f>
        <v>54089</v>
      </c>
      <c r="D35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961889.30310740217</v>
      </c>
      <c r="E355" s="19">
        <f>IF(PaymentSchedule345[[#This Row],[PMT NO]]&lt;&gt;"",ScheduledPayment,"")</f>
        <v>8991.2567468977813</v>
      </c>
      <c r="F35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5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55" s="19">
        <f>IF(PaymentSchedule345[[#This Row],[PMT NO]]&lt;&gt;"",PaymentSchedule345[[#This Row],[TOTAL PAYMENT]]-PaymentSchedule345[[#This Row],[INTEREST]],"")</f>
        <v>5384.1718602450237</v>
      </c>
      <c r="I355" s="19">
        <f>IF(PaymentSchedule345[[#This Row],[PMT NO]]&lt;&gt;"",PaymentSchedule345[[#This Row],[BEGINNING BALANCE]]*(InterestRate/PaymentsPerYear),"")</f>
        <v>3607.0848866527581</v>
      </c>
      <c r="J35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956505.13124715711</v>
      </c>
      <c r="K355" s="19">
        <f>IF(PaymentSchedule345[[#This Row],[PMT NO]]&lt;&gt;"",SUM(INDEX(PaymentSchedule345[INTEREST],1,1):PaymentSchedule345[[#This Row],[INTEREST]]),"")</f>
        <v>2049497.4521799933</v>
      </c>
    </row>
    <row r="356" spans="2:11" x14ac:dyDescent="0.3">
      <c r="B356" s="21">
        <f>IF(LoanIsGood,IF(ROW()-ROW(PaymentSchedule345[[#Headers],[PMT NO]])&gt;ScheduledNumberOfPayments,"",ROW()-ROW(PaymentSchedule345[[#Headers],[PMT NO]])),"")</f>
        <v>345</v>
      </c>
      <c r="C356" s="20">
        <f>IF(PaymentSchedule345[[#This Row],[PMT NO]]&lt;&gt;"",EOMONTH(LoanStartDate,ROW(PaymentSchedule345[[#This Row],[PMT NO]])-ROW(PaymentSchedule345[[#Headers],[PMT NO]])-2)+DAY(LoanStartDate),"")</f>
        <v>54118</v>
      </c>
      <c r="D35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956505.13124715711</v>
      </c>
      <c r="E356" s="19">
        <f>IF(PaymentSchedule345[[#This Row],[PMT NO]]&lt;&gt;"",ScheduledPayment,"")</f>
        <v>8991.2567468977813</v>
      </c>
      <c r="F35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5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56" s="19">
        <f>IF(PaymentSchedule345[[#This Row],[PMT NO]]&lt;&gt;"",PaymentSchedule345[[#This Row],[TOTAL PAYMENT]]-PaymentSchedule345[[#This Row],[INTEREST]],"")</f>
        <v>5404.3625047209425</v>
      </c>
      <c r="I356" s="19">
        <f>IF(PaymentSchedule345[[#This Row],[PMT NO]]&lt;&gt;"",PaymentSchedule345[[#This Row],[BEGINNING BALANCE]]*(InterestRate/PaymentsPerYear),"")</f>
        <v>3586.8942421768393</v>
      </c>
      <c r="J35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951100.76874243619</v>
      </c>
      <c r="K356" s="19">
        <f>IF(PaymentSchedule345[[#This Row],[PMT NO]]&lt;&gt;"",SUM(INDEX(PaymentSchedule345[INTEREST],1,1):PaymentSchedule345[[#This Row],[INTEREST]]),"")</f>
        <v>2053084.3464221701</v>
      </c>
    </row>
    <row r="357" spans="2:11" x14ac:dyDescent="0.3">
      <c r="B357" s="21">
        <f>IF(LoanIsGood,IF(ROW()-ROW(PaymentSchedule345[[#Headers],[PMT NO]])&gt;ScheduledNumberOfPayments,"",ROW()-ROW(PaymentSchedule345[[#Headers],[PMT NO]])),"")</f>
        <v>346</v>
      </c>
      <c r="C357" s="20">
        <f>IF(PaymentSchedule345[[#This Row],[PMT NO]]&lt;&gt;"",EOMONTH(LoanStartDate,ROW(PaymentSchedule345[[#This Row],[PMT NO]])-ROW(PaymentSchedule345[[#Headers],[PMT NO]])-2)+DAY(LoanStartDate),"")</f>
        <v>54149</v>
      </c>
      <c r="D35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951100.76874243619</v>
      </c>
      <c r="E357" s="19">
        <f>IF(PaymentSchedule345[[#This Row],[PMT NO]]&lt;&gt;"",ScheduledPayment,"")</f>
        <v>8991.2567468977813</v>
      </c>
      <c r="F35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5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57" s="19">
        <f>IF(PaymentSchedule345[[#This Row],[PMT NO]]&lt;&gt;"",PaymentSchedule345[[#This Row],[TOTAL PAYMENT]]-PaymentSchedule345[[#This Row],[INTEREST]],"")</f>
        <v>5424.6288641136452</v>
      </c>
      <c r="I357" s="19">
        <f>IF(PaymentSchedule345[[#This Row],[PMT NO]]&lt;&gt;"",PaymentSchedule345[[#This Row],[BEGINNING BALANCE]]*(InterestRate/PaymentsPerYear),"")</f>
        <v>3566.6278827841356</v>
      </c>
      <c r="J35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945676.1398783226</v>
      </c>
      <c r="K357" s="19">
        <f>IF(PaymentSchedule345[[#This Row],[PMT NO]]&lt;&gt;"",SUM(INDEX(PaymentSchedule345[INTEREST],1,1):PaymentSchedule345[[#This Row],[INTEREST]]),"")</f>
        <v>2056650.9743049543</v>
      </c>
    </row>
    <row r="358" spans="2:11" x14ac:dyDescent="0.3">
      <c r="B358" s="21">
        <f>IF(LoanIsGood,IF(ROW()-ROW(PaymentSchedule345[[#Headers],[PMT NO]])&gt;ScheduledNumberOfPayments,"",ROW()-ROW(PaymentSchedule345[[#Headers],[PMT NO]])),"")</f>
        <v>347</v>
      </c>
      <c r="C358" s="20">
        <f>IF(PaymentSchedule345[[#This Row],[PMT NO]]&lt;&gt;"",EOMONTH(LoanStartDate,ROW(PaymentSchedule345[[#This Row],[PMT NO]])-ROW(PaymentSchedule345[[#Headers],[PMT NO]])-2)+DAY(LoanStartDate),"")</f>
        <v>54179</v>
      </c>
      <c r="D35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945676.1398783226</v>
      </c>
      <c r="E358" s="19">
        <f>IF(PaymentSchedule345[[#This Row],[PMT NO]]&lt;&gt;"",ScheduledPayment,"")</f>
        <v>8991.2567468977813</v>
      </c>
      <c r="F35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5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58" s="19">
        <f>IF(PaymentSchedule345[[#This Row],[PMT NO]]&lt;&gt;"",PaymentSchedule345[[#This Row],[TOTAL PAYMENT]]-PaymentSchedule345[[#This Row],[INTEREST]],"")</f>
        <v>5444.9712223540719</v>
      </c>
      <c r="I358" s="19">
        <f>IF(PaymentSchedule345[[#This Row],[PMT NO]]&lt;&gt;"",PaymentSchedule345[[#This Row],[BEGINNING BALANCE]]*(InterestRate/PaymentsPerYear),"")</f>
        <v>3546.2855245437095</v>
      </c>
      <c r="J35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940231.1686559685</v>
      </c>
      <c r="K358" s="19">
        <f>IF(PaymentSchedule345[[#This Row],[PMT NO]]&lt;&gt;"",SUM(INDEX(PaymentSchedule345[INTEREST],1,1):PaymentSchedule345[[#This Row],[INTEREST]]),"")</f>
        <v>2060197.2598294979</v>
      </c>
    </row>
    <row r="359" spans="2:11" x14ac:dyDescent="0.3">
      <c r="B359" s="21">
        <f>IF(LoanIsGood,IF(ROW()-ROW(PaymentSchedule345[[#Headers],[PMT NO]])&gt;ScheduledNumberOfPayments,"",ROW()-ROW(PaymentSchedule345[[#Headers],[PMT NO]])),"")</f>
        <v>348</v>
      </c>
      <c r="C359" s="20">
        <f>IF(PaymentSchedule345[[#This Row],[PMT NO]]&lt;&gt;"",EOMONTH(LoanStartDate,ROW(PaymentSchedule345[[#This Row],[PMT NO]])-ROW(PaymentSchedule345[[#Headers],[PMT NO]])-2)+DAY(LoanStartDate),"")</f>
        <v>54210</v>
      </c>
      <c r="D35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940231.1686559685</v>
      </c>
      <c r="E359" s="19">
        <f>IF(PaymentSchedule345[[#This Row],[PMT NO]]&lt;&gt;"",ScheduledPayment,"")</f>
        <v>8991.2567468977813</v>
      </c>
      <c r="F35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5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59" s="19">
        <f>IF(PaymentSchedule345[[#This Row],[PMT NO]]&lt;&gt;"",PaymentSchedule345[[#This Row],[TOTAL PAYMENT]]-PaymentSchedule345[[#This Row],[INTEREST]],"")</f>
        <v>5465.3898644378996</v>
      </c>
      <c r="I359" s="19">
        <f>IF(PaymentSchedule345[[#This Row],[PMT NO]]&lt;&gt;"",PaymentSchedule345[[#This Row],[BEGINNING BALANCE]]*(InterestRate/PaymentsPerYear),"")</f>
        <v>3525.8668824598817</v>
      </c>
      <c r="J35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934765.77879153064</v>
      </c>
      <c r="K359" s="19">
        <f>IF(PaymentSchedule345[[#This Row],[PMT NO]]&lt;&gt;"",SUM(INDEX(PaymentSchedule345[INTEREST],1,1):PaymentSchedule345[[#This Row],[INTEREST]]),"")</f>
        <v>2063723.1267119579</v>
      </c>
    </row>
    <row r="360" spans="2:11" x14ac:dyDescent="0.3">
      <c r="B360" s="21">
        <f>IF(LoanIsGood,IF(ROW()-ROW(PaymentSchedule345[[#Headers],[PMT NO]])&gt;ScheduledNumberOfPayments,"",ROW()-ROW(PaymentSchedule345[[#Headers],[PMT NO]])),"")</f>
        <v>349</v>
      </c>
      <c r="C360" s="20">
        <f>IF(PaymentSchedule345[[#This Row],[PMT NO]]&lt;&gt;"",EOMONTH(LoanStartDate,ROW(PaymentSchedule345[[#This Row],[PMT NO]])-ROW(PaymentSchedule345[[#Headers],[PMT NO]])-2)+DAY(LoanStartDate),"")</f>
        <v>54240</v>
      </c>
      <c r="D36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934765.77879153064</v>
      </c>
      <c r="E360" s="19">
        <f>IF(PaymentSchedule345[[#This Row],[PMT NO]]&lt;&gt;"",ScheduledPayment,"")</f>
        <v>8991.2567468977813</v>
      </c>
      <c r="F36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6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60" s="19">
        <f>IF(PaymentSchedule345[[#This Row],[PMT NO]]&lt;&gt;"",PaymentSchedule345[[#This Row],[TOTAL PAYMENT]]-PaymentSchedule345[[#This Row],[INTEREST]],"")</f>
        <v>5485.8850764295421</v>
      </c>
      <c r="I360" s="19">
        <f>IF(PaymentSchedule345[[#This Row],[PMT NO]]&lt;&gt;"",PaymentSchedule345[[#This Row],[BEGINNING BALANCE]]*(InterestRate/PaymentsPerYear),"")</f>
        <v>3505.3716704682397</v>
      </c>
      <c r="J36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929279.89371510106</v>
      </c>
      <c r="K360" s="19">
        <f>IF(PaymentSchedule345[[#This Row],[PMT NO]]&lt;&gt;"",SUM(INDEX(PaymentSchedule345[INTEREST],1,1):PaymentSchedule345[[#This Row],[INTEREST]]),"")</f>
        <v>2067228.4983824261</v>
      </c>
    </row>
    <row r="361" spans="2:11" x14ac:dyDescent="0.3">
      <c r="B361" s="21">
        <f>IF(LoanIsGood,IF(ROW()-ROW(PaymentSchedule345[[#Headers],[PMT NO]])&gt;ScheduledNumberOfPayments,"",ROW()-ROW(PaymentSchedule345[[#Headers],[PMT NO]])),"")</f>
        <v>350</v>
      </c>
      <c r="C361" s="20">
        <f>IF(PaymentSchedule345[[#This Row],[PMT NO]]&lt;&gt;"",EOMONTH(LoanStartDate,ROW(PaymentSchedule345[[#This Row],[PMT NO]])-ROW(PaymentSchedule345[[#Headers],[PMT NO]])-2)+DAY(LoanStartDate),"")</f>
        <v>54271</v>
      </c>
      <c r="D36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929279.89371510106</v>
      </c>
      <c r="E361" s="19">
        <f>IF(PaymentSchedule345[[#This Row],[PMT NO]]&lt;&gt;"",ScheduledPayment,"")</f>
        <v>8991.2567468977813</v>
      </c>
      <c r="F36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6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61" s="19">
        <f>IF(PaymentSchedule345[[#This Row],[PMT NO]]&lt;&gt;"",PaymentSchedule345[[#This Row],[TOTAL PAYMENT]]-PaymentSchedule345[[#This Row],[INTEREST]],"")</f>
        <v>5506.4571454661527</v>
      </c>
      <c r="I361" s="19">
        <f>IF(PaymentSchedule345[[#This Row],[PMT NO]]&lt;&gt;"",PaymentSchedule345[[#This Row],[BEGINNING BALANCE]]*(InterestRate/PaymentsPerYear),"")</f>
        <v>3484.7996014316291</v>
      </c>
      <c r="J36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923773.43656963494</v>
      </c>
      <c r="K361" s="19">
        <f>IF(PaymentSchedule345[[#This Row],[PMT NO]]&lt;&gt;"",SUM(INDEX(PaymentSchedule345[INTEREST],1,1):PaymentSchedule345[[#This Row],[INTEREST]]),"")</f>
        <v>2070713.2979838578</v>
      </c>
    </row>
    <row r="362" spans="2:11" x14ac:dyDescent="0.3">
      <c r="B362" s="21">
        <f>IF(LoanIsGood,IF(ROW()-ROW(PaymentSchedule345[[#Headers],[PMT NO]])&gt;ScheduledNumberOfPayments,"",ROW()-ROW(PaymentSchedule345[[#Headers],[PMT NO]])),"")</f>
        <v>351</v>
      </c>
      <c r="C362" s="20">
        <f>IF(PaymentSchedule345[[#This Row],[PMT NO]]&lt;&gt;"",EOMONTH(LoanStartDate,ROW(PaymentSchedule345[[#This Row],[PMT NO]])-ROW(PaymentSchedule345[[#Headers],[PMT NO]])-2)+DAY(LoanStartDate),"")</f>
        <v>54302</v>
      </c>
      <c r="D362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923773.43656963494</v>
      </c>
      <c r="E362" s="19">
        <f>IF(PaymentSchedule345[[#This Row],[PMT NO]]&lt;&gt;"",ScheduledPayment,"")</f>
        <v>8991.2567468977813</v>
      </c>
      <c r="F362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62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62" s="19">
        <f>IF(PaymentSchedule345[[#This Row],[PMT NO]]&lt;&gt;"",PaymentSchedule345[[#This Row],[TOTAL PAYMENT]]-PaymentSchedule345[[#This Row],[INTEREST]],"")</f>
        <v>5527.1063597616503</v>
      </c>
      <c r="I362" s="19">
        <f>IF(PaymentSchedule345[[#This Row],[PMT NO]]&lt;&gt;"",PaymentSchedule345[[#This Row],[BEGINNING BALANCE]]*(InterestRate/PaymentsPerYear),"")</f>
        <v>3464.150387136131</v>
      </c>
      <c r="J362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918246.33020987327</v>
      </c>
      <c r="K362" s="19">
        <f>IF(PaymentSchedule345[[#This Row],[PMT NO]]&lt;&gt;"",SUM(INDEX(PaymentSchedule345[INTEREST],1,1):PaymentSchedule345[[#This Row],[INTEREST]]),"")</f>
        <v>2074177.4483709938</v>
      </c>
    </row>
    <row r="363" spans="2:11" x14ac:dyDescent="0.3">
      <c r="B363" s="21">
        <f>IF(LoanIsGood,IF(ROW()-ROW(PaymentSchedule345[[#Headers],[PMT NO]])&gt;ScheduledNumberOfPayments,"",ROW()-ROW(PaymentSchedule345[[#Headers],[PMT NO]])),"")</f>
        <v>352</v>
      </c>
      <c r="C363" s="20">
        <f>IF(PaymentSchedule345[[#This Row],[PMT NO]]&lt;&gt;"",EOMONTH(LoanStartDate,ROW(PaymentSchedule345[[#This Row],[PMT NO]])-ROW(PaymentSchedule345[[#Headers],[PMT NO]])-2)+DAY(LoanStartDate),"")</f>
        <v>54332</v>
      </c>
      <c r="D363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918246.33020987327</v>
      </c>
      <c r="E363" s="19">
        <f>IF(PaymentSchedule345[[#This Row],[PMT NO]]&lt;&gt;"",ScheduledPayment,"")</f>
        <v>8991.2567468977813</v>
      </c>
      <c r="F363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63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63" s="19">
        <f>IF(PaymentSchedule345[[#This Row],[PMT NO]]&lt;&gt;"",PaymentSchedule345[[#This Row],[TOTAL PAYMENT]]-PaymentSchedule345[[#This Row],[INTEREST]],"")</f>
        <v>5547.8330086107562</v>
      </c>
      <c r="I363" s="19">
        <f>IF(PaymentSchedule345[[#This Row],[PMT NO]]&lt;&gt;"",PaymentSchedule345[[#This Row],[BEGINNING BALANCE]]*(InterestRate/PaymentsPerYear),"")</f>
        <v>3443.4237382870247</v>
      </c>
      <c r="J363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912698.49720126251</v>
      </c>
      <c r="K363" s="19">
        <f>IF(PaymentSchedule345[[#This Row],[PMT NO]]&lt;&gt;"",SUM(INDEX(PaymentSchedule345[INTEREST],1,1):PaymentSchedule345[[#This Row],[INTEREST]]),"")</f>
        <v>2077620.8721092809</v>
      </c>
    </row>
    <row r="364" spans="2:11" x14ac:dyDescent="0.3">
      <c r="B364" s="21">
        <f>IF(LoanIsGood,IF(ROW()-ROW(PaymentSchedule345[[#Headers],[PMT NO]])&gt;ScheduledNumberOfPayments,"",ROW()-ROW(PaymentSchedule345[[#Headers],[PMT NO]])),"")</f>
        <v>353</v>
      </c>
      <c r="C364" s="20">
        <f>IF(PaymentSchedule345[[#This Row],[PMT NO]]&lt;&gt;"",EOMONTH(LoanStartDate,ROW(PaymentSchedule345[[#This Row],[PMT NO]])-ROW(PaymentSchedule345[[#Headers],[PMT NO]])-2)+DAY(LoanStartDate),"")</f>
        <v>54363</v>
      </c>
      <c r="D364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912698.49720126251</v>
      </c>
      <c r="E364" s="19">
        <f>IF(PaymentSchedule345[[#This Row],[PMT NO]]&lt;&gt;"",ScheduledPayment,"")</f>
        <v>8991.2567468977813</v>
      </c>
      <c r="F364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64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64" s="19">
        <f>IF(PaymentSchedule345[[#This Row],[PMT NO]]&lt;&gt;"",PaymentSchedule345[[#This Row],[TOTAL PAYMENT]]-PaymentSchedule345[[#This Row],[INTEREST]],"")</f>
        <v>5568.6373823930471</v>
      </c>
      <c r="I364" s="19">
        <f>IF(PaymentSchedule345[[#This Row],[PMT NO]]&lt;&gt;"",PaymentSchedule345[[#This Row],[BEGINNING BALANCE]]*(InterestRate/PaymentsPerYear),"")</f>
        <v>3422.6193645047342</v>
      </c>
      <c r="J364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907129.8598188695</v>
      </c>
      <c r="K364" s="19">
        <f>IF(PaymentSchedule345[[#This Row],[PMT NO]]&lt;&gt;"",SUM(INDEX(PaymentSchedule345[INTEREST],1,1):PaymentSchedule345[[#This Row],[INTEREST]]),"")</f>
        <v>2081043.4914737856</v>
      </c>
    </row>
    <row r="365" spans="2:11" x14ac:dyDescent="0.3">
      <c r="B365" s="21">
        <f>IF(LoanIsGood,IF(ROW()-ROW(PaymentSchedule345[[#Headers],[PMT NO]])&gt;ScheduledNumberOfPayments,"",ROW()-ROW(PaymentSchedule345[[#Headers],[PMT NO]])),"")</f>
        <v>354</v>
      </c>
      <c r="C365" s="20">
        <f>IF(PaymentSchedule345[[#This Row],[PMT NO]]&lt;&gt;"",EOMONTH(LoanStartDate,ROW(PaymentSchedule345[[#This Row],[PMT NO]])-ROW(PaymentSchedule345[[#Headers],[PMT NO]])-2)+DAY(LoanStartDate),"")</f>
        <v>54393</v>
      </c>
      <c r="D365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907129.8598188695</v>
      </c>
      <c r="E365" s="19">
        <f>IF(PaymentSchedule345[[#This Row],[PMT NO]]&lt;&gt;"",ScheduledPayment,"")</f>
        <v>8991.2567468977813</v>
      </c>
      <c r="F365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65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65" s="19">
        <f>IF(PaymentSchedule345[[#This Row],[PMT NO]]&lt;&gt;"",PaymentSchedule345[[#This Row],[TOTAL PAYMENT]]-PaymentSchedule345[[#This Row],[INTEREST]],"")</f>
        <v>5589.5197725770213</v>
      </c>
      <c r="I365" s="19">
        <f>IF(PaymentSchedule345[[#This Row],[PMT NO]]&lt;&gt;"",PaymentSchedule345[[#This Row],[BEGINNING BALANCE]]*(InterestRate/PaymentsPerYear),"")</f>
        <v>3401.7369743207605</v>
      </c>
      <c r="J365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901540.34004629252</v>
      </c>
      <c r="K365" s="19">
        <f>IF(PaymentSchedule345[[#This Row],[PMT NO]]&lt;&gt;"",SUM(INDEX(PaymentSchedule345[INTEREST],1,1):PaymentSchedule345[[#This Row],[INTEREST]]),"")</f>
        <v>2084445.2284481064</v>
      </c>
    </row>
    <row r="366" spans="2:11" x14ac:dyDescent="0.3">
      <c r="B366" s="21">
        <f>IF(LoanIsGood,IF(ROW()-ROW(PaymentSchedule345[[#Headers],[PMT NO]])&gt;ScheduledNumberOfPayments,"",ROW()-ROW(PaymentSchedule345[[#Headers],[PMT NO]])),"")</f>
        <v>355</v>
      </c>
      <c r="C366" s="20">
        <f>IF(PaymentSchedule345[[#This Row],[PMT NO]]&lt;&gt;"",EOMONTH(LoanStartDate,ROW(PaymentSchedule345[[#This Row],[PMT NO]])-ROW(PaymentSchedule345[[#Headers],[PMT NO]])-2)+DAY(LoanStartDate),"")</f>
        <v>54424</v>
      </c>
      <c r="D366" s="19">
        <f>IF(PaymentSchedule345[[#This Row],[PMT NO]]&lt;&gt;"",IF(ROW()-ROW(PaymentSchedule345[[#Headers],[BEGINNING BALANCE]])=1,LoanAmount,INDEX(PaymentSchedule345[ENDING BALANCE],ROW()-ROW(PaymentSchedule345[[#Headers],[BEGINNING BALANCE]])-1)),"")</f>
        <v>901540.34004629252</v>
      </c>
      <c r="E366" s="19">
        <f>IF(PaymentSchedule345[[#This Row],[PMT NO]]&lt;&gt;"",ScheduledPayment,"")</f>
        <v>8991.2567468977813</v>
      </c>
      <c r="F366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66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66" s="19">
        <f>IF(PaymentSchedule345[[#This Row],[PMT NO]]&lt;&gt;"",PaymentSchedule345[[#This Row],[TOTAL PAYMENT]]-PaymentSchedule345[[#This Row],[INTEREST]],"")</f>
        <v>5610.4804717241841</v>
      </c>
      <c r="I366" s="19">
        <f>IF(PaymentSchedule345[[#This Row],[PMT NO]]&lt;&gt;"",PaymentSchedule345[[#This Row],[BEGINNING BALANCE]]*(InterestRate/PaymentsPerYear),"")</f>
        <v>3380.7762751735968</v>
      </c>
      <c r="J366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895929.85957456834</v>
      </c>
      <c r="K366" s="19">
        <f>IF(PaymentSchedule345[[#This Row],[PMT NO]]&lt;&gt;"",SUM(INDEX(PaymentSchedule345[INTEREST],1,1):PaymentSchedule345[[#This Row],[INTEREST]]),"")</f>
        <v>2087826.00472328</v>
      </c>
    </row>
    <row r="367" spans="2:11" x14ac:dyDescent="0.3">
      <c r="B367" s="21">
        <f>IF(LoanIsGood,IF(ROW()-ROW(PaymentSchedule345[[#Headers],[PMT NO]])&gt;ScheduledNumberOfPayments,"",ROW()-ROW(PaymentSchedule345[[#Headers],[PMT NO]])),"")</f>
        <v>356</v>
      </c>
      <c r="C367" s="20">
        <f>IF(PaymentSchedule345[[#This Row],[PMT NO]]&lt;&gt;"",EOMONTH(LoanStartDate,ROW(PaymentSchedule345[[#This Row],[PMT NO]])-ROW(PaymentSchedule345[[#Headers],[PMT NO]])-2)+DAY(LoanStartDate),"")</f>
        <v>54455</v>
      </c>
      <c r="D367" s="19">
        <f>IF(PaymentSchedule345[[#This Row],[PMT NO]]&lt;&gt;"",IF(ROW()-ROW(PaymentSchedule345[[#Headers],[BEGINNING BALANCE]])=1,LoanAmount,INDEX(PaymentSchedule345[ENDING BALANCE],ROW()-ROW(PaymentSchedule345[[#Headers],[BEGINNING BALANCE]])-1)),"")</f>
        <v>895929.85957456834</v>
      </c>
      <c r="E367" s="19">
        <f>IF(PaymentSchedule345[[#This Row],[PMT NO]]&lt;&gt;"",ScheduledPayment,"")</f>
        <v>8991.2567468977813</v>
      </c>
      <c r="F367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67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67" s="19">
        <f>IF(PaymentSchedule345[[#This Row],[PMT NO]]&lt;&gt;"",PaymentSchedule345[[#This Row],[TOTAL PAYMENT]]-PaymentSchedule345[[#This Row],[INTEREST]],"")</f>
        <v>5631.5197734931498</v>
      </c>
      <c r="I367" s="19">
        <f>IF(PaymentSchedule345[[#This Row],[PMT NO]]&lt;&gt;"",PaymentSchedule345[[#This Row],[BEGINNING BALANCE]]*(InterestRate/PaymentsPerYear),"")</f>
        <v>3359.736973404631</v>
      </c>
      <c r="J367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890298.33980107517</v>
      </c>
      <c r="K367" s="19">
        <f>IF(PaymentSchedule345[[#This Row],[PMT NO]]&lt;&gt;"",SUM(INDEX(PaymentSchedule345[INTEREST],1,1):PaymentSchedule345[[#This Row],[INTEREST]]),"")</f>
        <v>2091185.7416966846</v>
      </c>
    </row>
    <row r="368" spans="2:11" x14ac:dyDescent="0.3">
      <c r="B368" s="21">
        <f>IF(LoanIsGood,IF(ROW()-ROW(PaymentSchedule345[[#Headers],[PMT NO]])&gt;ScheduledNumberOfPayments,"",ROW()-ROW(PaymentSchedule345[[#Headers],[PMT NO]])),"")</f>
        <v>357</v>
      </c>
      <c r="C368" s="20">
        <f>IF(PaymentSchedule345[[#This Row],[PMT NO]]&lt;&gt;"",EOMONTH(LoanStartDate,ROW(PaymentSchedule345[[#This Row],[PMT NO]])-ROW(PaymentSchedule345[[#Headers],[PMT NO]])-2)+DAY(LoanStartDate),"")</f>
        <v>54483</v>
      </c>
      <c r="D368" s="19">
        <f>IF(PaymentSchedule345[[#This Row],[PMT NO]]&lt;&gt;"",IF(ROW()-ROW(PaymentSchedule345[[#Headers],[BEGINNING BALANCE]])=1,LoanAmount,INDEX(PaymentSchedule345[ENDING BALANCE],ROW()-ROW(PaymentSchedule345[[#Headers],[BEGINNING BALANCE]])-1)),"")</f>
        <v>890298.33980107517</v>
      </c>
      <c r="E368" s="19">
        <f>IF(PaymentSchedule345[[#This Row],[PMT NO]]&lt;&gt;"",ScheduledPayment,"")</f>
        <v>8991.2567468977813</v>
      </c>
      <c r="F368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68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68" s="19">
        <f>IF(PaymentSchedule345[[#This Row],[PMT NO]]&lt;&gt;"",PaymentSchedule345[[#This Row],[TOTAL PAYMENT]]-PaymentSchedule345[[#This Row],[INTEREST]],"")</f>
        <v>5652.6379726437499</v>
      </c>
      <c r="I368" s="19">
        <f>IF(PaymentSchedule345[[#This Row],[PMT NO]]&lt;&gt;"",PaymentSchedule345[[#This Row],[BEGINNING BALANCE]]*(InterestRate/PaymentsPerYear),"")</f>
        <v>3338.6187742540319</v>
      </c>
      <c r="J368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884645.70182843145</v>
      </c>
      <c r="K368" s="19">
        <f>IF(PaymentSchedule345[[#This Row],[PMT NO]]&lt;&gt;"",SUM(INDEX(PaymentSchedule345[INTEREST],1,1):PaymentSchedule345[[#This Row],[INTEREST]]),"")</f>
        <v>2094524.3604709387</v>
      </c>
    </row>
    <row r="369" spans="2:11" x14ac:dyDescent="0.3">
      <c r="B369" s="21">
        <f>IF(LoanIsGood,IF(ROW()-ROW(PaymentSchedule345[[#Headers],[PMT NO]])&gt;ScheduledNumberOfPayments,"",ROW()-ROW(PaymentSchedule345[[#Headers],[PMT NO]])),"")</f>
        <v>358</v>
      </c>
      <c r="C369" s="20">
        <f>IF(PaymentSchedule345[[#This Row],[PMT NO]]&lt;&gt;"",EOMONTH(LoanStartDate,ROW(PaymentSchedule345[[#This Row],[PMT NO]])-ROW(PaymentSchedule345[[#Headers],[PMT NO]])-2)+DAY(LoanStartDate),"")</f>
        <v>54514</v>
      </c>
      <c r="D369" s="19">
        <f>IF(PaymentSchedule345[[#This Row],[PMT NO]]&lt;&gt;"",IF(ROW()-ROW(PaymentSchedule345[[#Headers],[BEGINNING BALANCE]])=1,LoanAmount,INDEX(PaymentSchedule345[ENDING BALANCE],ROW()-ROW(PaymentSchedule345[[#Headers],[BEGINNING BALANCE]])-1)),"")</f>
        <v>884645.70182843145</v>
      </c>
      <c r="E369" s="19">
        <f>IF(PaymentSchedule345[[#This Row],[PMT NO]]&lt;&gt;"",ScheduledPayment,"")</f>
        <v>8991.2567468977813</v>
      </c>
      <c r="F369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69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69" s="19">
        <f>IF(PaymentSchedule345[[#This Row],[PMT NO]]&lt;&gt;"",PaymentSchedule345[[#This Row],[TOTAL PAYMENT]]-PaymentSchedule345[[#This Row],[INTEREST]],"")</f>
        <v>5673.8353650411636</v>
      </c>
      <c r="I369" s="19">
        <f>IF(PaymentSchedule345[[#This Row],[PMT NO]]&lt;&gt;"",PaymentSchedule345[[#This Row],[BEGINNING BALANCE]]*(InterestRate/PaymentsPerYear),"")</f>
        <v>3317.4213818566177</v>
      </c>
      <c r="J369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878971.8664633903</v>
      </c>
      <c r="K369" s="19">
        <f>IF(PaymentSchedule345[[#This Row],[PMT NO]]&lt;&gt;"",SUM(INDEX(PaymentSchedule345[INTEREST],1,1):PaymentSchedule345[[#This Row],[INTEREST]]),"")</f>
        <v>2097841.7818527953</v>
      </c>
    </row>
    <row r="370" spans="2:11" x14ac:dyDescent="0.3">
      <c r="B370" s="21">
        <f>IF(LoanIsGood,IF(ROW()-ROW(PaymentSchedule345[[#Headers],[PMT NO]])&gt;ScheduledNumberOfPayments,"",ROW()-ROW(PaymentSchedule345[[#Headers],[PMT NO]])),"")</f>
        <v>359</v>
      </c>
      <c r="C370" s="20">
        <f>IF(PaymentSchedule345[[#This Row],[PMT NO]]&lt;&gt;"",EOMONTH(LoanStartDate,ROW(PaymentSchedule345[[#This Row],[PMT NO]])-ROW(PaymentSchedule345[[#Headers],[PMT NO]])-2)+DAY(LoanStartDate),"")</f>
        <v>54544</v>
      </c>
      <c r="D370" s="19">
        <f>IF(PaymentSchedule345[[#This Row],[PMT NO]]&lt;&gt;"",IF(ROW()-ROW(PaymentSchedule345[[#Headers],[BEGINNING BALANCE]])=1,LoanAmount,INDEX(PaymentSchedule345[ENDING BALANCE],ROW()-ROW(PaymentSchedule345[[#Headers],[BEGINNING BALANCE]])-1)),"")</f>
        <v>878971.8664633903</v>
      </c>
      <c r="E370" s="19">
        <f>IF(PaymentSchedule345[[#This Row],[PMT NO]]&lt;&gt;"",ScheduledPayment,"")</f>
        <v>8991.2567468977813</v>
      </c>
      <c r="F370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70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70" s="19">
        <f>IF(PaymentSchedule345[[#This Row],[PMT NO]]&lt;&gt;"",PaymentSchedule345[[#This Row],[TOTAL PAYMENT]]-PaymentSchedule345[[#This Row],[INTEREST]],"")</f>
        <v>5695.1122476600685</v>
      </c>
      <c r="I370" s="19">
        <f>IF(PaymentSchedule345[[#This Row],[PMT NO]]&lt;&gt;"",PaymentSchedule345[[#This Row],[BEGINNING BALANCE]]*(InterestRate/PaymentsPerYear),"")</f>
        <v>3296.1444992377133</v>
      </c>
      <c r="J370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873276.75421573024</v>
      </c>
      <c r="K370" s="19">
        <f>IF(PaymentSchedule345[[#This Row],[PMT NO]]&lt;&gt;"",SUM(INDEX(PaymentSchedule345[INTEREST],1,1):PaymentSchedule345[[#This Row],[INTEREST]]),"")</f>
        <v>2101137.9263520329</v>
      </c>
    </row>
    <row r="371" spans="2:11" x14ac:dyDescent="0.3">
      <c r="B371" s="21">
        <f>IF(LoanIsGood,IF(ROW()-ROW(PaymentSchedule345[[#Headers],[PMT NO]])&gt;ScheduledNumberOfPayments,"",ROW()-ROW(PaymentSchedule345[[#Headers],[PMT NO]])),"")</f>
        <v>360</v>
      </c>
      <c r="C371" s="20">
        <f>IF(PaymentSchedule345[[#This Row],[PMT NO]]&lt;&gt;"",EOMONTH(LoanStartDate,ROW(PaymentSchedule345[[#This Row],[PMT NO]])-ROW(PaymentSchedule345[[#Headers],[PMT NO]])-2)+DAY(LoanStartDate),"")</f>
        <v>54575</v>
      </c>
      <c r="D371" s="19">
        <f>IF(PaymentSchedule345[[#This Row],[PMT NO]]&lt;&gt;"",IF(ROW()-ROW(PaymentSchedule345[[#Headers],[BEGINNING BALANCE]])=1,LoanAmount,INDEX(PaymentSchedule345[ENDING BALANCE],ROW()-ROW(PaymentSchedule345[[#Headers],[BEGINNING BALANCE]])-1)),"")</f>
        <v>873276.75421573024</v>
      </c>
      <c r="E371" s="19">
        <f>IF(PaymentSchedule345[[#This Row],[PMT NO]]&lt;&gt;"",ScheduledPayment,"")</f>
        <v>8991.2567468977813</v>
      </c>
      <c r="F371" s="19">
        <f>IF(PaymentSchedule345[[#This Row],[PMT NO]]&lt;&gt;"",IF(PaymentSchedule345[[#This Row],[SCHEDULED PAYMENT]]+ExtraPayments&lt;PaymentSchedule345[[#This Row],[BEGINNING BALANCE]],ExtraPayments,IF(PaymentSchedule345[[#This Row],[BEGINNING BALANCE]]-PaymentSchedule345[[#This Row],[SCHEDULED PAYMENT]]&gt;0,PaymentSchedule345[[#This Row],[BEGINNING BALANCE]]-PaymentSchedule345[[#This Row],[SCHEDULED PAYMENT]],0)),"")</f>
        <v>0</v>
      </c>
      <c r="G371" s="19">
        <f>IF(PaymentSchedule345[[#This Row],[PMT NO]]&lt;&gt;"",IF(PaymentSchedule345[[#This Row],[SCHEDULED PAYMENT]]+PaymentSchedule345[[#This Row],[EXTRA PAYMENT]]&lt;=PaymentSchedule345[[#This Row],[BEGINNING BALANCE]],PaymentSchedule345[[#This Row],[SCHEDULED PAYMENT]]+PaymentSchedule345[[#This Row],[EXTRA PAYMENT]],PaymentSchedule345[[#This Row],[BEGINNING BALANCE]]),"")</f>
        <v>8991.2567468977813</v>
      </c>
      <c r="H371" s="19">
        <f>IF(PaymentSchedule345[[#This Row],[PMT NO]]&lt;&gt;"",PaymentSchedule345[[#This Row],[TOTAL PAYMENT]]-PaymentSchedule345[[#This Row],[INTEREST]],"")</f>
        <v>5716.4689185887928</v>
      </c>
      <c r="I371" s="19">
        <f>IF(PaymentSchedule345[[#This Row],[PMT NO]]&lt;&gt;"",PaymentSchedule345[[#This Row],[BEGINNING BALANCE]]*(InterestRate/PaymentsPerYear),"")</f>
        <v>3274.7878283089881</v>
      </c>
      <c r="J371" s="19">
        <f>IF(PaymentSchedule345[[#This Row],[PMT NO]]&lt;&gt;"",IF(PaymentSchedule345[[#This Row],[SCHEDULED PAYMENT]]+PaymentSchedule345[[#This Row],[EXTRA PAYMENT]]&lt;=PaymentSchedule345[[#This Row],[BEGINNING BALANCE]],PaymentSchedule345[[#This Row],[BEGINNING BALANCE]]-PaymentSchedule345[[#This Row],[PRINCIPAL]],0),"")</f>
        <v>867560.28529714141</v>
      </c>
      <c r="K371" s="19">
        <f>IF(PaymentSchedule345[[#This Row],[PMT NO]]&lt;&gt;"",SUM(INDEX(PaymentSchedule345[INTEREST],1,1):PaymentSchedule345[[#This Row],[INTEREST]]),"")</f>
        <v>2104412.7141803419</v>
      </c>
    </row>
  </sheetData>
  <mergeCells count="12"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9:D9"/>
    <mergeCell ref="H9:I9"/>
  </mergeCells>
  <conditionalFormatting sqref="B12:K371">
    <cfRule type="expression" dxfId="0" priority="1">
      <formula>($B12="")+(($D12=0)*($F12=0))</formula>
    </cfRule>
  </conditionalFormatting>
  <dataValidations count="26">
    <dataValidation allowBlank="1" showInputMessage="1" showErrorMessage="1" prompt="Enter Loan Amount in this cell" sqref="E3" xr:uid="{D79EB9EC-E6A6-4C3B-A641-B008B60E1605}"/>
    <dataValidation allowBlank="1" showInputMessage="1" showErrorMessage="1" prompt="Enter interest rate to be paid annually in this cell" sqref="E4" xr:uid="{D9B069F7-9C2C-4BC5-9263-18499105F9D2}"/>
    <dataValidation allowBlank="1" showInputMessage="1" showErrorMessage="1" prompt="Enter loan period in years in this cell" sqref="E5" xr:uid="{068AB674-FB42-46F8-B568-63BF587D0D29}"/>
    <dataValidation allowBlank="1" showInputMessage="1" showErrorMessage="1" prompt="Enter the number of payments to be made in a year in this cell" sqref="E6" xr:uid="{A0AB7304-C648-48B9-82DA-DE76B37A6E3E}"/>
    <dataValidation allowBlank="1" showInputMessage="1" showErrorMessage="1" prompt="Enter the start date of loan in this cell" sqref="E7" xr:uid="{9046E395-ACC6-4917-ABC8-CABE7D67A080}"/>
    <dataValidation allowBlank="1" showInputMessage="1" showErrorMessage="1" prompt="Enter the amount of extra payment in this cell" sqref="E9" xr:uid="{E3A8F65B-F34B-485F-9B5D-52C1D9BE0447}"/>
    <dataValidation allowBlank="1" showInputMessage="1" showErrorMessage="1" prompt="Automatically calculated total interest" sqref="I7" xr:uid="{DC492534-854B-4342-BFBF-35599021E06C}"/>
    <dataValidation allowBlank="1" showInputMessage="1" showErrorMessage="1" prompt="Automatically updated scheduled payment amount" sqref="I3" xr:uid="{4D333BA1-80C2-4939-84A7-D9134C038C7F}"/>
    <dataValidation allowBlank="1" showInputMessage="1" showErrorMessage="1" prompt="Automatically updated scheduled number of payments" sqref="I4" xr:uid="{E885EDD6-9F3F-48D2-87B1-7071E5EFD17C}"/>
    <dataValidation allowBlank="1" showInputMessage="1" showErrorMessage="1" prompt="Automatically updated actual number of payments" sqref="I5" xr:uid="{81BE9BC9-0E85-46FE-81B3-905FCB067B9C}"/>
    <dataValidation allowBlank="1" showInputMessage="1" showErrorMessage="1" prompt="This workbook produces a loan amortization schedule that calculates total interest and total payments &amp; includes the option for extra payments" sqref="A1" xr:uid="{D326535F-C812-412C-9F47-D2FB18893105}"/>
    <dataValidation allowBlank="1" showInputMessage="1" showErrorMessage="1" prompt="Enter loan values in cells E3 to E7 and E9. Description of each loan value is in column C. Payment Schedule table starting in cell B11 will automatically update" sqref="C2" xr:uid="{50E662AF-3C2B-4C2C-A7CA-3C2055E346BA}"/>
    <dataValidation allowBlank="1" showInputMessage="1" showErrorMessage="1" prompt="Loan Summary fields from I3 to I7 are automatically adjusted based on the values entered. Enter the Lender's name in I9" sqref="G2" xr:uid="{787C8E9E-9B11-498C-AA5E-8396241839AF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1" xr:uid="{1254FB7D-BACB-4F39-96DB-5820AF707D3B}"/>
    <dataValidation allowBlank="1" showInputMessage="1" showErrorMessage="1" prompt="Automatically updated total early payments" sqref="I6" xr:uid="{30F2BD0E-FBB2-485F-8A28-25D91DE70F71}"/>
    <dataValidation allowBlank="1" showInputMessage="1" showErrorMessage="1" prompt="Payment number is automatically updated in this column" sqref="B11" xr:uid="{D434149B-CC88-4E42-A391-7B6F65F9611A}"/>
    <dataValidation allowBlank="1" showInputMessage="1" showErrorMessage="1" prompt="Payment date is automatically updated in this column" sqref="C11" xr:uid="{D22F0DB3-A0C0-4CAD-BA0D-CB1CC2A762DD}"/>
    <dataValidation allowBlank="1" showInputMessage="1" showErrorMessage="1" prompt="Beginning balance is automatically updated in this column" sqref="D11" xr:uid="{6BB42AB8-E376-4502-B52A-BFD3D3B076B7}"/>
    <dataValidation allowBlank="1" showInputMessage="1" showErrorMessage="1" prompt="Scheduled payment is automatically updated in this column" sqref="E11" xr:uid="{8AE96DB0-D6B3-4187-BF7B-2751ADA72A39}"/>
    <dataValidation allowBlank="1" showInputMessage="1" showErrorMessage="1" prompt="Extra payment is automatically updated in this column" sqref="F11" xr:uid="{3F45C74E-7343-4D71-82DB-6A5F23F7E9E0}"/>
    <dataValidation allowBlank="1" showInputMessage="1" showErrorMessage="1" prompt="Total payment is automatically updated in this column" sqref="G11" xr:uid="{BF525308-CC67-43E9-8AFA-60E022F11D38}"/>
    <dataValidation allowBlank="1" showInputMessage="1" showErrorMessage="1" prompt="Principal is automatically updated in this column" sqref="H11" xr:uid="{FBA9976E-7DCF-49CB-8D9F-F92B96D5F0C9}"/>
    <dataValidation allowBlank="1" showInputMessage="1" showErrorMessage="1" prompt="Interest is automatically updated in this column" sqref="I11" xr:uid="{ABBEB99E-838A-413D-9EA0-CF433FABE038}"/>
    <dataValidation allowBlank="1" showInputMessage="1" showErrorMessage="1" prompt="Ending balance is automatically updated in this column" sqref="J11" xr:uid="{F58ED4F8-C915-4B81-A534-DB9D8FA2F78F}"/>
    <dataValidation allowBlank="1" showInputMessage="1" showErrorMessage="1" prompt="Cumulative interest is automatically updated in this column" sqref="K11" xr:uid="{C368A95B-AEAF-4648-96D2-C21B9D8CE747}"/>
    <dataValidation allowBlank="1" showInputMessage="1" showErrorMessage="1" prompt="Enter the name of the lender in this cell" sqref="H9:I9" xr:uid="{CD196F63-BD6B-4307-9B6B-64809C1A34DF}"/>
  </dataValidations>
  <printOptions horizontalCentered="1"/>
  <pageMargins left="0.4" right="0.4" top="0.4" bottom="0.5" header="0.3" footer="0.3"/>
  <pageSetup scale="79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65</vt:i4>
      </vt:variant>
    </vt:vector>
  </HeadingPairs>
  <TitlesOfParts>
    <vt:vector size="70" baseType="lpstr">
      <vt:lpstr>BUDGET</vt:lpstr>
      <vt:lpstr>Loan Schedule 375</vt:lpstr>
      <vt:lpstr>Loan Schedule 400</vt:lpstr>
      <vt:lpstr>Loan Schedule 425</vt:lpstr>
      <vt:lpstr>Loan Schedule 450</vt:lpstr>
      <vt:lpstr>'Loan Schedule 400'!ColumnTitle1</vt:lpstr>
      <vt:lpstr>'Loan Schedule 425'!ColumnTitle1</vt:lpstr>
      <vt:lpstr>'Loan Schedule 450'!ColumnTitle1</vt:lpstr>
      <vt:lpstr>ColumnTitle1</vt:lpstr>
      <vt:lpstr>'Loan Schedule 400'!End_Bal</vt:lpstr>
      <vt:lpstr>'Loan Schedule 425'!End_Bal</vt:lpstr>
      <vt:lpstr>'Loan Schedule 450'!End_Bal</vt:lpstr>
      <vt:lpstr>End_Bal</vt:lpstr>
      <vt:lpstr>'Loan Schedule 400'!ExtraPayments</vt:lpstr>
      <vt:lpstr>'Loan Schedule 425'!ExtraPayments</vt:lpstr>
      <vt:lpstr>'Loan Schedule 450'!ExtraPayments</vt:lpstr>
      <vt:lpstr>ExtraPayments</vt:lpstr>
      <vt:lpstr>'Loan Schedule 400'!InterestRate</vt:lpstr>
      <vt:lpstr>'Loan Schedule 425'!InterestRate</vt:lpstr>
      <vt:lpstr>'Loan Schedule 450'!InterestRate</vt:lpstr>
      <vt:lpstr>InterestRate</vt:lpstr>
      <vt:lpstr>'Loan Schedule 400'!LenderName</vt:lpstr>
      <vt:lpstr>'Loan Schedule 425'!LenderName</vt:lpstr>
      <vt:lpstr>'Loan Schedule 450'!LenderName</vt:lpstr>
      <vt:lpstr>LenderName</vt:lpstr>
      <vt:lpstr>'Loan Schedule 400'!LoanAmount</vt:lpstr>
      <vt:lpstr>'Loan Schedule 425'!LoanAmount</vt:lpstr>
      <vt:lpstr>'Loan Schedule 450'!LoanAmount</vt:lpstr>
      <vt:lpstr>LoanAmount</vt:lpstr>
      <vt:lpstr>'Loan Schedule 400'!LoanPeriod</vt:lpstr>
      <vt:lpstr>'Loan Schedule 425'!LoanPeriod</vt:lpstr>
      <vt:lpstr>'Loan Schedule 450'!LoanPeriod</vt:lpstr>
      <vt:lpstr>LoanPeriod</vt:lpstr>
      <vt:lpstr>'Loan Schedule 400'!LoanStartDate</vt:lpstr>
      <vt:lpstr>'Loan Schedule 425'!LoanStartDate</vt:lpstr>
      <vt:lpstr>'Loan Schedule 450'!LoanStartDate</vt:lpstr>
      <vt:lpstr>LoanStartDate</vt:lpstr>
      <vt:lpstr>'Loan Schedule 400'!PaymentsPerYear</vt:lpstr>
      <vt:lpstr>'Loan Schedule 425'!PaymentsPerYear</vt:lpstr>
      <vt:lpstr>'Loan Schedule 450'!PaymentsPerYear</vt:lpstr>
      <vt:lpstr>PaymentsPerYear</vt:lpstr>
      <vt:lpstr>BUDGET!Print_Area</vt:lpstr>
      <vt:lpstr>'Loan Schedule 375'!Print_Titles</vt:lpstr>
      <vt:lpstr>'Loan Schedule 400'!Print_Titles</vt:lpstr>
      <vt:lpstr>'Loan Schedule 425'!Print_Titles</vt:lpstr>
      <vt:lpstr>'Loan Schedule 450'!Print_Titles</vt:lpstr>
      <vt:lpstr>'Loan Schedule 400'!RowTitleRegion1..E9</vt:lpstr>
      <vt:lpstr>'Loan Schedule 425'!RowTitleRegion1..E9</vt:lpstr>
      <vt:lpstr>'Loan Schedule 450'!RowTitleRegion1..E9</vt:lpstr>
      <vt:lpstr>RowTitleRegion1..E9</vt:lpstr>
      <vt:lpstr>'Loan Schedule 400'!RowTitleRegion2..I7</vt:lpstr>
      <vt:lpstr>'Loan Schedule 425'!RowTitleRegion2..I7</vt:lpstr>
      <vt:lpstr>'Loan Schedule 450'!RowTitleRegion2..I7</vt:lpstr>
      <vt:lpstr>RowTitleRegion2..I7</vt:lpstr>
      <vt:lpstr>'Loan Schedule 400'!RowTitleRegion3..E9</vt:lpstr>
      <vt:lpstr>'Loan Schedule 425'!RowTitleRegion3..E9</vt:lpstr>
      <vt:lpstr>'Loan Schedule 450'!RowTitleRegion3..E9</vt:lpstr>
      <vt:lpstr>RowTitleRegion3..E9</vt:lpstr>
      <vt:lpstr>'Loan Schedule 400'!RowTitleRegion4..H9</vt:lpstr>
      <vt:lpstr>'Loan Schedule 425'!RowTitleRegion4..H9</vt:lpstr>
      <vt:lpstr>'Loan Schedule 450'!RowTitleRegion4..H9</vt:lpstr>
      <vt:lpstr>RowTitleRegion4..H9</vt:lpstr>
      <vt:lpstr>'Loan Schedule 400'!ScheduledNumberOfPayments</vt:lpstr>
      <vt:lpstr>'Loan Schedule 425'!ScheduledNumberOfPayments</vt:lpstr>
      <vt:lpstr>'Loan Schedule 450'!ScheduledNumberOfPayments</vt:lpstr>
      <vt:lpstr>ScheduledNumberOfPayments</vt:lpstr>
      <vt:lpstr>'Loan Schedule 400'!ScheduledPayment</vt:lpstr>
      <vt:lpstr>'Loan Schedule 425'!ScheduledPayment</vt:lpstr>
      <vt:lpstr>'Loan Schedule 450'!ScheduledPayment</vt:lpstr>
      <vt:lpstr>ScheduledPayment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Webber</dc:creator>
  <cp:lastModifiedBy>The Bumpers</cp:lastModifiedBy>
  <cp:lastPrinted>2019-03-23T21:23:15Z</cp:lastPrinted>
  <dcterms:created xsi:type="dcterms:W3CDTF">2018-12-30T16:26:39Z</dcterms:created>
  <dcterms:modified xsi:type="dcterms:W3CDTF">2019-03-23T21:23:35Z</dcterms:modified>
</cp:coreProperties>
</file>