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dioguardi/Dropbox/TOMBALL/2018/"/>
    </mc:Choice>
  </mc:AlternateContent>
  <xr:revisionPtr revIDLastSave="0" documentId="13_ncr:1_{4B015294-D8CC-FD43-85C9-8054F3272D12}" xr6:coauthVersionLast="36" xr6:coauthVersionMax="36" xr10:uidLastSave="{00000000-0000-0000-0000-000000000000}"/>
  <bookViews>
    <workbookView xWindow="0" yWindow="460" windowWidth="33600" windowHeight="18980" tabRatio="936" activeTab="4" xr2:uid="{75582238-A98D-4B07-8040-6F4B0159A7EB}"/>
  </bookViews>
  <sheets>
    <sheet name="Ballers" sheetId="5" r:id="rId1"/>
    <sheet name="Stats_Blank" sheetId="6" r:id="rId2"/>
    <sheet name="RSVP" sheetId="4" r:id="rId3"/>
    <sheet name="General" sheetId="9" r:id="rId4"/>
    <sheet name="Awards" sheetId="19" r:id="rId5"/>
    <sheet name="Playoffs" sheetId="13" r:id="rId6"/>
    <sheet name="Playoff_Teams" sheetId="17" r:id="rId7"/>
    <sheet name="Playoff_Games_Full" sheetId="18" r:id="rId8"/>
    <sheet name="1_BMBs_NS" sheetId="20" r:id="rId9"/>
    <sheet name="2_BMBs_NS" sheetId="21" r:id="rId10"/>
    <sheet name="3_NS_BMBs" sheetId="22" r:id="rId11"/>
    <sheet name="4_NS_BMBs" sheetId="23" r:id="rId12"/>
    <sheet name="5_BMBs_NS" sheetId="24" r:id="rId13"/>
    <sheet name="Overall" sheetId="7" r:id="rId14"/>
    <sheet name="Overall_Teams" sheetId="16" r:id="rId15"/>
    <sheet name="RR" sheetId="11" r:id="rId16"/>
    <sheet name="RR_Teams" sheetId="12" r:id="rId17"/>
    <sheet name="RR_Games" sheetId="15" r:id="rId18"/>
  </sheets>
  <definedNames>
    <definedName name="AKA_3">RR_Games!$A$133</definedName>
    <definedName name="BALLERS">Ballers!$A$2:$C$32</definedName>
    <definedName name="_xlnm.Print_Area" localSheetId="1">Stats_Blank!$A$1:$V$37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74" i="13" l="1"/>
  <c r="O18" i="9" l="1"/>
  <c r="M18" i="9"/>
  <c r="J24" i="9"/>
  <c r="H24" i="9"/>
  <c r="J18" i="9"/>
  <c r="H18" i="9"/>
  <c r="E24" i="9"/>
  <c r="C24" i="9"/>
  <c r="E18" i="9"/>
  <c r="C18" i="9"/>
  <c r="V57" i="24"/>
  <c r="U57" i="24"/>
  <c r="T57" i="24"/>
  <c r="S57" i="24"/>
  <c r="Q57" i="24"/>
  <c r="P57" i="24"/>
  <c r="O57" i="24"/>
  <c r="L57" i="24"/>
  <c r="K57" i="24"/>
  <c r="M57" i="24" s="1"/>
  <c r="I57" i="24"/>
  <c r="H57" i="24"/>
  <c r="F57" i="24"/>
  <c r="E57" i="24"/>
  <c r="W56" i="24"/>
  <c r="R56" i="24"/>
  <c r="N56" i="24"/>
  <c r="M56" i="24"/>
  <c r="J56" i="24"/>
  <c r="G56" i="24"/>
  <c r="C56" i="24"/>
  <c r="B56" i="24"/>
  <c r="W55" i="24"/>
  <c r="R55" i="24"/>
  <c r="N55" i="24"/>
  <c r="M55" i="24"/>
  <c r="J55" i="24"/>
  <c r="G55" i="24"/>
  <c r="C55" i="24"/>
  <c r="B55" i="24"/>
  <c r="W54" i="24"/>
  <c r="R54" i="24"/>
  <c r="N54" i="24"/>
  <c r="M54" i="24"/>
  <c r="J54" i="24"/>
  <c r="G54" i="24"/>
  <c r="C54" i="24"/>
  <c r="B54" i="24"/>
  <c r="W53" i="24"/>
  <c r="R53" i="24"/>
  <c r="N53" i="24"/>
  <c r="M53" i="24"/>
  <c r="J53" i="24"/>
  <c r="G53" i="24"/>
  <c r="C53" i="24"/>
  <c r="B53" i="24"/>
  <c r="W52" i="24"/>
  <c r="R52" i="24"/>
  <c r="N52" i="24"/>
  <c r="M52" i="24"/>
  <c r="J52" i="24"/>
  <c r="G52" i="24"/>
  <c r="C52" i="24"/>
  <c r="B52" i="24"/>
  <c r="V48" i="24"/>
  <c r="U48" i="24"/>
  <c r="T48" i="24"/>
  <c r="S48" i="24"/>
  <c r="Q48" i="24"/>
  <c r="P48" i="24"/>
  <c r="O48" i="24"/>
  <c r="L48" i="24"/>
  <c r="K48" i="24"/>
  <c r="M48" i="24" s="1"/>
  <c r="I48" i="24"/>
  <c r="H48" i="24"/>
  <c r="F48" i="24"/>
  <c r="E48" i="24"/>
  <c r="W47" i="24"/>
  <c r="R47" i="24"/>
  <c r="N47" i="24"/>
  <c r="M47" i="24"/>
  <c r="J47" i="24"/>
  <c r="G47" i="24"/>
  <c r="C47" i="24"/>
  <c r="B47" i="24"/>
  <c r="W46" i="24"/>
  <c r="R46" i="24"/>
  <c r="N46" i="24"/>
  <c r="M46" i="24"/>
  <c r="J46" i="24"/>
  <c r="G46" i="24"/>
  <c r="C46" i="24"/>
  <c r="B46" i="24"/>
  <c r="W45" i="24"/>
  <c r="R45" i="24"/>
  <c r="N45" i="24"/>
  <c r="M45" i="24"/>
  <c r="J45" i="24"/>
  <c r="G45" i="24"/>
  <c r="C45" i="24"/>
  <c r="D45" i="24" s="1"/>
  <c r="B45" i="24"/>
  <c r="W44" i="24"/>
  <c r="R44" i="24"/>
  <c r="N44" i="24"/>
  <c r="M44" i="24"/>
  <c r="J44" i="24"/>
  <c r="G44" i="24"/>
  <c r="C44" i="24"/>
  <c r="B44" i="24"/>
  <c r="D44" i="24" s="1"/>
  <c r="W43" i="24"/>
  <c r="R43" i="24"/>
  <c r="N43" i="24"/>
  <c r="M43" i="24"/>
  <c r="J43" i="24"/>
  <c r="G43" i="24"/>
  <c r="C43" i="24"/>
  <c r="B43" i="24"/>
  <c r="V39" i="24"/>
  <c r="U39" i="24"/>
  <c r="T39" i="24"/>
  <c r="S39" i="24"/>
  <c r="Q39" i="24"/>
  <c r="P39" i="24"/>
  <c r="O39" i="24"/>
  <c r="L39" i="24"/>
  <c r="K39" i="24"/>
  <c r="I39" i="24"/>
  <c r="H39" i="24"/>
  <c r="J39" i="24" s="1"/>
  <c r="F39" i="24"/>
  <c r="E39" i="24"/>
  <c r="W38" i="24"/>
  <c r="R38" i="24"/>
  <c r="N38" i="24"/>
  <c r="M38" i="24"/>
  <c r="J38" i="24"/>
  <c r="G38" i="24"/>
  <c r="C38" i="24"/>
  <c r="B38" i="24"/>
  <c r="W37" i="24"/>
  <c r="R37" i="24"/>
  <c r="N37" i="24"/>
  <c r="M37" i="24"/>
  <c r="J37" i="24"/>
  <c r="G37" i="24"/>
  <c r="C37" i="24"/>
  <c r="B37" i="24"/>
  <c r="W36" i="24"/>
  <c r="R36" i="24"/>
  <c r="N36" i="24"/>
  <c r="M36" i="24"/>
  <c r="J36" i="24"/>
  <c r="G36" i="24"/>
  <c r="C36" i="24"/>
  <c r="B36" i="24"/>
  <c r="W35" i="24"/>
  <c r="R35" i="24"/>
  <c r="N35" i="24"/>
  <c r="M35" i="24"/>
  <c r="J35" i="24"/>
  <c r="G35" i="24"/>
  <c r="C35" i="24"/>
  <c r="B35" i="24"/>
  <c r="W34" i="24"/>
  <c r="R34" i="24"/>
  <c r="N34" i="24"/>
  <c r="M34" i="24"/>
  <c r="J34" i="24"/>
  <c r="G34" i="24"/>
  <c r="C34" i="24"/>
  <c r="C39" i="24" s="1"/>
  <c r="B34" i="24"/>
  <c r="V30" i="24"/>
  <c r="U30" i="24"/>
  <c r="T30" i="24"/>
  <c r="S30" i="24"/>
  <c r="Q30" i="24"/>
  <c r="P30" i="24"/>
  <c r="O30" i="24"/>
  <c r="L30" i="24"/>
  <c r="K30" i="24"/>
  <c r="I30" i="24"/>
  <c r="H30" i="24"/>
  <c r="F30" i="24"/>
  <c r="E30" i="24"/>
  <c r="W29" i="24"/>
  <c r="R29" i="24"/>
  <c r="N29" i="24"/>
  <c r="M29" i="24"/>
  <c r="J29" i="24"/>
  <c r="G29" i="24"/>
  <c r="C29" i="24"/>
  <c r="B29" i="24"/>
  <c r="W28" i="24"/>
  <c r="R28" i="24"/>
  <c r="N28" i="24"/>
  <c r="M28" i="24"/>
  <c r="J28" i="24"/>
  <c r="G28" i="24"/>
  <c r="C28" i="24"/>
  <c r="B28" i="24"/>
  <c r="D28" i="24" s="1"/>
  <c r="W27" i="24"/>
  <c r="R27" i="24"/>
  <c r="N27" i="24"/>
  <c r="M27" i="24"/>
  <c r="J27" i="24"/>
  <c r="G27" i="24"/>
  <c r="C27" i="24"/>
  <c r="B27" i="24"/>
  <c r="W26" i="24"/>
  <c r="R26" i="24"/>
  <c r="N26" i="24"/>
  <c r="M26" i="24"/>
  <c r="J26" i="24"/>
  <c r="G26" i="24"/>
  <c r="C26" i="24"/>
  <c r="B26" i="24"/>
  <c r="W25" i="24"/>
  <c r="R25" i="24"/>
  <c r="N25" i="24"/>
  <c r="M25" i="24"/>
  <c r="J25" i="24"/>
  <c r="G25" i="24"/>
  <c r="C25" i="24"/>
  <c r="C30" i="24" s="1"/>
  <c r="B25" i="24"/>
  <c r="V19" i="24"/>
  <c r="V128" i="18" s="1"/>
  <c r="U19" i="24"/>
  <c r="U128" i="18" s="1"/>
  <c r="T19" i="24"/>
  <c r="T128" i="18" s="1"/>
  <c r="S19" i="24"/>
  <c r="Q19" i="24"/>
  <c r="Q128" i="18" s="1"/>
  <c r="P19" i="24"/>
  <c r="P128" i="18" s="1"/>
  <c r="O19" i="24"/>
  <c r="O128" i="18" s="1"/>
  <c r="L19" i="24"/>
  <c r="L128" i="18" s="1"/>
  <c r="K19" i="24"/>
  <c r="I19" i="24"/>
  <c r="I128" i="18" s="1"/>
  <c r="H19" i="24"/>
  <c r="H128" i="18" s="1"/>
  <c r="F19" i="24"/>
  <c r="F128" i="18" s="1"/>
  <c r="E19" i="24"/>
  <c r="E128" i="18" s="1"/>
  <c r="V18" i="24"/>
  <c r="V127" i="18" s="1"/>
  <c r="U18" i="24"/>
  <c r="U127" i="18" s="1"/>
  <c r="T18" i="24"/>
  <c r="T127" i="18" s="1"/>
  <c r="S18" i="24"/>
  <c r="Q18" i="24"/>
  <c r="Q127" i="18" s="1"/>
  <c r="P18" i="24"/>
  <c r="P127" i="18" s="1"/>
  <c r="O18" i="24"/>
  <c r="O127" i="18" s="1"/>
  <c r="L18" i="24"/>
  <c r="L127" i="18" s="1"/>
  <c r="K18" i="24"/>
  <c r="K127" i="18" s="1"/>
  <c r="I18" i="24"/>
  <c r="I127" i="18" s="1"/>
  <c r="H18" i="24"/>
  <c r="H127" i="18" s="1"/>
  <c r="F18" i="24"/>
  <c r="F127" i="18" s="1"/>
  <c r="E18" i="24"/>
  <c r="V17" i="24"/>
  <c r="V126" i="18" s="1"/>
  <c r="U17" i="24"/>
  <c r="U126" i="18" s="1"/>
  <c r="T17" i="24"/>
  <c r="T126" i="18" s="1"/>
  <c r="S17" i="24"/>
  <c r="S126" i="18" s="1"/>
  <c r="Q17" i="24"/>
  <c r="Q126" i="18" s="1"/>
  <c r="P17" i="24"/>
  <c r="P126" i="18" s="1"/>
  <c r="O17" i="24"/>
  <c r="O126" i="18" s="1"/>
  <c r="L17" i="24"/>
  <c r="L126" i="18" s="1"/>
  <c r="K17" i="24"/>
  <c r="K126" i="18" s="1"/>
  <c r="I17" i="24"/>
  <c r="I126" i="18" s="1"/>
  <c r="H17" i="24"/>
  <c r="H126" i="18" s="1"/>
  <c r="F17" i="24"/>
  <c r="F126" i="18" s="1"/>
  <c r="E17" i="24"/>
  <c r="E126" i="18" s="1"/>
  <c r="V16" i="24"/>
  <c r="V125" i="18" s="1"/>
  <c r="U16" i="24"/>
  <c r="U125" i="18" s="1"/>
  <c r="T16" i="24"/>
  <c r="T125" i="18" s="1"/>
  <c r="S16" i="24"/>
  <c r="S125" i="18" s="1"/>
  <c r="Q16" i="24"/>
  <c r="Q125" i="18" s="1"/>
  <c r="P16" i="24"/>
  <c r="P125" i="18" s="1"/>
  <c r="O16" i="24"/>
  <c r="O125" i="18" s="1"/>
  <c r="L16" i="24"/>
  <c r="L125" i="18" s="1"/>
  <c r="K16" i="24"/>
  <c r="K125" i="18" s="1"/>
  <c r="I16" i="24"/>
  <c r="I125" i="18" s="1"/>
  <c r="H16" i="24"/>
  <c r="F16" i="24"/>
  <c r="F125" i="18" s="1"/>
  <c r="E16" i="24"/>
  <c r="E125" i="18" s="1"/>
  <c r="V15" i="24"/>
  <c r="V124" i="18" s="1"/>
  <c r="U15" i="24"/>
  <c r="U124" i="18" s="1"/>
  <c r="T15" i="24"/>
  <c r="T124" i="18" s="1"/>
  <c r="S15" i="24"/>
  <c r="S124" i="18" s="1"/>
  <c r="Q15" i="24"/>
  <c r="Q124" i="18" s="1"/>
  <c r="P15" i="24"/>
  <c r="P124" i="18" s="1"/>
  <c r="O15" i="24"/>
  <c r="O124" i="18" s="1"/>
  <c r="L15" i="24"/>
  <c r="L124" i="18" s="1"/>
  <c r="K15" i="24"/>
  <c r="K124" i="18" s="1"/>
  <c r="I15" i="24"/>
  <c r="I124" i="18" s="1"/>
  <c r="H15" i="24"/>
  <c r="H124" i="18" s="1"/>
  <c r="F15" i="24"/>
  <c r="F124" i="18" s="1"/>
  <c r="E15" i="24"/>
  <c r="V10" i="24"/>
  <c r="V119" i="18" s="1"/>
  <c r="U10" i="24"/>
  <c r="U119" i="18" s="1"/>
  <c r="T10" i="24"/>
  <c r="T119" i="18" s="1"/>
  <c r="S10" i="24"/>
  <c r="S119" i="18" s="1"/>
  <c r="Q10" i="24"/>
  <c r="Q119" i="18" s="1"/>
  <c r="P10" i="24"/>
  <c r="P119" i="18" s="1"/>
  <c r="O10" i="24"/>
  <c r="O119" i="18" s="1"/>
  <c r="L10" i="24"/>
  <c r="L119" i="18" s="1"/>
  <c r="K10" i="24"/>
  <c r="K119" i="18" s="1"/>
  <c r="I10" i="24"/>
  <c r="I119" i="18" s="1"/>
  <c r="H10" i="24"/>
  <c r="H119" i="18" s="1"/>
  <c r="F10" i="24"/>
  <c r="F119" i="18" s="1"/>
  <c r="E10" i="24"/>
  <c r="E119" i="18" s="1"/>
  <c r="V9" i="24"/>
  <c r="V118" i="18" s="1"/>
  <c r="U9" i="24"/>
  <c r="U118" i="18" s="1"/>
  <c r="T9" i="24"/>
  <c r="T118" i="18" s="1"/>
  <c r="S9" i="24"/>
  <c r="S118" i="18" s="1"/>
  <c r="Q9" i="24"/>
  <c r="Q118" i="18" s="1"/>
  <c r="P9" i="24"/>
  <c r="P118" i="18" s="1"/>
  <c r="O9" i="24"/>
  <c r="O118" i="18" s="1"/>
  <c r="L9" i="24"/>
  <c r="L118" i="18" s="1"/>
  <c r="K9" i="24"/>
  <c r="K118" i="18" s="1"/>
  <c r="I9" i="24"/>
  <c r="I118" i="18" s="1"/>
  <c r="H9" i="24"/>
  <c r="H118" i="18" s="1"/>
  <c r="F9" i="24"/>
  <c r="F118" i="18" s="1"/>
  <c r="E9" i="24"/>
  <c r="E118" i="18" s="1"/>
  <c r="V8" i="24"/>
  <c r="V117" i="18" s="1"/>
  <c r="U8" i="24"/>
  <c r="U117" i="18" s="1"/>
  <c r="T8" i="24"/>
  <c r="T117" i="18" s="1"/>
  <c r="S8" i="24"/>
  <c r="S117" i="18" s="1"/>
  <c r="Q8" i="24"/>
  <c r="Q117" i="18" s="1"/>
  <c r="P8" i="24"/>
  <c r="P117" i="18" s="1"/>
  <c r="O8" i="24"/>
  <c r="O117" i="18" s="1"/>
  <c r="L8" i="24"/>
  <c r="L117" i="18" s="1"/>
  <c r="K8" i="24"/>
  <c r="K117" i="18" s="1"/>
  <c r="I8" i="24"/>
  <c r="I117" i="18" s="1"/>
  <c r="H8" i="24"/>
  <c r="H117" i="18" s="1"/>
  <c r="F8" i="24"/>
  <c r="F117" i="18" s="1"/>
  <c r="E8" i="24"/>
  <c r="E117" i="18" s="1"/>
  <c r="V7" i="24"/>
  <c r="V116" i="18" s="1"/>
  <c r="U7" i="24"/>
  <c r="U116" i="18" s="1"/>
  <c r="T7" i="24"/>
  <c r="T116" i="18" s="1"/>
  <c r="S7" i="24"/>
  <c r="S116" i="18" s="1"/>
  <c r="Q7" i="24"/>
  <c r="Q116" i="18" s="1"/>
  <c r="P7" i="24"/>
  <c r="P116" i="18" s="1"/>
  <c r="O7" i="24"/>
  <c r="O116" i="18" s="1"/>
  <c r="L7" i="24"/>
  <c r="L116" i="18" s="1"/>
  <c r="K7" i="24"/>
  <c r="K116" i="18" s="1"/>
  <c r="I7" i="24"/>
  <c r="I116" i="18" s="1"/>
  <c r="H7" i="24"/>
  <c r="H116" i="18" s="1"/>
  <c r="F7" i="24"/>
  <c r="F116" i="18" s="1"/>
  <c r="E7" i="24"/>
  <c r="E116" i="18" s="1"/>
  <c r="V6" i="24"/>
  <c r="V115" i="18" s="1"/>
  <c r="U6" i="24"/>
  <c r="U115" i="18" s="1"/>
  <c r="T6" i="24"/>
  <c r="T115" i="18" s="1"/>
  <c r="S6" i="24"/>
  <c r="S115" i="18" s="1"/>
  <c r="Q6" i="24"/>
  <c r="Q115" i="18" s="1"/>
  <c r="P6" i="24"/>
  <c r="P115" i="18" s="1"/>
  <c r="O6" i="24"/>
  <c r="O115" i="18" s="1"/>
  <c r="L6" i="24"/>
  <c r="L115" i="18" s="1"/>
  <c r="K6" i="24"/>
  <c r="I6" i="24"/>
  <c r="I115" i="18" s="1"/>
  <c r="H6" i="24"/>
  <c r="H115" i="18" s="1"/>
  <c r="F6" i="24"/>
  <c r="F115" i="18" s="1"/>
  <c r="E6" i="24"/>
  <c r="E115" i="18" s="1"/>
  <c r="V57" i="23"/>
  <c r="U57" i="23"/>
  <c r="T57" i="23"/>
  <c r="S57" i="23"/>
  <c r="Q57" i="23"/>
  <c r="P57" i="23"/>
  <c r="R57" i="23" s="1"/>
  <c r="O57" i="23"/>
  <c r="L57" i="23"/>
  <c r="K57" i="23"/>
  <c r="I57" i="23"/>
  <c r="H57" i="23"/>
  <c r="J57" i="23" s="1"/>
  <c r="F57" i="23"/>
  <c r="E57" i="23"/>
  <c r="W55" i="23"/>
  <c r="R55" i="23"/>
  <c r="N55" i="23"/>
  <c r="M55" i="23"/>
  <c r="J55" i="23"/>
  <c r="G55" i="23"/>
  <c r="C55" i="23"/>
  <c r="B55" i="23"/>
  <c r="W54" i="23"/>
  <c r="R54" i="23"/>
  <c r="N54" i="23"/>
  <c r="M54" i="23"/>
  <c r="J54" i="23"/>
  <c r="G54" i="23"/>
  <c r="C54" i="23"/>
  <c r="B54" i="23"/>
  <c r="W53" i="23"/>
  <c r="R53" i="23"/>
  <c r="N53" i="23"/>
  <c r="M53" i="23"/>
  <c r="J53" i="23"/>
  <c r="G53" i="23"/>
  <c r="C53" i="23"/>
  <c r="B53" i="23"/>
  <c r="W52" i="23"/>
  <c r="R52" i="23"/>
  <c r="N52" i="23"/>
  <c r="M52" i="23"/>
  <c r="J52" i="23"/>
  <c r="G52" i="23"/>
  <c r="C52" i="23"/>
  <c r="C57" i="23" s="1"/>
  <c r="B52" i="23"/>
  <c r="V48" i="23"/>
  <c r="U48" i="23"/>
  <c r="T48" i="23"/>
  <c r="S48" i="23"/>
  <c r="W48" i="23" s="1"/>
  <c r="Q48" i="23"/>
  <c r="P48" i="23"/>
  <c r="O48" i="23"/>
  <c r="L48" i="23"/>
  <c r="K48" i="23"/>
  <c r="I48" i="23"/>
  <c r="H48" i="23"/>
  <c r="F48" i="23"/>
  <c r="E48" i="23"/>
  <c r="W47" i="23"/>
  <c r="R47" i="23"/>
  <c r="N47" i="23"/>
  <c r="M47" i="23"/>
  <c r="J47" i="23"/>
  <c r="G47" i="23"/>
  <c r="C47" i="23"/>
  <c r="B47" i="23"/>
  <c r="W46" i="23"/>
  <c r="R46" i="23"/>
  <c r="N46" i="23"/>
  <c r="M46" i="23"/>
  <c r="J46" i="23"/>
  <c r="G46" i="23"/>
  <c r="C46" i="23"/>
  <c r="B46" i="23"/>
  <c r="D46" i="23" s="1"/>
  <c r="W45" i="23"/>
  <c r="R45" i="23"/>
  <c r="N45" i="23"/>
  <c r="M45" i="23"/>
  <c r="J45" i="23"/>
  <c r="G45" i="23"/>
  <c r="C45" i="23"/>
  <c r="B45" i="23"/>
  <c r="W44" i="23"/>
  <c r="R44" i="23"/>
  <c r="N44" i="23"/>
  <c r="M44" i="23"/>
  <c r="J44" i="23"/>
  <c r="G44" i="23"/>
  <c r="C44" i="23"/>
  <c r="B44" i="23"/>
  <c r="W43" i="23"/>
  <c r="R43" i="23"/>
  <c r="R48" i="23" s="1"/>
  <c r="N43" i="23"/>
  <c r="M43" i="23"/>
  <c r="J43" i="23"/>
  <c r="G43" i="23"/>
  <c r="C43" i="23"/>
  <c r="B43" i="23"/>
  <c r="V39" i="23"/>
  <c r="U39" i="23"/>
  <c r="T39" i="23"/>
  <c r="S39" i="23"/>
  <c r="Q39" i="23"/>
  <c r="P39" i="23"/>
  <c r="O39" i="23"/>
  <c r="L39" i="23"/>
  <c r="K39" i="23"/>
  <c r="M39" i="23" s="1"/>
  <c r="I39" i="23"/>
  <c r="H39" i="23"/>
  <c r="F39" i="23"/>
  <c r="E39" i="23"/>
  <c r="G39" i="23" s="1"/>
  <c r="W37" i="23"/>
  <c r="R37" i="23"/>
  <c r="N37" i="23"/>
  <c r="M37" i="23"/>
  <c r="J37" i="23"/>
  <c r="G37" i="23"/>
  <c r="C37" i="23"/>
  <c r="B37" i="23"/>
  <c r="W36" i="23"/>
  <c r="R36" i="23"/>
  <c r="N36" i="23"/>
  <c r="M36" i="23"/>
  <c r="J36" i="23"/>
  <c r="G36" i="23"/>
  <c r="C36" i="23"/>
  <c r="B36" i="23"/>
  <c r="W35" i="23"/>
  <c r="R35" i="23"/>
  <c r="N35" i="23"/>
  <c r="M35" i="23"/>
  <c r="J35" i="23"/>
  <c r="G35" i="23"/>
  <c r="C35" i="23"/>
  <c r="B35" i="23"/>
  <c r="W34" i="23"/>
  <c r="R34" i="23"/>
  <c r="N34" i="23"/>
  <c r="M34" i="23"/>
  <c r="J34" i="23"/>
  <c r="G34" i="23"/>
  <c r="C34" i="23"/>
  <c r="C39" i="23" s="1"/>
  <c r="B34" i="23"/>
  <c r="B39" i="23" s="1"/>
  <c r="V30" i="23"/>
  <c r="U30" i="23"/>
  <c r="T30" i="23"/>
  <c r="S30" i="23"/>
  <c r="Q30" i="23"/>
  <c r="P30" i="23"/>
  <c r="O30" i="23"/>
  <c r="L30" i="23"/>
  <c r="K30" i="23"/>
  <c r="I30" i="23"/>
  <c r="H30" i="23"/>
  <c r="F30" i="23"/>
  <c r="E30" i="23"/>
  <c r="W29" i="23"/>
  <c r="R29" i="23"/>
  <c r="N29" i="23"/>
  <c r="M29" i="23"/>
  <c r="J29" i="23"/>
  <c r="G29" i="23"/>
  <c r="C29" i="23"/>
  <c r="B29" i="23"/>
  <c r="W28" i="23"/>
  <c r="R28" i="23"/>
  <c r="N28" i="23"/>
  <c r="M28" i="23"/>
  <c r="J28" i="23"/>
  <c r="G28" i="23"/>
  <c r="C28" i="23"/>
  <c r="B28" i="23"/>
  <c r="W27" i="23"/>
  <c r="R27" i="23"/>
  <c r="N27" i="23"/>
  <c r="M27" i="23"/>
  <c r="J27" i="23"/>
  <c r="G27" i="23"/>
  <c r="C27" i="23"/>
  <c r="B27" i="23"/>
  <c r="W26" i="23"/>
  <c r="R26" i="23"/>
  <c r="N26" i="23"/>
  <c r="M26" i="23"/>
  <c r="J26" i="23"/>
  <c r="G26" i="23"/>
  <c r="C26" i="23"/>
  <c r="B26" i="23"/>
  <c r="W25" i="23"/>
  <c r="R25" i="23"/>
  <c r="N25" i="23"/>
  <c r="M25" i="23"/>
  <c r="J25" i="23"/>
  <c r="G25" i="23"/>
  <c r="C25" i="23"/>
  <c r="C30" i="23" s="1"/>
  <c r="B25" i="23"/>
  <c r="V18" i="23"/>
  <c r="V97" i="18" s="1"/>
  <c r="U18" i="23"/>
  <c r="U97" i="18" s="1"/>
  <c r="T18" i="23"/>
  <c r="T97" i="18" s="1"/>
  <c r="S18" i="23"/>
  <c r="Q18" i="23"/>
  <c r="Q97" i="18" s="1"/>
  <c r="P18" i="23"/>
  <c r="P97" i="18" s="1"/>
  <c r="O18" i="23"/>
  <c r="O97" i="18" s="1"/>
  <c r="L18" i="23"/>
  <c r="L97" i="18" s="1"/>
  <c r="K18" i="23"/>
  <c r="I18" i="23"/>
  <c r="I97" i="18" s="1"/>
  <c r="H18" i="23"/>
  <c r="F18" i="23"/>
  <c r="E18" i="23"/>
  <c r="V17" i="23"/>
  <c r="V96" i="18" s="1"/>
  <c r="U17" i="23"/>
  <c r="U96" i="18" s="1"/>
  <c r="T17" i="23"/>
  <c r="T96" i="18" s="1"/>
  <c r="S17" i="23"/>
  <c r="Q17" i="23"/>
  <c r="Q96" i="18" s="1"/>
  <c r="P17" i="23"/>
  <c r="P96" i="18" s="1"/>
  <c r="O17" i="23"/>
  <c r="O96" i="18" s="1"/>
  <c r="L17" i="23"/>
  <c r="L96" i="18" s="1"/>
  <c r="K17" i="23"/>
  <c r="I17" i="23"/>
  <c r="I96" i="18" s="1"/>
  <c r="H17" i="23"/>
  <c r="H96" i="18" s="1"/>
  <c r="F17" i="23"/>
  <c r="E17" i="23"/>
  <c r="V16" i="23"/>
  <c r="V95" i="18" s="1"/>
  <c r="U16" i="23"/>
  <c r="U95" i="18" s="1"/>
  <c r="T16" i="23"/>
  <c r="T95" i="18" s="1"/>
  <c r="S16" i="23"/>
  <c r="Q16" i="23"/>
  <c r="Q95" i="18" s="1"/>
  <c r="P16" i="23"/>
  <c r="P95" i="18" s="1"/>
  <c r="O16" i="23"/>
  <c r="O95" i="18" s="1"/>
  <c r="L16" i="23"/>
  <c r="L95" i="18" s="1"/>
  <c r="K16" i="23"/>
  <c r="I16" i="23"/>
  <c r="I95" i="18" s="1"/>
  <c r="H16" i="23"/>
  <c r="H95" i="18" s="1"/>
  <c r="F16" i="23"/>
  <c r="F95" i="18" s="1"/>
  <c r="E16" i="23"/>
  <c r="V15" i="23"/>
  <c r="V94" i="18" s="1"/>
  <c r="U15" i="23"/>
  <c r="U94" i="18" s="1"/>
  <c r="T15" i="23"/>
  <c r="T94" i="18" s="1"/>
  <c r="S15" i="23"/>
  <c r="Q15" i="23"/>
  <c r="P15" i="23"/>
  <c r="O15" i="23"/>
  <c r="L15" i="23"/>
  <c r="L94" i="18" s="1"/>
  <c r="K15" i="23"/>
  <c r="I15" i="23"/>
  <c r="I94" i="18" s="1"/>
  <c r="H15" i="23"/>
  <c r="F15" i="23"/>
  <c r="F94" i="18" s="1"/>
  <c r="E15" i="23"/>
  <c r="V10" i="23"/>
  <c r="V107" i="18" s="1"/>
  <c r="U10" i="23"/>
  <c r="U107" i="18" s="1"/>
  <c r="T10" i="23"/>
  <c r="T107" i="18" s="1"/>
  <c r="S10" i="23"/>
  <c r="Q10" i="23"/>
  <c r="Q107" i="18" s="1"/>
  <c r="P10" i="23"/>
  <c r="P107" i="18" s="1"/>
  <c r="O10" i="23"/>
  <c r="O107" i="18" s="1"/>
  <c r="L10" i="23"/>
  <c r="L107" i="18" s="1"/>
  <c r="K10" i="23"/>
  <c r="I10" i="23"/>
  <c r="I107" i="18" s="1"/>
  <c r="H10" i="23"/>
  <c r="F10" i="23"/>
  <c r="E10" i="23"/>
  <c r="V9" i="23"/>
  <c r="V106" i="18" s="1"/>
  <c r="U9" i="23"/>
  <c r="U106" i="18" s="1"/>
  <c r="T9" i="23"/>
  <c r="T106" i="18" s="1"/>
  <c r="S9" i="23"/>
  <c r="Q9" i="23"/>
  <c r="Q106" i="18" s="1"/>
  <c r="P9" i="23"/>
  <c r="P106" i="18" s="1"/>
  <c r="O9" i="23"/>
  <c r="O106" i="18" s="1"/>
  <c r="L9" i="23"/>
  <c r="L106" i="18" s="1"/>
  <c r="K9" i="23"/>
  <c r="I9" i="23"/>
  <c r="I106" i="18" s="1"/>
  <c r="H9" i="23"/>
  <c r="F9" i="23"/>
  <c r="E9" i="23"/>
  <c r="V8" i="23"/>
  <c r="V105" i="18" s="1"/>
  <c r="U8" i="23"/>
  <c r="U105" i="18" s="1"/>
  <c r="T8" i="23"/>
  <c r="T105" i="18" s="1"/>
  <c r="S8" i="23"/>
  <c r="Q8" i="23"/>
  <c r="Q105" i="18" s="1"/>
  <c r="P8" i="23"/>
  <c r="O8" i="23"/>
  <c r="O105" i="18" s="1"/>
  <c r="L8" i="23"/>
  <c r="L105" i="18" s="1"/>
  <c r="K8" i="23"/>
  <c r="I8" i="23"/>
  <c r="I105" i="18" s="1"/>
  <c r="H8" i="23"/>
  <c r="H105" i="18" s="1"/>
  <c r="F8" i="23"/>
  <c r="F105" i="18" s="1"/>
  <c r="E8" i="23"/>
  <c r="V7" i="23"/>
  <c r="V104" i="18" s="1"/>
  <c r="U7" i="23"/>
  <c r="U104" i="18" s="1"/>
  <c r="T7" i="23"/>
  <c r="T104" i="18" s="1"/>
  <c r="S7" i="23"/>
  <c r="Q7" i="23"/>
  <c r="Q104" i="18" s="1"/>
  <c r="P7" i="23"/>
  <c r="O7" i="23"/>
  <c r="O104" i="18" s="1"/>
  <c r="L7" i="23"/>
  <c r="L104" i="18" s="1"/>
  <c r="K7" i="23"/>
  <c r="I7" i="23"/>
  <c r="I104" i="18" s="1"/>
  <c r="H7" i="23"/>
  <c r="F7" i="23"/>
  <c r="F104" i="18" s="1"/>
  <c r="E7" i="23"/>
  <c r="V6" i="23"/>
  <c r="U6" i="23"/>
  <c r="T6" i="23"/>
  <c r="S6" i="23"/>
  <c r="Q6" i="23"/>
  <c r="Q103" i="18" s="1"/>
  <c r="P6" i="23"/>
  <c r="P103" i="18" s="1"/>
  <c r="O6" i="23"/>
  <c r="O103" i="18" s="1"/>
  <c r="L6" i="23"/>
  <c r="K6" i="23"/>
  <c r="I6" i="23"/>
  <c r="I103" i="18" s="1"/>
  <c r="H6" i="23"/>
  <c r="F6" i="23"/>
  <c r="E6" i="23"/>
  <c r="V57" i="22"/>
  <c r="U57" i="22"/>
  <c r="T57" i="22"/>
  <c r="S57" i="22"/>
  <c r="Q57" i="22"/>
  <c r="P57" i="22"/>
  <c r="O57" i="22"/>
  <c r="L57" i="22"/>
  <c r="K57" i="22"/>
  <c r="I57" i="22"/>
  <c r="H57" i="22"/>
  <c r="F57" i="22"/>
  <c r="E57" i="22"/>
  <c r="W55" i="22"/>
  <c r="R55" i="22"/>
  <c r="N55" i="22"/>
  <c r="M55" i="22"/>
  <c r="J55" i="22"/>
  <c r="G55" i="22"/>
  <c r="C55" i="22"/>
  <c r="B55" i="22"/>
  <c r="W54" i="22"/>
  <c r="R54" i="22"/>
  <c r="N54" i="22"/>
  <c r="M54" i="22"/>
  <c r="J54" i="22"/>
  <c r="G54" i="22"/>
  <c r="C54" i="22"/>
  <c r="B54" i="22"/>
  <c r="W53" i="22"/>
  <c r="R53" i="22"/>
  <c r="N53" i="22"/>
  <c r="M53" i="22"/>
  <c r="J53" i="22"/>
  <c r="G53" i="22"/>
  <c r="C53" i="22"/>
  <c r="B53" i="22"/>
  <c r="D53" i="22" s="1"/>
  <c r="W52" i="22"/>
  <c r="R52" i="22"/>
  <c r="N52" i="22"/>
  <c r="M52" i="22"/>
  <c r="J52" i="22"/>
  <c r="G52" i="22"/>
  <c r="C52" i="22"/>
  <c r="C57" i="22" s="1"/>
  <c r="B52" i="22"/>
  <c r="V48" i="22"/>
  <c r="U48" i="22"/>
  <c r="T48" i="22"/>
  <c r="S48" i="22"/>
  <c r="Q48" i="22"/>
  <c r="P48" i="22"/>
  <c r="O48" i="22"/>
  <c r="L48" i="22"/>
  <c r="K48" i="22"/>
  <c r="I48" i="22"/>
  <c r="H48" i="22"/>
  <c r="J48" i="22" s="1"/>
  <c r="F48" i="22"/>
  <c r="G48" i="22" s="1"/>
  <c r="E48" i="22"/>
  <c r="W47" i="22"/>
  <c r="R47" i="22"/>
  <c r="N47" i="22"/>
  <c r="M47" i="22"/>
  <c r="J47" i="22"/>
  <c r="G47" i="22"/>
  <c r="C47" i="22"/>
  <c r="B47" i="22"/>
  <c r="W46" i="22"/>
  <c r="R46" i="22"/>
  <c r="N46" i="22"/>
  <c r="M46" i="22"/>
  <c r="J46" i="22"/>
  <c r="G46" i="22"/>
  <c r="C46" i="22"/>
  <c r="B46" i="22"/>
  <c r="W45" i="22"/>
  <c r="R45" i="22"/>
  <c r="N45" i="22"/>
  <c r="M45" i="22"/>
  <c r="J45" i="22"/>
  <c r="G45" i="22"/>
  <c r="C45" i="22"/>
  <c r="B45" i="22"/>
  <c r="W44" i="22"/>
  <c r="R44" i="22"/>
  <c r="N44" i="22"/>
  <c r="M44" i="22"/>
  <c r="J44" i="22"/>
  <c r="G44" i="22"/>
  <c r="C44" i="22"/>
  <c r="B44" i="22"/>
  <c r="W43" i="22"/>
  <c r="R43" i="22"/>
  <c r="R48" i="22" s="1"/>
  <c r="N43" i="22"/>
  <c r="M43" i="22"/>
  <c r="J43" i="22"/>
  <c r="G43" i="22"/>
  <c r="C43" i="22"/>
  <c r="D43" i="22" s="1"/>
  <c r="B43" i="22"/>
  <c r="V39" i="22"/>
  <c r="U39" i="22"/>
  <c r="T39" i="22"/>
  <c r="S39" i="22"/>
  <c r="Q39" i="22"/>
  <c r="P39" i="22"/>
  <c r="O39" i="22"/>
  <c r="L39" i="22"/>
  <c r="K39" i="22"/>
  <c r="I39" i="22"/>
  <c r="H39" i="22"/>
  <c r="F39" i="22"/>
  <c r="E39" i="22"/>
  <c r="G39" i="22" s="1"/>
  <c r="W37" i="22"/>
  <c r="R37" i="22"/>
  <c r="N37" i="22"/>
  <c r="M37" i="22"/>
  <c r="J37" i="22"/>
  <c r="G37" i="22"/>
  <c r="C37" i="22"/>
  <c r="B37" i="22"/>
  <c r="W36" i="22"/>
  <c r="R36" i="22"/>
  <c r="N36" i="22"/>
  <c r="M36" i="22"/>
  <c r="J36" i="22"/>
  <c r="G36" i="22"/>
  <c r="C36" i="22"/>
  <c r="B36" i="22"/>
  <c r="W35" i="22"/>
  <c r="R35" i="22"/>
  <c r="N35" i="22"/>
  <c r="M35" i="22"/>
  <c r="J35" i="22"/>
  <c r="G35" i="22"/>
  <c r="C35" i="22"/>
  <c r="B35" i="22"/>
  <c r="W34" i="22"/>
  <c r="R34" i="22"/>
  <c r="N34" i="22"/>
  <c r="M34" i="22"/>
  <c r="J34" i="22"/>
  <c r="G34" i="22"/>
  <c r="C34" i="22"/>
  <c r="C39" i="22" s="1"/>
  <c r="B34" i="22"/>
  <c r="V30" i="22"/>
  <c r="U30" i="22"/>
  <c r="T30" i="22"/>
  <c r="S30" i="22"/>
  <c r="Q30" i="22"/>
  <c r="P30" i="22"/>
  <c r="O30" i="22"/>
  <c r="L30" i="22"/>
  <c r="M30" i="22" s="1"/>
  <c r="K30" i="22"/>
  <c r="I30" i="22"/>
  <c r="H30" i="22"/>
  <c r="J30" i="22" s="1"/>
  <c r="F30" i="22"/>
  <c r="E30" i="22"/>
  <c r="W29" i="22"/>
  <c r="R29" i="22"/>
  <c r="N29" i="22"/>
  <c r="M29" i="22"/>
  <c r="J29" i="22"/>
  <c r="G29" i="22"/>
  <c r="C29" i="22"/>
  <c r="B29" i="22"/>
  <c r="W28" i="22"/>
  <c r="R28" i="22"/>
  <c r="N28" i="22"/>
  <c r="M28" i="22"/>
  <c r="J28" i="22"/>
  <c r="G28" i="22"/>
  <c r="C28" i="22"/>
  <c r="B28" i="22"/>
  <c r="W27" i="22"/>
  <c r="R27" i="22"/>
  <c r="N27" i="22"/>
  <c r="M27" i="22"/>
  <c r="J27" i="22"/>
  <c r="G27" i="22"/>
  <c r="C27" i="22"/>
  <c r="B27" i="22"/>
  <c r="W26" i="22"/>
  <c r="R26" i="22"/>
  <c r="N26" i="22"/>
  <c r="M26" i="22"/>
  <c r="J26" i="22"/>
  <c r="G26" i="22"/>
  <c r="C26" i="22"/>
  <c r="D26" i="22" s="1"/>
  <c r="B26" i="22"/>
  <c r="W25" i="22"/>
  <c r="R25" i="22"/>
  <c r="N25" i="22"/>
  <c r="M25" i="22"/>
  <c r="J25" i="22"/>
  <c r="G25" i="22"/>
  <c r="C25" i="22"/>
  <c r="B25" i="22"/>
  <c r="V18" i="22"/>
  <c r="V76" i="18" s="1"/>
  <c r="U18" i="22"/>
  <c r="U76" i="18" s="1"/>
  <c r="T18" i="22"/>
  <c r="T76" i="18" s="1"/>
  <c r="S18" i="22"/>
  <c r="S76" i="18" s="1"/>
  <c r="Q18" i="22"/>
  <c r="Q76" i="18" s="1"/>
  <c r="P18" i="22"/>
  <c r="P76" i="18" s="1"/>
  <c r="O18" i="22"/>
  <c r="O76" i="18" s="1"/>
  <c r="L18" i="22"/>
  <c r="L76" i="18" s="1"/>
  <c r="K18" i="22"/>
  <c r="I18" i="22"/>
  <c r="I76" i="18" s="1"/>
  <c r="H18" i="22"/>
  <c r="F18" i="22"/>
  <c r="E18" i="22"/>
  <c r="E76" i="18" s="1"/>
  <c r="V17" i="22"/>
  <c r="V75" i="18" s="1"/>
  <c r="U17" i="22"/>
  <c r="U75" i="18" s="1"/>
  <c r="T17" i="22"/>
  <c r="T75" i="18" s="1"/>
  <c r="S17" i="22"/>
  <c r="S75" i="18" s="1"/>
  <c r="Q17" i="22"/>
  <c r="Q75" i="18" s="1"/>
  <c r="P17" i="22"/>
  <c r="P75" i="18" s="1"/>
  <c r="O17" i="22"/>
  <c r="O75" i="18" s="1"/>
  <c r="L17" i="22"/>
  <c r="L75" i="18" s="1"/>
  <c r="K17" i="22"/>
  <c r="K75" i="18" s="1"/>
  <c r="I17" i="22"/>
  <c r="I75" i="18" s="1"/>
  <c r="H17" i="22"/>
  <c r="H75" i="18" s="1"/>
  <c r="F17" i="22"/>
  <c r="E17" i="22"/>
  <c r="V16" i="22"/>
  <c r="V74" i="18" s="1"/>
  <c r="U16" i="22"/>
  <c r="U74" i="18" s="1"/>
  <c r="T16" i="22"/>
  <c r="T74" i="18" s="1"/>
  <c r="S16" i="22"/>
  <c r="Q16" i="22"/>
  <c r="Q74" i="18" s="1"/>
  <c r="P16" i="22"/>
  <c r="P74" i="18" s="1"/>
  <c r="O16" i="22"/>
  <c r="O74" i="18" s="1"/>
  <c r="L16" i="22"/>
  <c r="L74" i="18" s="1"/>
  <c r="K16" i="22"/>
  <c r="K74" i="18" s="1"/>
  <c r="I16" i="22"/>
  <c r="I74" i="18" s="1"/>
  <c r="H16" i="22"/>
  <c r="F16" i="22"/>
  <c r="F74" i="18" s="1"/>
  <c r="E16" i="22"/>
  <c r="E74" i="18" s="1"/>
  <c r="V15" i="22"/>
  <c r="V73" i="18" s="1"/>
  <c r="U15" i="22"/>
  <c r="T15" i="22"/>
  <c r="T73" i="18" s="1"/>
  <c r="S15" i="22"/>
  <c r="S73" i="18" s="1"/>
  <c r="Q15" i="22"/>
  <c r="Q73" i="18" s="1"/>
  <c r="P15" i="22"/>
  <c r="P73" i="18" s="1"/>
  <c r="O15" i="22"/>
  <c r="O73" i="18" s="1"/>
  <c r="L15" i="22"/>
  <c r="L73" i="18" s="1"/>
  <c r="K15" i="22"/>
  <c r="K73" i="18" s="1"/>
  <c r="I15" i="22"/>
  <c r="H15" i="22"/>
  <c r="H73" i="18" s="1"/>
  <c r="F15" i="22"/>
  <c r="F73" i="18" s="1"/>
  <c r="E15" i="22"/>
  <c r="V10" i="22"/>
  <c r="V86" i="18" s="1"/>
  <c r="U10" i="22"/>
  <c r="U86" i="18" s="1"/>
  <c r="T10" i="22"/>
  <c r="T86" i="18" s="1"/>
  <c r="S10" i="22"/>
  <c r="S86" i="18" s="1"/>
  <c r="Q10" i="22"/>
  <c r="Q86" i="18" s="1"/>
  <c r="P10" i="22"/>
  <c r="P86" i="18" s="1"/>
  <c r="O10" i="22"/>
  <c r="O86" i="18" s="1"/>
  <c r="L10" i="22"/>
  <c r="L86" i="18" s="1"/>
  <c r="K10" i="22"/>
  <c r="I10" i="22"/>
  <c r="I86" i="18" s="1"/>
  <c r="H10" i="22"/>
  <c r="H86" i="18" s="1"/>
  <c r="F10" i="22"/>
  <c r="F86" i="18" s="1"/>
  <c r="E10" i="22"/>
  <c r="V9" i="22"/>
  <c r="V85" i="18" s="1"/>
  <c r="U9" i="22"/>
  <c r="U85" i="18" s="1"/>
  <c r="T9" i="22"/>
  <c r="T85" i="18" s="1"/>
  <c r="S9" i="22"/>
  <c r="Q9" i="22"/>
  <c r="Q85" i="18" s="1"/>
  <c r="P9" i="22"/>
  <c r="P85" i="18" s="1"/>
  <c r="O9" i="22"/>
  <c r="O85" i="18" s="1"/>
  <c r="L9" i="22"/>
  <c r="L85" i="18" s="1"/>
  <c r="K9" i="22"/>
  <c r="K85" i="18" s="1"/>
  <c r="I9" i="22"/>
  <c r="I85" i="18" s="1"/>
  <c r="H9" i="22"/>
  <c r="H85" i="18" s="1"/>
  <c r="F9" i="22"/>
  <c r="F85" i="18" s="1"/>
  <c r="E9" i="22"/>
  <c r="V8" i="22"/>
  <c r="V84" i="18" s="1"/>
  <c r="U8" i="22"/>
  <c r="U84" i="18" s="1"/>
  <c r="T8" i="22"/>
  <c r="T84" i="18" s="1"/>
  <c r="S8" i="22"/>
  <c r="Q8" i="22"/>
  <c r="Q84" i="18" s="1"/>
  <c r="P8" i="22"/>
  <c r="P84" i="18" s="1"/>
  <c r="O8" i="22"/>
  <c r="O84" i="18" s="1"/>
  <c r="L8" i="22"/>
  <c r="L84" i="18" s="1"/>
  <c r="K8" i="22"/>
  <c r="K84" i="18" s="1"/>
  <c r="I8" i="22"/>
  <c r="I84" i="18" s="1"/>
  <c r="H8" i="22"/>
  <c r="H84" i="18" s="1"/>
  <c r="F8" i="22"/>
  <c r="F84" i="18" s="1"/>
  <c r="E8" i="22"/>
  <c r="E84" i="18" s="1"/>
  <c r="V7" i="22"/>
  <c r="V83" i="18" s="1"/>
  <c r="U7" i="22"/>
  <c r="U83" i="18" s="1"/>
  <c r="T7" i="22"/>
  <c r="T83" i="18" s="1"/>
  <c r="S7" i="22"/>
  <c r="S83" i="18" s="1"/>
  <c r="Q7" i="22"/>
  <c r="Q83" i="18" s="1"/>
  <c r="P7" i="22"/>
  <c r="P83" i="18" s="1"/>
  <c r="O7" i="22"/>
  <c r="O83" i="18" s="1"/>
  <c r="L7" i="22"/>
  <c r="L83" i="18" s="1"/>
  <c r="K7" i="22"/>
  <c r="I7" i="22"/>
  <c r="I83" i="18" s="1"/>
  <c r="H7" i="22"/>
  <c r="F7" i="22"/>
  <c r="E7" i="22"/>
  <c r="E83" i="18" s="1"/>
  <c r="V6" i="22"/>
  <c r="V82" i="18" s="1"/>
  <c r="U6" i="22"/>
  <c r="U82" i="18" s="1"/>
  <c r="T6" i="22"/>
  <c r="T82" i="18" s="1"/>
  <c r="S6" i="22"/>
  <c r="S82" i="18" s="1"/>
  <c r="Q6" i="22"/>
  <c r="Q82" i="18" s="1"/>
  <c r="P6" i="22"/>
  <c r="P82" i="18" s="1"/>
  <c r="O6" i="22"/>
  <c r="O82" i="18" s="1"/>
  <c r="L6" i="22"/>
  <c r="K6" i="22"/>
  <c r="K82" i="18" s="1"/>
  <c r="I6" i="22"/>
  <c r="I82" i="18" s="1"/>
  <c r="H6" i="22"/>
  <c r="H82" i="18" s="1"/>
  <c r="F6" i="22"/>
  <c r="F82" i="18" s="1"/>
  <c r="E6" i="22"/>
  <c r="E82" i="18" s="1"/>
  <c r="V57" i="21"/>
  <c r="U57" i="21"/>
  <c r="T57" i="21"/>
  <c r="S57" i="21"/>
  <c r="Q57" i="21"/>
  <c r="P57" i="21"/>
  <c r="O57" i="21"/>
  <c r="L57" i="21"/>
  <c r="K57" i="21"/>
  <c r="M57" i="21" s="1"/>
  <c r="I57" i="21"/>
  <c r="H57" i="21"/>
  <c r="F57" i="21"/>
  <c r="G57" i="21" s="1"/>
  <c r="E57" i="21"/>
  <c r="W56" i="21"/>
  <c r="R56" i="21"/>
  <c r="N56" i="21"/>
  <c r="M56" i="21"/>
  <c r="J56" i="21"/>
  <c r="G56" i="21"/>
  <c r="C56" i="21"/>
  <c r="B56" i="21"/>
  <c r="W55" i="21"/>
  <c r="R55" i="21"/>
  <c r="N55" i="21"/>
  <c r="M55" i="21"/>
  <c r="J55" i="21"/>
  <c r="G55" i="21"/>
  <c r="C55" i="21"/>
  <c r="B55" i="21"/>
  <c r="D55" i="21" s="1"/>
  <c r="W54" i="21"/>
  <c r="R54" i="21"/>
  <c r="N54" i="21"/>
  <c r="M54" i="21"/>
  <c r="J54" i="21"/>
  <c r="G54" i="21"/>
  <c r="C54" i="21"/>
  <c r="B54" i="21"/>
  <c r="W53" i="21"/>
  <c r="R53" i="21"/>
  <c r="N53" i="21"/>
  <c r="M53" i="21"/>
  <c r="J53" i="21"/>
  <c r="G53" i="21"/>
  <c r="C53" i="21"/>
  <c r="B53" i="21"/>
  <c r="W52" i="21"/>
  <c r="R52" i="21"/>
  <c r="N52" i="21"/>
  <c r="M52" i="21"/>
  <c r="J52" i="21"/>
  <c r="G52" i="21"/>
  <c r="C52" i="21"/>
  <c r="B52" i="21"/>
  <c r="B57" i="21" s="1"/>
  <c r="V48" i="21"/>
  <c r="U48" i="21"/>
  <c r="T48" i="21"/>
  <c r="S48" i="21"/>
  <c r="Q48" i="21"/>
  <c r="P48" i="21"/>
  <c r="O48" i="21"/>
  <c r="L48" i="21"/>
  <c r="K48" i="21"/>
  <c r="I48" i="21"/>
  <c r="H48" i="21"/>
  <c r="F48" i="21"/>
  <c r="E48" i="21"/>
  <c r="W47" i="21"/>
  <c r="R47" i="21"/>
  <c r="N47" i="21"/>
  <c r="M47" i="21"/>
  <c r="J47" i="21"/>
  <c r="G47" i="21"/>
  <c r="C47" i="21"/>
  <c r="B47" i="21"/>
  <c r="W46" i="21"/>
  <c r="R46" i="21"/>
  <c r="N46" i="21"/>
  <c r="M46" i="21"/>
  <c r="J46" i="21"/>
  <c r="G46" i="21"/>
  <c r="C46" i="21"/>
  <c r="B46" i="21"/>
  <c r="W45" i="21"/>
  <c r="R45" i="21"/>
  <c r="N45" i="21"/>
  <c r="M45" i="21"/>
  <c r="J45" i="21"/>
  <c r="G45" i="21"/>
  <c r="C45" i="21"/>
  <c r="B45" i="21"/>
  <c r="W44" i="21"/>
  <c r="R44" i="21"/>
  <c r="N44" i="21"/>
  <c r="M44" i="21"/>
  <c r="J44" i="21"/>
  <c r="G44" i="21"/>
  <c r="C44" i="21"/>
  <c r="B44" i="21"/>
  <c r="W43" i="21"/>
  <c r="R43" i="21"/>
  <c r="R48" i="21" s="1"/>
  <c r="N43" i="21"/>
  <c r="M43" i="21"/>
  <c r="J43" i="21"/>
  <c r="G43" i="21"/>
  <c r="C43" i="21"/>
  <c r="B43" i="21"/>
  <c r="V39" i="21"/>
  <c r="U39" i="21"/>
  <c r="T39" i="21"/>
  <c r="S39" i="21"/>
  <c r="Q39" i="21"/>
  <c r="P39" i="21"/>
  <c r="O39" i="21"/>
  <c r="L39" i="21"/>
  <c r="K39" i="21"/>
  <c r="I39" i="21"/>
  <c r="H39" i="21"/>
  <c r="F39" i="21"/>
  <c r="E39" i="21"/>
  <c r="W38" i="21"/>
  <c r="R38" i="21"/>
  <c r="N38" i="21"/>
  <c r="M38" i="21"/>
  <c r="J38" i="21"/>
  <c r="G38" i="21"/>
  <c r="C38" i="21"/>
  <c r="B38" i="21"/>
  <c r="W37" i="21"/>
  <c r="R37" i="21"/>
  <c r="N37" i="21"/>
  <c r="M37" i="21"/>
  <c r="J37" i="21"/>
  <c r="G37" i="21"/>
  <c r="C37" i="21"/>
  <c r="B37" i="21"/>
  <c r="W36" i="21"/>
  <c r="R36" i="21"/>
  <c r="N36" i="21"/>
  <c r="M36" i="21"/>
  <c r="J36" i="21"/>
  <c r="G36" i="21"/>
  <c r="C36" i="21"/>
  <c r="B36" i="21"/>
  <c r="W35" i="21"/>
  <c r="R35" i="21"/>
  <c r="N35" i="21"/>
  <c r="M35" i="21"/>
  <c r="J35" i="21"/>
  <c r="G35" i="21"/>
  <c r="C35" i="21"/>
  <c r="B35" i="21"/>
  <c r="W34" i="21"/>
  <c r="R34" i="21"/>
  <c r="N34" i="21"/>
  <c r="M34" i="21"/>
  <c r="J34" i="21"/>
  <c r="G34" i="21"/>
  <c r="C34" i="21"/>
  <c r="B34" i="21"/>
  <c r="V30" i="21"/>
  <c r="U30" i="21"/>
  <c r="T30" i="21"/>
  <c r="S30" i="21"/>
  <c r="Q30" i="21"/>
  <c r="P30" i="21"/>
  <c r="O30" i="21"/>
  <c r="L30" i="21"/>
  <c r="K30" i="21"/>
  <c r="I30" i="21"/>
  <c r="H30" i="21"/>
  <c r="F30" i="21"/>
  <c r="G30" i="21" s="1"/>
  <c r="E30" i="21"/>
  <c r="W29" i="21"/>
  <c r="R29" i="21"/>
  <c r="N29" i="21"/>
  <c r="M29" i="21"/>
  <c r="J29" i="21"/>
  <c r="G29" i="21"/>
  <c r="C29" i="21"/>
  <c r="B29" i="21"/>
  <c r="W28" i="21"/>
  <c r="R28" i="21"/>
  <c r="N28" i="21"/>
  <c r="M28" i="21"/>
  <c r="J28" i="21"/>
  <c r="G28" i="21"/>
  <c r="C28" i="21"/>
  <c r="B28" i="21"/>
  <c r="W27" i="21"/>
  <c r="R27" i="21"/>
  <c r="N27" i="21"/>
  <c r="M27" i="21"/>
  <c r="J27" i="21"/>
  <c r="G27" i="21"/>
  <c r="C27" i="21"/>
  <c r="B27" i="21"/>
  <c r="W26" i="21"/>
  <c r="R26" i="21"/>
  <c r="N26" i="21"/>
  <c r="M26" i="21"/>
  <c r="J26" i="21"/>
  <c r="G26" i="21"/>
  <c r="C26" i="21"/>
  <c r="B26" i="21"/>
  <c r="W25" i="21"/>
  <c r="R25" i="21"/>
  <c r="N25" i="21"/>
  <c r="M25" i="21"/>
  <c r="J25" i="21"/>
  <c r="G25" i="21"/>
  <c r="C25" i="21"/>
  <c r="B25" i="21"/>
  <c r="V19" i="21"/>
  <c r="V65" i="18" s="1"/>
  <c r="U19" i="21"/>
  <c r="U65" i="18" s="1"/>
  <c r="T19" i="21"/>
  <c r="T65" i="18" s="1"/>
  <c r="S19" i="21"/>
  <c r="Q19" i="21"/>
  <c r="Q65" i="18" s="1"/>
  <c r="P19" i="21"/>
  <c r="P65" i="18" s="1"/>
  <c r="O19" i="21"/>
  <c r="O65" i="18" s="1"/>
  <c r="L19" i="21"/>
  <c r="L65" i="18" s="1"/>
  <c r="K19" i="21"/>
  <c r="K65" i="18" s="1"/>
  <c r="I19" i="21"/>
  <c r="I65" i="18" s="1"/>
  <c r="H19" i="21"/>
  <c r="F19" i="21"/>
  <c r="E19" i="21"/>
  <c r="V18" i="21"/>
  <c r="V64" i="18" s="1"/>
  <c r="U18" i="21"/>
  <c r="U64" i="18" s="1"/>
  <c r="T18" i="21"/>
  <c r="T64" i="18" s="1"/>
  <c r="S18" i="21"/>
  <c r="Q18" i="21"/>
  <c r="Q64" i="18" s="1"/>
  <c r="P18" i="21"/>
  <c r="P64" i="18" s="1"/>
  <c r="O18" i="21"/>
  <c r="O64" i="18" s="1"/>
  <c r="L18" i="21"/>
  <c r="L64" i="18" s="1"/>
  <c r="K18" i="21"/>
  <c r="I18" i="21"/>
  <c r="I64" i="18" s="1"/>
  <c r="H18" i="21"/>
  <c r="H64" i="18" s="1"/>
  <c r="F18" i="21"/>
  <c r="F64" i="18" s="1"/>
  <c r="E18" i="21"/>
  <c r="V17" i="21"/>
  <c r="V63" i="18" s="1"/>
  <c r="U17" i="21"/>
  <c r="U63" i="18" s="1"/>
  <c r="T17" i="21"/>
  <c r="T63" i="18" s="1"/>
  <c r="S17" i="21"/>
  <c r="S63" i="18" s="1"/>
  <c r="Q17" i="21"/>
  <c r="Q63" i="18" s="1"/>
  <c r="P17" i="21"/>
  <c r="O17" i="21"/>
  <c r="O63" i="18" s="1"/>
  <c r="L17" i="21"/>
  <c r="L63" i="18" s="1"/>
  <c r="K17" i="21"/>
  <c r="I17" i="21"/>
  <c r="I63" i="18" s="1"/>
  <c r="H17" i="21"/>
  <c r="F17" i="21"/>
  <c r="E17" i="21"/>
  <c r="E63" i="18" s="1"/>
  <c r="V16" i="21"/>
  <c r="V62" i="18" s="1"/>
  <c r="U16" i="21"/>
  <c r="U62" i="18" s="1"/>
  <c r="T16" i="21"/>
  <c r="T62" i="18" s="1"/>
  <c r="S16" i="21"/>
  <c r="S62" i="18" s="1"/>
  <c r="Q16" i="21"/>
  <c r="Q62" i="18" s="1"/>
  <c r="P16" i="21"/>
  <c r="P62" i="18" s="1"/>
  <c r="O16" i="21"/>
  <c r="L16" i="21"/>
  <c r="L62" i="18" s="1"/>
  <c r="K16" i="21"/>
  <c r="K62" i="18" s="1"/>
  <c r="I16" i="21"/>
  <c r="I62" i="18" s="1"/>
  <c r="H16" i="21"/>
  <c r="F16" i="21"/>
  <c r="E16" i="21"/>
  <c r="V15" i="21"/>
  <c r="U15" i="21"/>
  <c r="T15" i="21"/>
  <c r="T61" i="18" s="1"/>
  <c r="S15" i="21"/>
  <c r="Q15" i="21"/>
  <c r="P15" i="21"/>
  <c r="O15" i="21"/>
  <c r="O61" i="18" s="1"/>
  <c r="L15" i="21"/>
  <c r="L61" i="18" s="1"/>
  <c r="K15" i="21"/>
  <c r="I15" i="21"/>
  <c r="H15" i="21"/>
  <c r="F15" i="21"/>
  <c r="F61" i="18" s="1"/>
  <c r="E15" i="21"/>
  <c r="V10" i="21"/>
  <c r="V56" i="18" s="1"/>
  <c r="U10" i="21"/>
  <c r="U56" i="18" s="1"/>
  <c r="T10" i="21"/>
  <c r="T56" i="18" s="1"/>
  <c r="S10" i="21"/>
  <c r="Q10" i="21"/>
  <c r="Q56" i="18" s="1"/>
  <c r="P10" i="21"/>
  <c r="P56" i="18" s="1"/>
  <c r="O10" i="21"/>
  <c r="O56" i="18" s="1"/>
  <c r="L10" i="21"/>
  <c r="L56" i="18" s="1"/>
  <c r="K10" i="21"/>
  <c r="I10" i="21"/>
  <c r="I56" i="18" s="1"/>
  <c r="H10" i="21"/>
  <c r="F10" i="21"/>
  <c r="E10" i="21"/>
  <c r="V9" i="21"/>
  <c r="V55" i="18" s="1"/>
  <c r="U9" i="21"/>
  <c r="U55" i="18" s="1"/>
  <c r="T9" i="21"/>
  <c r="T55" i="18" s="1"/>
  <c r="S9" i="21"/>
  <c r="S55" i="18" s="1"/>
  <c r="Q9" i="21"/>
  <c r="Q55" i="18" s="1"/>
  <c r="P9" i="21"/>
  <c r="P55" i="18" s="1"/>
  <c r="O9" i="21"/>
  <c r="O55" i="18" s="1"/>
  <c r="L9" i="21"/>
  <c r="L55" i="18" s="1"/>
  <c r="K9" i="21"/>
  <c r="I9" i="21"/>
  <c r="I55" i="18" s="1"/>
  <c r="H9" i="21"/>
  <c r="F9" i="21"/>
  <c r="E9" i="21"/>
  <c r="V8" i="21"/>
  <c r="V54" i="18" s="1"/>
  <c r="U8" i="21"/>
  <c r="U54" i="18" s="1"/>
  <c r="T8" i="21"/>
  <c r="T54" i="18" s="1"/>
  <c r="S8" i="21"/>
  <c r="Q8" i="21"/>
  <c r="Q54" i="18" s="1"/>
  <c r="P8" i="21"/>
  <c r="P54" i="18" s="1"/>
  <c r="O8" i="21"/>
  <c r="O54" i="18" s="1"/>
  <c r="L8" i="21"/>
  <c r="L54" i="18" s="1"/>
  <c r="K8" i="21"/>
  <c r="K54" i="18" s="1"/>
  <c r="I8" i="21"/>
  <c r="I54" i="18" s="1"/>
  <c r="H8" i="21"/>
  <c r="F8" i="21"/>
  <c r="E8" i="21"/>
  <c r="V7" i="21"/>
  <c r="V53" i="18" s="1"/>
  <c r="U7" i="21"/>
  <c r="U53" i="18" s="1"/>
  <c r="T7" i="21"/>
  <c r="S7" i="21"/>
  <c r="Q7" i="21"/>
  <c r="Q53" i="18" s="1"/>
  <c r="P7" i="21"/>
  <c r="P53" i="18" s="1"/>
  <c r="O7" i="21"/>
  <c r="O53" i="18" s="1"/>
  <c r="L7" i="21"/>
  <c r="K7" i="21"/>
  <c r="I7" i="21"/>
  <c r="I53" i="18" s="1"/>
  <c r="H7" i="21"/>
  <c r="H53" i="18" s="1"/>
  <c r="F7" i="21"/>
  <c r="F53" i="18" s="1"/>
  <c r="E7" i="21"/>
  <c r="V6" i="21"/>
  <c r="U6" i="21"/>
  <c r="T6" i="21"/>
  <c r="T52" i="18" s="1"/>
  <c r="S6" i="21"/>
  <c r="Q6" i="21"/>
  <c r="P6" i="21"/>
  <c r="P52" i="18" s="1"/>
  <c r="O6" i="21"/>
  <c r="L6" i="21"/>
  <c r="L52" i="18" s="1"/>
  <c r="K6" i="21"/>
  <c r="K52" i="18" s="1"/>
  <c r="I6" i="21"/>
  <c r="I52" i="18" s="1"/>
  <c r="H6" i="21"/>
  <c r="H52" i="18" s="1"/>
  <c r="F6" i="21"/>
  <c r="F52" i="18" s="1"/>
  <c r="E6" i="21"/>
  <c r="D54" i="24" l="1"/>
  <c r="D55" i="24"/>
  <c r="D53" i="24"/>
  <c r="W57" i="24"/>
  <c r="R57" i="24"/>
  <c r="D56" i="24"/>
  <c r="G57" i="24"/>
  <c r="D52" i="24"/>
  <c r="R48" i="24"/>
  <c r="L22" i="18"/>
  <c r="L23" i="18"/>
  <c r="J48" i="24"/>
  <c r="D47" i="24"/>
  <c r="W39" i="24"/>
  <c r="R39" i="24"/>
  <c r="D35" i="24"/>
  <c r="D37" i="24"/>
  <c r="G39" i="24"/>
  <c r="D36" i="24"/>
  <c r="M39" i="24"/>
  <c r="D38" i="24"/>
  <c r="W19" i="24"/>
  <c r="W18" i="24"/>
  <c r="W30" i="24"/>
  <c r="V20" i="24"/>
  <c r="S128" i="18"/>
  <c r="S127" i="18"/>
  <c r="R30" i="24"/>
  <c r="M6" i="24"/>
  <c r="M19" i="24"/>
  <c r="K115" i="18"/>
  <c r="K128" i="18"/>
  <c r="N128" i="18" s="1"/>
  <c r="D27" i="24"/>
  <c r="J16" i="24"/>
  <c r="N15" i="24"/>
  <c r="N18" i="24"/>
  <c r="J19" i="24"/>
  <c r="N30" i="24"/>
  <c r="H125" i="18"/>
  <c r="D26" i="24"/>
  <c r="D29" i="24"/>
  <c r="D25" i="24"/>
  <c r="G30" i="24"/>
  <c r="W57" i="23"/>
  <c r="W16" i="23"/>
  <c r="M57" i="23"/>
  <c r="D52" i="23"/>
  <c r="N57" i="23"/>
  <c r="D54" i="23"/>
  <c r="D53" i="23"/>
  <c r="D55" i="23"/>
  <c r="G57" i="23"/>
  <c r="B57" i="23"/>
  <c r="D57" i="23" s="1"/>
  <c r="M48" i="23"/>
  <c r="D44" i="23"/>
  <c r="J48" i="23"/>
  <c r="C48" i="23"/>
  <c r="D45" i="23"/>
  <c r="D43" i="23"/>
  <c r="D47" i="23"/>
  <c r="G48" i="23"/>
  <c r="N48" i="23"/>
  <c r="B48" i="23"/>
  <c r="W9" i="23"/>
  <c r="W39" i="23"/>
  <c r="R39" i="23"/>
  <c r="D36" i="23"/>
  <c r="D35" i="23"/>
  <c r="D37" i="23"/>
  <c r="J39" i="23"/>
  <c r="G15" i="23"/>
  <c r="W18" i="23"/>
  <c r="W17" i="23"/>
  <c r="W15" i="23"/>
  <c r="W30" i="23"/>
  <c r="W7" i="23"/>
  <c r="W8" i="23"/>
  <c r="V11" i="23"/>
  <c r="V103" i="18"/>
  <c r="W10" i="23"/>
  <c r="V20" i="23"/>
  <c r="U11" i="23"/>
  <c r="U103" i="18"/>
  <c r="U20" i="23"/>
  <c r="T11" i="23"/>
  <c r="T20" i="23"/>
  <c r="T103" i="18"/>
  <c r="S11" i="23"/>
  <c r="S95" i="18"/>
  <c r="S104" i="18"/>
  <c r="S96" i="18"/>
  <c r="S105" i="18"/>
  <c r="S97" i="18"/>
  <c r="S106" i="18"/>
  <c r="S107" i="18"/>
  <c r="S94" i="18"/>
  <c r="S103" i="18"/>
  <c r="R8" i="23"/>
  <c r="Q20" i="23"/>
  <c r="Q94" i="18"/>
  <c r="R17" i="23"/>
  <c r="R30" i="23"/>
  <c r="P105" i="18"/>
  <c r="R7" i="23"/>
  <c r="R10" i="23"/>
  <c r="R9" i="23"/>
  <c r="R16" i="23"/>
  <c r="P20" i="23"/>
  <c r="R18" i="23"/>
  <c r="R6" i="23"/>
  <c r="P11" i="23"/>
  <c r="R15" i="23"/>
  <c r="P94" i="18"/>
  <c r="P104" i="18"/>
  <c r="O20" i="23"/>
  <c r="O94" i="18"/>
  <c r="O11" i="23"/>
  <c r="M7" i="23"/>
  <c r="L19" i="18"/>
  <c r="M10" i="23"/>
  <c r="M17" i="23"/>
  <c r="L18" i="18"/>
  <c r="L11" i="23"/>
  <c r="M30" i="23"/>
  <c r="L103" i="18"/>
  <c r="M6" i="23"/>
  <c r="M9" i="23"/>
  <c r="M16" i="23"/>
  <c r="L21" i="18"/>
  <c r="L20" i="18"/>
  <c r="M8" i="23"/>
  <c r="M15" i="23"/>
  <c r="M18" i="23"/>
  <c r="L20" i="23"/>
  <c r="K11" i="23"/>
  <c r="K105" i="18"/>
  <c r="K106" i="18"/>
  <c r="K94" i="18"/>
  <c r="K18" i="18" s="1"/>
  <c r="K107" i="18"/>
  <c r="K95" i="18"/>
  <c r="K19" i="18" s="1"/>
  <c r="K96" i="18"/>
  <c r="K20" i="18" s="1"/>
  <c r="K97" i="18"/>
  <c r="K103" i="18"/>
  <c r="K104" i="18"/>
  <c r="C17" i="23"/>
  <c r="J6" i="23"/>
  <c r="C10" i="23"/>
  <c r="J30" i="23"/>
  <c r="C18" i="23"/>
  <c r="J18" i="23"/>
  <c r="I20" i="23"/>
  <c r="J10" i="23"/>
  <c r="I11" i="23"/>
  <c r="C9" i="23"/>
  <c r="J9" i="23"/>
  <c r="H20" i="23"/>
  <c r="B9" i="23"/>
  <c r="B16" i="23"/>
  <c r="J17" i="23"/>
  <c r="H103" i="18"/>
  <c r="B10" i="23"/>
  <c r="H11" i="23"/>
  <c r="N6" i="23"/>
  <c r="J8" i="23"/>
  <c r="H94" i="18"/>
  <c r="H107" i="18"/>
  <c r="J15" i="23"/>
  <c r="B17" i="23"/>
  <c r="N30" i="23"/>
  <c r="H97" i="18"/>
  <c r="H104" i="18"/>
  <c r="N7" i="23"/>
  <c r="H106" i="18"/>
  <c r="D28" i="23"/>
  <c r="D27" i="23"/>
  <c r="F11" i="23"/>
  <c r="C7" i="23"/>
  <c r="D26" i="23"/>
  <c r="D29" i="23"/>
  <c r="C16" i="23"/>
  <c r="G8" i="23"/>
  <c r="F96" i="18"/>
  <c r="F106" i="18"/>
  <c r="C15" i="23"/>
  <c r="C8" i="23"/>
  <c r="D25" i="23"/>
  <c r="F103" i="18"/>
  <c r="F20" i="23"/>
  <c r="G18" i="23"/>
  <c r="F97" i="18"/>
  <c r="F107" i="18"/>
  <c r="C107" i="18" s="1"/>
  <c r="G30" i="23"/>
  <c r="N17" i="23"/>
  <c r="B8" i="23"/>
  <c r="E96" i="18"/>
  <c r="E95" i="18"/>
  <c r="E103" i="18"/>
  <c r="E107" i="18"/>
  <c r="E106" i="18"/>
  <c r="E11" i="23"/>
  <c r="G7" i="23"/>
  <c r="E105" i="18"/>
  <c r="N10" i="23"/>
  <c r="B15" i="23"/>
  <c r="E94" i="18"/>
  <c r="E104" i="18"/>
  <c r="B30" i="23"/>
  <c r="D30" i="23" s="1"/>
  <c r="E97" i="18"/>
  <c r="W57" i="22"/>
  <c r="M57" i="22"/>
  <c r="D54" i="22"/>
  <c r="D52" i="22"/>
  <c r="D55" i="22"/>
  <c r="N57" i="22"/>
  <c r="G57" i="22"/>
  <c r="W48" i="22"/>
  <c r="M48" i="22"/>
  <c r="D46" i="22"/>
  <c r="D45" i="22"/>
  <c r="D44" i="22"/>
  <c r="D47" i="22"/>
  <c r="C48" i="22"/>
  <c r="B48" i="22"/>
  <c r="N48" i="22"/>
  <c r="W30" i="22"/>
  <c r="W9" i="22"/>
  <c r="R30" i="22"/>
  <c r="L11" i="22"/>
  <c r="M7" i="22"/>
  <c r="D27" i="22"/>
  <c r="D28" i="22"/>
  <c r="C30" i="22"/>
  <c r="D29" i="22"/>
  <c r="G30" i="22"/>
  <c r="D25" i="22"/>
  <c r="W8" i="22"/>
  <c r="W16" i="22"/>
  <c r="U20" i="22"/>
  <c r="U73" i="18"/>
  <c r="W7" i="22"/>
  <c r="W39" i="22"/>
  <c r="S74" i="18"/>
  <c r="S84" i="18"/>
  <c r="S85" i="18"/>
  <c r="R39" i="22"/>
  <c r="R16" i="22"/>
  <c r="R9" i="22"/>
  <c r="M10" i="22"/>
  <c r="M39" i="22"/>
  <c r="M18" i="22"/>
  <c r="L82" i="18"/>
  <c r="K76" i="18"/>
  <c r="K83" i="18"/>
  <c r="K86" i="18"/>
  <c r="J39" i="22"/>
  <c r="J18" i="22"/>
  <c r="I20" i="22"/>
  <c r="C17" i="22"/>
  <c r="C7" i="22"/>
  <c r="D35" i="22"/>
  <c r="J7" i="22"/>
  <c r="C18" i="22"/>
  <c r="I73" i="18"/>
  <c r="J16" i="22"/>
  <c r="B9" i="22"/>
  <c r="B10" i="22"/>
  <c r="H74" i="18"/>
  <c r="B17" i="22"/>
  <c r="H83" i="18"/>
  <c r="B15" i="22"/>
  <c r="H76" i="18"/>
  <c r="D36" i="22"/>
  <c r="C9" i="22"/>
  <c r="D9" i="22" s="1"/>
  <c r="D37" i="22"/>
  <c r="F83" i="18"/>
  <c r="C8" i="22"/>
  <c r="F76" i="18"/>
  <c r="F75" i="18"/>
  <c r="E73" i="18"/>
  <c r="E75" i="18"/>
  <c r="E86" i="18"/>
  <c r="E85" i="18"/>
  <c r="W57" i="21"/>
  <c r="R57" i="21"/>
  <c r="D53" i="21"/>
  <c r="J57" i="21"/>
  <c r="N57" i="21"/>
  <c r="D52" i="21"/>
  <c r="D56" i="21"/>
  <c r="C57" i="21"/>
  <c r="D57" i="21" s="1"/>
  <c r="D54" i="21"/>
  <c r="W48" i="21"/>
  <c r="M48" i="21"/>
  <c r="D46" i="21"/>
  <c r="D45" i="21"/>
  <c r="D47" i="21"/>
  <c r="N48" i="21"/>
  <c r="J48" i="21"/>
  <c r="D43" i="21"/>
  <c r="B48" i="21"/>
  <c r="G48" i="21"/>
  <c r="W39" i="21"/>
  <c r="Q20" i="21"/>
  <c r="R39" i="21"/>
  <c r="M39" i="21"/>
  <c r="D36" i="21"/>
  <c r="C39" i="21"/>
  <c r="N39" i="21"/>
  <c r="B9" i="21"/>
  <c r="J39" i="21"/>
  <c r="D35" i="21"/>
  <c r="D38" i="21"/>
  <c r="D37" i="21"/>
  <c r="B39" i="21"/>
  <c r="G39" i="21"/>
  <c r="V11" i="21"/>
  <c r="W10" i="21"/>
  <c r="W6" i="21"/>
  <c r="W18" i="21"/>
  <c r="W8" i="21"/>
  <c r="W30" i="21"/>
  <c r="V20" i="21"/>
  <c r="V61" i="18"/>
  <c r="W19" i="21"/>
  <c r="V52" i="18"/>
  <c r="W7" i="21"/>
  <c r="U20" i="21"/>
  <c r="U11" i="21"/>
  <c r="U52" i="18"/>
  <c r="U61" i="18"/>
  <c r="T11" i="21"/>
  <c r="T53" i="18"/>
  <c r="T20" i="21"/>
  <c r="W17" i="21"/>
  <c r="S52" i="18"/>
  <c r="S64" i="18"/>
  <c r="S53" i="18"/>
  <c r="S65" i="18"/>
  <c r="W65" i="18" s="1"/>
  <c r="S20" i="21"/>
  <c r="S54" i="18"/>
  <c r="W9" i="21"/>
  <c r="S56" i="18"/>
  <c r="W16" i="21"/>
  <c r="S61" i="18"/>
  <c r="R17" i="21"/>
  <c r="Q61" i="18"/>
  <c r="Q11" i="21"/>
  <c r="Q52" i="18"/>
  <c r="R30" i="21"/>
  <c r="R10" i="21"/>
  <c r="R9" i="21"/>
  <c r="R16" i="21"/>
  <c r="P20" i="21"/>
  <c r="R8" i="21"/>
  <c r="R19" i="21"/>
  <c r="R15" i="21"/>
  <c r="P61" i="18"/>
  <c r="R7" i="21"/>
  <c r="R18" i="21"/>
  <c r="P11" i="21"/>
  <c r="P63" i="18"/>
  <c r="O11" i="21"/>
  <c r="O52" i="18"/>
  <c r="O20" i="21"/>
  <c r="O62" i="18"/>
  <c r="L11" i="21"/>
  <c r="M9" i="21"/>
  <c r="L53" i="18"/>
  <c r="M7" i="21"/>
  <c r="M18" i="21"/>
  <c r="M10" i="21"/>
  <c r="M17" i="21"/>
  <c r="K55" i="18"/>
  <c r="K20" i="21"/>
  <c r="K53" i="18"/>
  <c r="M16" i="21"/>
  <c r="M15" i="21"/>
  <c r="M19" i="21"/>
  <c r="M6" i="21"/>
  <c r="K56" i="18"/>
  <c r="M56" i="18" s="1"/>
  <c r="K61" i="18"/>
  <c r="K63" i="18"/>
  <c r="M8" i="21"/>
  <c r="M30" i="21"/>
  <c r="K64" i="18"/>
  <c r="C10" i="21"/>
  <c r="C19" i="21"/>
  <c r="C17" i="21"/>
  <c r="J9" i="21"/>
  <c r="J17" i="21"/>
  <c r="C8" i="21"/>
  <c r="C16" i="21"/>
  <c r="J8" i="21"/>
  <c r="J16" i="21"/>
  <c r="J15" i="21"/>
  <c r="J19" i="21"/>
  <c r="I20" i="21"/>
  <c r="I11" i="21"/>
  <c r="J10" i="21"/>
  <c r="C9" i="21"/>
  <c r="I61" i="18"/>
  <c r="B16" i="21"/>
  <c r="N30" i="21"/>
  <c r="N15" i="21"/>
  <c r="D26" i="21"/>
  <c r="J30" i="21"/>
  <c r="J7" i="21"/>
  <c r="H20" i="21"/>
  <c r="N7" i="21"/>
  <c r="H61" i="18"/>
  <c r="N8" i="21"/>
  <c r="H62" i="18"/>
  <c r="H63" i="18"/>
  <c r="J18" i="21"/>
  <c r="H54" i="18"/>
  <c r="H55" i="18"/>
  <c r="H65" i="18"/>
  <c r="H11" i="21"/>
  <c r="H56" i="18"/>
  <c r="G18" i="21"/>
  <c r="C30" i="21"/>
  <c r="C7" i="21"/>
  <c r="D27" i="21"/>
  <c r="F65" i="18"/>
  <c r="G65" i="18" s="1"/>
  <c r="F62" i="18"/>
  <c r="C18" i="21"/>
  <c r="G19" i="21"/>
  <c r="F56" i="18"/>
  <c r="C56" i="18" s="1"/>
  <c r="F55" i="18"/>
  <c r="F20" i="21"/>
  <c r="D25" i="21"/>
  <c r="D29" i="21"/>
  <c r="F54" i="18"/>
  <c r="F11" i="21"/>
  <c r="G10" i="21"/>
  <c r="F63" i="18"/>
  <c r="D28" i="21"/>
  <c r="E11" i="21"/>
  <c r="B7" i="21"/>
  <c r="N9" i="21"/>
  <c r="G6" i="21"/>
  <c r="G7" i="21"/>
  <c r="B18" i="21"/>
  <c r="E56" i="18"/>
  <c r="E61" i="18"/>
  <c r="E55" i="18"/>
  <c r="E65" i="18"/>
  <c r="E54" i="18"/>
  <c r="E64" i="18"/>
  <c r="N16" i="21"/>
  <c r="G17" i="21"/>
  <c r="E53" i="18"/>
  <c r="E62" i="18"/>
  <c r="N19" i="21"/>
  <c r="E52" i="18"/>
  <c r="N57" i="24"/>
  <c r="B57" i="24"/>
  <c r="E124" i="18"/>
  <c r="E127" i="18"/>
  <c r="B39" i="24"/>
  <c r="D39" i="24" s="1"/>
  <c r="N39" i="24"/>
  <c r="B9" i="24"/>
  <c r="O20" i="24"/>
  <c r="S11" i="24"/>
  <c r="Q20" i="24"/>
  <c r="G18" i="24"/>
  <c r="J6" i="24"/>
  <c r="W8" i="24"/>
  <c r="G7" i="24"/>
  <c r="J17" i="24"/>
  <c r="C19" i="24"/>
  <c r="F20" i="24"/>
  <c r="G19" i="24"/>
  <c r="R19" i="24"/>
  <c r="M7" i="24"/>
  <c r="R8" i="24"/>
  <c r="B15" i="24"/>
  <c r="B48" i="24"/>
  <c r="J8" i="24"/>
  <c r="B10" i="24"/>
  <c r="N17" i="24"/>
  <c r="D46" i="24"/>
  <c r="C48" i="24"/>
  <c r="C10" i="24"/>
  <c r="M18" i="24"/>
  <c r="G48" i="24"/>
  <c r="O11" i="24"/>
  <c r="C7" i="24"/>
  <c r="W48" i="24"/>
  <c r="B16" i="24"/>
  <c r="N6" i="24"/>
  <c r="R6" i="24"/>
  <c r="C16" i="24"/>
  <c r="P20" i="24"/>
  <c r="L11" i="24"/>
  <c r="V11" i="24"/>
  <c r="W11" i="24" s="1"/>
  <c r="B8" i="24"/>
  <c r="M8" i="24"/>
  <c r="R10" i="24"/>
  <c r="G15" i="24"/>
  <c r="R16" i="24"/>
  <c r="M30" i="24"/>
  <c r="N8" i="24"/>
  <c r="J10" i="24"/>
  <c r="W10" i="24"/>
  <c r="H20" i="24"/>
  <c r="R15" i="24"/>
  <c r="G16" i="24"/>
  <c r="W16" i="24"/>
  <c r="M17" i="24"/>
  <c r="B19" i="24"/>
  <c r="D19" i="24" s="1"/>
  <c r="B30" i="24"/>
  <c r="D30" i="24" s="1"/>
  <c r="C8" i="24"/>
  <c r="D8" i="24" s="1"/>
  <c r="I20" i="24"/>
  <c r="S20" i="24"/>
  <c r="T20" i="24"/>
  <c r="W17" i="24"/>
  <c r="B6" i="24"/>
  <c r="G8" i="24"/>
  <c r="W9" i="24"/>
  <c r="M10" i="24"/>
  <c r="J15" i="24"/>
  <c r="C18" i="24"/>
  <c r="H11" i="24"/>
  <c r="W7" i="24"/>
  <c r="J9" i="24"/>
  <c r="K20" i="24"/>
  <c r="U20" i="24"/>
  <c r="M16" i="24"/>
  <c r="R18" i="24"/>
  <c r="N10" i="24"/>
  <c r="L20" i="24"/>
  <c r="B17" i="24"/>
  <c r="I11" i="24"/>
  <c r="T11" i="24"/>
  <c r="U11" i="24"/>
  <c r="C17" i="24"/>
  <c r="R17" i="24"/>
  <c r="J18" i="24"/>
  <c r="J30" i="24"/>
  <c r="P11" i="24"/>
  <c r="R9" i="24"/>
  <c r="F11" i="24"/>
  <c r="G9" i="24"/>
  <c r="C9" i="24"/>
  <c r="N9" i="24"/>
  <c r="G6" i="24"/>
  <c r="W6" i="24"/>
  <c r="M9" i="24"/>
  <c r="G10" i="24"/>
  <c r="Q11" i="24"/>
  <c r="C15" i="24"/>
  <c r="G17" i="24"/>
  <c r="E20" i="24"/>
  <c r="D34" i="24"/>
  <c r="B7" i="24"/>
  <c r="J7" i="24"/>
  <c r="R7" i="24"/>
  <c r="N16" i="24"/>
  <c r="B18" i="24"/>
  <c r="J57" i="24"/>
  <c r="K11" i="24"/>
  <c r="M15" i="24"/>
  <c r="N48" i="24"/>
  <c r="C57" i="24"/>
  <c r="N19" i="24"/>
  <c r="D43" i="24"/>
  <c r="E11" i="24"/>
  <c r="W15" i="24"/>
  <c r="C6" i="24"/>
  <c r="N7" i="24"/>
  <c r="D39" i="23"/>
  <c r="D48" i="23"/>
  <c r="G6" i="23"/>
  <c r="W6" i="23"/>
  <c r="G10" i="23"/>
  <c r="Q11" i="23"/>
  <c r="G17" i="23"/>
  <c r="K20" i="23"/>
  <c r="S20" i="23"/>
  <c r="N39" i="23"/>
  <c r="B7" i="23"/>
  <c r="J7" i="23"/>
  <c r="N9" i="23"/>
  <c r="N16" i="23"/>
  <c r="B18" i="23"/>
  <c r="G9" i="23"/>
  <c r="G16" i="23"/>
  <c r="E20" i="23"/>
  <c r="D34" i="23"/>
  <c r="B6" i="23"/>
  <c r="N8" i="23"/>
  <c r="N15" i="23"/>
  <c r="C6" i="23"/>
  <c r="J16" i="23"/>
  <c r="N18" i="23"/>
  <c r="O11" i="22"/>
  <c r="K20" i="22"/>
  <c r="V20" i="22"/>
  <c r="R57" i="22"/>
  <c r="E11" i="22"/>
  <c r="G16" i="22"/>
  <c r="M17" i="22"/>
  <c r="J57" i="22"/>
  <c r="F11" i="22"/>
  <c r="S11" i="22"/>
  <c r="N18" i="22"/>
  <c r="G8" i="22"/>
  <c r="R8" i="22"/>
  <c r="Q20" i="22"/>
  <c r="W18" i="22"/>
  <c r="F20" i="22"/>
  <c r="S20" i="22"/>
  <c r="B57" i="22"/>
  <c r="I11" i="22"/>
  <c r="P11" i="22"/>
  <c r="J8" i="22"/>
  <c r="H20" i="22"/>
  <c r="B39" i="22"/>
  <c r="D39" i="22" s="1"/>
  <c r="K11" i="22"/>
  <c r="T11" i="22"/>
  <c r="M9" i="22"/>
  <c r="N10" i="22"/>
  <c r="O20" i="22"/>
  <c r="C16" i="22"/>
  <c r="R18" i="22"/>
  <c r="N39" i="22"/>
  <c r="U11" i="22"/>
  <c r="M8" i="22"/>
  <c r="G15" i="22"/>
  <c r="P20" i="22"/>
  <c r="B16" i="22"/>
  <c r="J17" i="22"/>
  <c r="R17" i="22"/>
  <c r="G18" i="22"/>
  <c r="M6" i="22"/>
  <c r="V11" i="22"/>
  <c r="C10" i="22"/>
  <c r="L20" i="22"/>
  <c r="N6" i="22"/>
  <c r="B8" i="22"/>
  <c r="J10" i="22"/>
  <c r="R10" i="22"/>
  <c r="R15" i="22"/>
  <c r="W10" i="22"/>
  <c r="T20" i="22"/>
  <c r="N7" i="22"/>
  <c r="R7" i="22"/>
  <c r="G9" i="22"/>
  <c r="J15" i="22"/>
  <c r="W17" i="22"/>
  <c r="J6" i="22"/>
  <c r="R6" i="22"/>
  <c r="G7" i="22"/>
  <c r="J9" i="22"/>
  <c r="M16" i="22"/>
  <c r="N17" i="22"/>
  <c r="D57" i="22"/>
  <c r="G6" i="22"/>
  <c r="W6" i="22"/>
  <c r="G10" i="22"/>
  <c r="Q11" i="22"/>
  <c r="C15" i="22"/>
  <c r="G17" i="22"/>
  <c r="E20" i="22"/>
  <c r="B30" i="22"/>
  <c r="D30" i="22" s="1"/>
  <c r="D34" i="22"/>
  <c r="H11" i="22"/>
  <c r="B7" i="22"/>
  <c r="N9" i="22"/>
  <c r="N16" i="22"/>
  <c r="B18" i="22"/>
  <c r="M15" i="22"/>
  <c r="B6" i="22"/>
  <c r="N8" i="22"/>
  <c r="N15" i="22"/>
  <c r="C6" i="22"/>
  <c r="W15" i="22"/>
  <c r="N30" i="22"/>
  <c r="G9" i="21"/>
  <c r="K11" i="21"/>
  <c r="B6" i="21"/>
  <c r="J6" i="21"/>
  <c r="R6" i="21"/>
  <c r="N6" i="21"/>
  <c r="B8" i="21"/>
  <c r="N10" i="21"/>
  <c r="B15" i="21"/>
  <c r="N17" i="21"/>
  <c r="B19" i="21"/>
  <c r="L20" i="21"/>
  <c r="C48" i="21"/>
  <c r="C15" i="21"/>
  <c r="E20" i="21"/>
  <c r="B30" i="21"/>
  <c r="D34" i="21"/>
  <c r="G16" i="21"/>
  <c r="B10" i="21"/>
  <c r="C6" i="21"/>
  <c r="G8" i="21"/>
  <c r="G15" i="21"/>
  <c r="W15" i="21"/>
  <c r="D44" i="21"/>
  <c r="B17" i="21"/>
  <c r="N18" i="21"/>
  <c r="S11" i="21"/>
  <c r="V19" i="20"/>
  <c r="V44" i="18" s="1"/>
  <c r="V22" i="18" s="1"/>
  <c r="V18" i="20"/>
  <c r="V43" i="18" s="1"/>
  <c r="V21" i="18" s="1"/>
  <c r="V17" i="20"/>
  <c r="V42" i="18" s="1"/>
  <c r="V20" i="18" s="1"/>
  <c r="V16" i="20"/>
  <c r="V41" i="18" s="1"/>
  <c r="V19" i="18" s="1"/>
  <c r="V15" i="20"/>
  <c r="V40" i="18" s="1"/>
  <c r="V18" i="18" s="1"/>
  <c r="U19" i="20"/>
  <c r="U44" i="18" s="1"/>
  <c r="U22" i="18" s="1"/>
  <c r="U18" i="20"/>
  <c r="U43" i="18" s="1"/>
  <c r="U21" i="18" s="1"/>
  <c r="U17" i="20"/>
  <c r="U42" i="18" s="1"/>
  <c r="U20" i="18" s="1"/>
  <c r="U16" i="20"/>
  <c r="U41" i="18" s="1"/>
  <c r="U19" i="18" s="1"/>
  <c r="U15" i="20"/>
  <c r="U40" i="18" s="1"/>
  <c r="T19" i="20"/>
  <c r="T44" i="18" s="1"/>
  <c r="T22" i="18" s="1"/>
  <c r="T18" i="20"/>
  <c r="T43" i="18" s="1"/>
  <c r="T21" i="18" s="1"/>
  <c r="T17" i="20"/>
  <c r="T42" i="18" s="1"/>
  <c r="T20" i="18" s="1"/>
  <c r="T16" i="20"/>
  <c r="T41" i="18" s="1"/>
  <c r="T19" i="18" s="1"/>
  <c r="T15" i="20"/>
  <c r="T40" i="18" s="1"/>
  <c r="T18" i="18" s="1"/>
  <c r="S19" i="20"/>
  <c r="S44" i="18" s="1"/>
  <c r="S18" i="20"/>
  <c r="S43" i="18" s="1"/>
  <c r="S17" i="20"/>
  <c r="S42" i="18" s="1"/>
  <c r="S20" i="18" s="1"/>
  <c r="S16" i="20"/>
  <c r="S41" i="18" s="1"/>
  <c r="S15" i="20"/>
  <c r="S40" i="18" s="1"/>
  <c r="Q19" i="20"/>
  <c r="Q44" i="18" s="1"/>
  <c r="Q22" i="18" s="1"/>
  <c r="Q18" i="20"/>
  <c r="Q43" i="18" s="1"/>
  <c r="Q21" i="18" s="1"/>
  <c r="Q17" i="20"/>
  <c r="Q42" i="18" s="1"/>
  <c r="Q20" i="18" s="1"/>
  <c r="Q16" i="20"/>
  <c r="Q41" i="18" s="1"/>
  <c r="Q19" i="18" s="1"/>
  <c r="Q15" i="20"/>
  <c r="Q40" i="18" s="1"/>
  <c r="P19" i="20"/>
  <c r="P44" i="18" s="1"/>
  <c r="P18" i="20"/>
  <c r="P43" i="18" s="1"/>
  <c r="P21" i="18" s="1"/>
  <c r="P17" i="20"/>
  <c r="P42" i="18" s="1"/>
  <c r="P16" i="20"/>
  <c r="P41" i="18" s="1"/>
  <c r="P19" i="18" s="1"/>
  <c r="P15" i="20"/>
  <c r="P40" i="18" s="1"/>
  <c r="O19" i="20"/>
  <c r="O44" i="18" s="1"/>
  <c r="O22" i="18" s="1"/>
  <c r="O18" i="20"/>
  <c r="O43" i="18" s="1"/>
  <c r="O21" i="18" s="1"/>
  <c r="O17" i="20"/>
  <c r="O42" i="18" s="1"/>
  <c r="O20" i="18" s="1"/>
  <c r="O16" i="20"/>
  <c r="O41" i="18" s="1"/>
  <c r="O15" i="20"/>
  <c r="O40" i="18" s="1"/>
  <c r="L19" i="20"/>
  <c r="L44" i="18" s="1"/>
  <c r="L18" i="20"/>
  <c r="L43" i="18" s="1"/>
  <c r="L17" i="20"/>
  <c r="L42" i="18" s="1"/>
  <c r="L16" i="20"/>
  <c r="L41" i="18" s="1"/>
  <c r="L15" i="20"/>
  <c r="L40" i="18" s="1"/>
  <c r="K19" i="20"/>
  <c r="K44" i="18" s="1"/>
  <c r="K18" i="20"/>
  <c r="K43" i="18" s="1"/>
  <c r="K17" i="20"/>
  <c r="K42" i="18" s="1"/>
  <c r="K16" i="20"/>
  <c r="K15" i="20"/>
  <c r="K40" i="18" s="1"/>
  <c r="I19" i="20"/>
  <c r="I44" i="18" s="1"/>
  <c r="I22" i="18" s="1"/>
  <c r="I18" i="20"/>
  <c r="I43" i="18" s="1"/>
  <c r="I21" i="18" s="1"/>
  <c r="I17" i="20"/>
  <c r="I42" i="18" s="1"/>
  <c r="I20" i="18" s="1"/>
  <c r="I16" i="20"/>
  <c r="I41" i="18" s="1"/>
  <c r="I19" i="18" s="1"/>
  <c r="I15" i="20"/>
  <c r="I40" i="18" s="1"/>
  <c r="H19" i="20"/>
  <c r="H44" i="18" s="1"/>
  <c r="H18" i="20"/>
  <c r="H43" i="18" s="1"/>
  <c r="H17" i="20"/>
  <c r="H16" i="20"/>
  <c r="H15" i="20"/>
  <c r="H40" i="18" s="1"/>
  <c r="F15" i="20"/>
  <c r="F40" i="18" s="1"/>
  <c r="F18" i="18" s="1"/>
  <c r="F16" i="20"/>
  <c r="F41" i="18" s="1"/>
  <c r="F17" i="20"/>
  <c r="F42" i="18" s="1"/>
  <c r="F18" i="20"/>
  <c r="F43" i="18" s="1"/>
  <c r="F19" i="20"/>
  <c r="F44" i="18" s="1"/>
  <c r="E19" i="20"/>
  <c r="E44" i="18" s="1"/>
  <c r="E18" i="20"/>
  <c r="E43" i="18" s="1"/>
  <c r="E17" i="20"/>
  <c r="E42" i="18" s="1"/>
  <c r="E16" i="20"/>
  <c r="E41" i="18" s="1"/>
  <c r="E15" i="20"/>
  <c r="E40" i="18" s="1"/>
  <c r="V10" i="20"/>
  <c r="V35" i="18" s="1"/>
  <c r="V12" i="18" s="1"/>
  <c r="V9" i="20"/>
  <c r="V34" i="18" s="1"/>
  <c r="V11" i="18" s="1"/>
  <c r="V8" i="20"/>
  <c r="V33" i="18" s="1"/>
  <c r="V10" i="18" s="1"/>
  <c r="V7" i="20"/>
  <c r="V32" i="18" s="1"/>
  <c r="V9" i="18" s="1"/>
  <c r="V6" i="20"/>
  <c r="V31" i="18" s="1"/>
  <c r="U10" i="20"/>
  <c r="U35" i="18" s="1"/>
  <c r="U12" i="18" s="1"/>
  <c r="U9" i="20"/>
  <c r="U34" i="18" s="1"/>
  <c r="U11" i="18" s="1"/>
  <c r="U8" i="20"/>
  <c r="U33" i="18" s="1"/>
  <c r="U10" i="18" s="1"/>
  <c r="U7" i="20"/>
  <c r="U32" i="18" s="1"/>
  <c r="U9" i="18" s="1"/>
  <c r="U6" i="20"/>
  <c r="U31" i="18" s="1"/>
  <c r="T10" i="20"/>
  <c r="T35" i="18" s="1"/>
  <c r="T12" i="18" s="1"/>
  <c r="T9" i="20"/>
  <c r="T34" i="18" s="1"/>
  <c r="T11" i="18" s="1"/>
  <c r="T8" i="20"/>
  <c r="T33" i="18" s="1"/>
  <c r="T10" i="18" s="1"/>
  <c r="T7" i="20"/>
  <c r="T32" i="18" s="1"/>
  <c r="T6" i="20"/>
  <c r="T31" i="18" s="1"/>
  <c r="S10" i="20"/>
  <c r="S35" i="18" s="1"/>
  <c r="S9" i="20"/>
  <c r="S34" i="18" s="1"/>
  <c r="S8" i="20"/>
  <c r="S33" i="18" s="1"/>
  <c r="S7" i="20"/>
  <c r="S6" i="20"/>
  <c r="S31" i="18" s="1"/>
  <c r="Q10" i="20"/>
  <c r="Q35" i="18" s="1"/>
  <c r="Q12" i="18" s="1"/>
  <c r="Q9" i="20"/>
  <c r="Q34" i="18" s="1"/>
  <c r="Q11" i="18" s="1"/>
  <c r="Q8" i="20"/>
  <c r="Q33" i="18" s="1"/>
  <c r="Q10" i="18" s="1"/>
  <c r="Q7" i="20"/>
  <c r="Q6" i="20"/>
  <c r="Q31" i="18" s="1"/>
  <c r="P10" i="20"/>
  <c r="P35" i="18" s="1"/>
  <c r="P9" i="20"/>
  <c r="P34" i="18" s="1"/>
  <c r="P11" i="18" s="1"/>
  <c r="P8" i="20"/>
  <c r="P33" i="18" s="1"/>
  <c r="P10" i="18" s="1"/>
  <c r="P7" i="20"/>
  <c r="P32" i="18" s="1"/>
  <c r="P6" i="20"/>
  <c r="O10" i="20"/>
  <c r="O35" i="18" s="1"/>
  <c r="O12" i="18" s="1"/>
  <c r="O9" i="20"/>
  <c r="O34" i="18" s="1"/>
  <c r="O11" i="18" s="1"/>
  <c r="O8" i="20"/>
  <c r="O33" i="18" s="1"/>
  <c r="O10" i="18" s="1"/>
  <c r="O7" i="20"/>
  <c r="O32" i="18" s="1"/>
  <c r="O9" i="18" s="1"/>
  <c r="O6" i="20"/>
  <c r="O31" i="18" s="1"/>
  <c r="L10" i="20"/>
  <c r="L35" i="18" s="1"/>
  <c r="L12" i="18" s="1"/>
  <c r="L9" i="20"/>
  <c r="L34" i="18" s="1"/>
  <c r="L11" i="18" s="1"/>
  <c r="L8" i="20"/>
  <c r="L33" i="18" s="1"/>
  <c r="L10" i="18" s="1"/>
  <c r="L7" i="20"/>
  <c r="L32" i="18" s="1"/>
  <c r="L6" i="20"/>
  <c r="L31" i="18" s="1"/>
  <c r="K10" i="20"/>
  <c r="K9" i="20"/>
  <c r="K34" i="18" s="1"/>
  <c r="K8" i="20"/>
  <c r="K33" i="18" s="1"/>
  <c r="K7" i="20"/>
  <c r="K6" i="20"/>
  <c r="M6" i="20" s="1"/>
  <c r="I10" i="20"/>
  <c r="I35" i="18" s="1"/>
  <c r="I12" i="18" s="1"/>
  <c r="I9" i="20"/>
  <c r="I34" i="18" s="1"/>
  <c r="I11" i="18" s="1"/>
  <c r="I8" i="20"/>
  <c r="I33" i="18" s="1"/>
  <c r="I10" i="18" s="1"/>
  <c r="I7" i="20"/>
  <c r="I32" i="18" s="1"/>
  <c r="I9" i="18" s="1"/>
  <c r="I6" i="20"/>
  <c r="I31" i="18" s="1"/>
  <c r="I8" i="18" s="1"/>
  <c r="H10" i="20"/>
  <c r="H35" i="18" s="1"/>
  <c r="H9" i="20"/>
  <c r="H8" i="20"/>
  <c r="H33" i="18" s="1"/>
  <c r="H10" i="18" s="1"/>
  <c r="H7" i="20"/>
  <c r="H6" i="20"/>
  <c r="H31" i="18" s="1"/>
  <c r="F6" i="20"/>
  <c r="F31" i="18" s="1"/>
  <c r="F7" i="20"/>
  <c r="F32" i="18" s="1"/>
  <c r="F8" i="20"/>
  <c r="F33" i="18" s="1"/>
  <c r="F9" i="20"/>
  <c r="F34" i="18" s="1"/>
  <c r="F10" i="20"/>
  <c r="F35" i="18" s="1"/>
  <c r="E10" i="20"/>
  <c r="E35" i="18" s="1"/>
  <c r="E9" i="20"/>
  <c r="E34" i="18" s="1"/>
  <c r="E11" i="18" s="1"/>
  <c r="E8" i="20"/>
  <c r="E33" i="18" s="1"/>
  <c r="E7" i="20"/>
  <c r="E32" i="18" s="1"/>
  <c r="E6" i="20"/>
  <c r="E31" i="18" s="1"/>
  <c r="V57" i="20"/>
  <c r="U57" i="20"/>
  <c r="T57" i="20"/>
  <c r="S57" i="20"/>
  <c r="Q57" i="20"/>
  <c r="R57" i="20" s="1"/>
  <c r="P57" i="20"/>
  <c r="O57" i="20"/>
  <c r="L57" i="20"/>
  <c r="K57" i="20"/>
  <c r="I57" i="20"/>
  <c r="H57" i="20"/>
  <c r="F57" i="20"/>
  <c r="E57" i="20"/>
  <c r="W56" i="20"/>
  <c r="R56" i="20"/>
  <c r="N56" i="20"/>
  <c r="M56" i="20"/>
  <c r="J56" i="20"/>
  <c r="G56" i="20"/>
  <c r="C56" i="20"/>
  <c r="B56" i="20"/>
  <c r="W55" i="20"/>
  <c r="R55" i="20"/>
  <c r="N55" i="20"/>
  <c r="M55" i="20"/>
  <c r="J55" i="20"/>
  <c r="G55" i="20"/>
  <c r="C55" i="20"/>
  <c r="B55" i="20"/>
  <c r="W54" i="20"/>
  <c r="R54" i="20"/>
  <c r="N54" i="20"/>
  <c r="M54" i="20"/>
  <c r="J54" i="20"/>
  <c r="G54" i="20"/>
  <c r="C54" i="20"/>
  <c r="B54" i="20"/>
  <c r="D54" i="20" s="1"/>
  <c r="W53" i="20"/>
  <c r="R53" i="20"/>
  <c r="N53" i="20"/>
  <c r="M53" i="20"/>
  <c r="J53" i="20"/>
  <c r="G53" i="20"/>
  <c r="C53" i="20"/>
  <c r="B53" i="20"/>
  <c r="W52" i="20"/>
  <c r="R52" i="20"/>
  <c r="N52" i="20"/>
  <c r="M52" i="20"/>
  <c r="J52" i="20"/>
  <c r="G52" i="20"/>
  <c r="C52" i="20"/>
  <c r="B52" i="20"/>
  <c r="V48" i="20"/>
  <c r="U48" i="20"/>
  <c r="T48" i="20"/>
  <c r="S48" i="20"/>
  <c r="Q48" i="20"/>
  <c r="P48" i="20"/>
  <c r="O48" i="20"/>
  <c r="L48" i="20"/>
  <c r="K48" i="20"/>
  <c r="I48" i="20"/>
  <c r="H48" i="20"/>
  <c r="F48" i="20"/>
  <c r="E48" i="20"/>
  <c r="W47" i="20"/>
  <c r="R47" i="20"/>
  <c r="N47" i="20"/>
  <c r="M47" i="20"/>
  <c r="J47" i="20"/>
  <c r="G47" i="20"/>
  <c r="C47" i="20"/>
  <c r="B47" i="20"/>
  <c r="W46" i="20"/>
  <c r="R46" i="20"/>
  <c r="N46" i="20"/>
  <c r="M46" i="20"/>
  <c r="J46" i="20"/>
  <c r="G46" i="20"/>
  <c r="C46" i="20"/>
  <c r="B46" i="20"/>
  <c r="W45" i="20"/>
  <c r="R45" i="20"/>
  <c r="N45" i="20"/>
  <c r="M45" i="20"/>
  <c r="J45" i="20"/>
  <c r="G45" i="20"/>
  <c r="C45" i="20"/>
  <c r="B45" i="20"/>
  <c r="W44" i="20"/>
  <c r="R44" i="20"/>
  <c r="N44" i="20"/>
  <c r="M44" i="20"/>
  <c r="J44" i="20"/>
  <c r="G44" i="20"/>
  <c r="C44" i="20"/>
  <c r="B44" i="20"/>
  <c r="W43" i="20"/>
  <c r="R43" i="20"/>
  <c r="N43" i="20"/>
  <c r="M43" i="20"/>
  <c r="J43" i="20"/>
  <c r="G43" i="20"/>
  <c r="C43" i="20"/>
  <c r="B43" i="20"/>
  <c r="V39" i="20"/>
  <c r="U39" i="20"/>
  <c r="T39" i="20"/>
  <c r="S39" i="20"/>
  <c r="Q39" i="20"/>
  <c r="P39" i="20"/>
  <c r="O39" i="20"/>
  <c r="L39" i="20"/>
  <c r="K39" i="20"/>
  <c r="I39" i="20"/>
  <c r="H39" i="20"/>
  <c r="F39" i="20"/>
  <c r="E39" i="20"/>
  <c r="W38" i="20"/>
  <c r="R38" i="20"/>
  <c r="N38" i="20"/>
  <c r="M38" i="20"/>
  <c r="J38" i="20"/>
  <c r="G38" i="20"/>
  <c r="C38" i="20"/>
  <c r="B38" i="20"/>
  <c r="W37" i="20"/>
  <c r="R37" i="20"/>
  <c r="N37" i="20"/>
  <c r="M37" i="20"/>
  <c r="J37" i="20"/>
  <c r="G37" i="20"/>
  <c r="C37" i="20"/>
  <c r="B37" i="20"/>
  <c r="W36" i="20"/>
  <c r="R36" i="20"/>
  <c r="N36" i="20"/>
  <c r="M36" i="20"/>
  <c r="J36" i="20"/>
  <c r="G36" i="20"/>
  <c r="C36" i="20"/>
  <c r="B36" i="20"/>
  <c r="W35" i="20"/>
  <c r="R35" i="20"/>
  <c r="N35" i="20"/>
  <c r="M35" i="20"/>
  <c r="J35" i="20"/>
  <c r="G35" i="20"/>
  <c r="C35" i="20"/>
  <c r="B35" i="20"/>
  <c r="W34" i="20"/>
  <c r="R34" i="20"/>
  <c r="N34" i="20"/>
  <c r="M34" i="20"/>
  <c r="J34" i="20"/>
  <c r="G34" i="20"/>
  <c r="C34" i="20"/>
  <c r="B34" i="20"/>
  <c r="V30" i="20"/>
  <c r="U30" i="20"/>
  <c r="T30" i="20"/>
  <c r="S30" i="20"/>
  <c r="Q30" i="20"/>
  <c r="P30" i="20"/>
  <c r="O30" i="20"/>
  <c r="L30" i="20"/>
  <c r="K30" i="20"/>
  <c r="I30" i="20"/>
  <c r="H30" i="20"/>
  <c r="F30" i="20"/>
  <c r="E30" i="20"/>
  <c r="W29" i="20"/>
  <c r="R29" i="20"/>
  <c r="N29" i="20"/>
  <c r="M29" i="20"/>
  <c r="J29" i="20"/>
  <c r="G29" i="20"/>
  <c r="C29" i="20"/>
  <c r="B29" i="20"/>
  <c r="D29" i="20" s="1"/>
  <c r="W28" i="20"/>
  <c r="R28" i="20"/>
  <c r="N28" i="20"/>
  <c r="M28" i="20"/>
  <c r="J28" i="20"/>
  <c r="G28" i="20"/>
  <c r="C28" i="20"/>
  <c r="B28" i="20"/>
  <c r="W27" i="20"/>
  <c r="R27" i="20"/>
  <c r="N27" i="20"/>
  <c r="M27" i="20"/>
  <c r="J27" i="20"/>
  <c r="G27" i="20"/>
  <c r="C27" i="20"/>
  <c r="B27" i="20"/>
  <c r="D27" i="20" s="1"/>
  <c r="W26" i="20"/>
  <c r="R26" i="20"/>
  <c r="N26" i="20"/>
  <c r="M26" i="20"/>
  <c r="J26" i="20"/>
  <c r="G26" i="20"/>
  <c r="C26" i="20"/>
  <c r="B26" i="20"/>
  <c r="W25" i="20"/>
  <c r="R25" i="20"/>
  <c r="N25" i="20"/>
  <c r="M25" i="20"/>
  <c r="J25" i="20"/>
  <c r="G25" i="20"/>
  <c r="C25" i="20"/>
  <c r="B25" i="20"/>
  <c r="V23" i="18"/>
  <c r="Y6" i="13" s="1"/>
  <c r="U23" i="18"/>
  <c r="X6" i="13" s="1"/>
  <c r="T23" i="18"/>
  <c r="W6" i="13" s="1"/>
  <c r="S23" i="18"/>
  <c r="V6" i="13" s="1"/>
  <c r="Q23" i="18"/>
  <c r="T6" i="13" s="1"/>
  <c r="P23" i="18"/>
  <c r="S6" i="13" s="1"/>
  <c r="O23" i="18"/>
  <c r="R6" i="13" s="1"/>
  <c r="I23" i="18"/>
  <c r="L6" i="13" s="1"/>
  <c r="H23" i="18"/>
  <c r="K6" i="13" s="1"/>
  <c r="F23" i="18"/>
  <c r="I6" i="13" s="1"/>
  <c r="E23" i="18"/>
  <c r="H6" i="13" s="1"/>
  <c r="B128" i="18"/>
  <c r="C128" i="18"/>
  <c r="G128" i="18"/>
  <c r="J128" i="18"/>
  <c r="M128" i="18"/>
  <c r="R128" i="18"/>
  <c r="W128" i="18"/>
  <c r="B119" i="18"/>
  <c r="C119" i="18"/>
  <c r="G119" i="18"/>
  <c r="J119" i="18"/>
  <c r="M119" i="18"/>
  <c r="N119" i="18"/>
  <c r="R119" i="18"/>
  <c r="W119" i="18"/>
  <c r="J107" i="18"/>
  <c r="M107" i="18"/>
  <c r="R107" i="18"/>
  <c r="W107" i="18"/>
  <c r="B98" i="18"/>
  <c r="C98" i="18"/>
  <c r="G98" i="18"/>
  <c r="J98" i="18"/>
  <c r="M98" i="18"/>
  <c r="N98" i="18"/>
  <c r="R98" i="18"/>
  <c r="W98" i="18"/>
  <c r="B86" i="18"/>
  <c r="C86" i="18"/>
  <c r="G86" i="18"/>
  <c r="J86" i="18"/>
  <c r="M86" i="18"/>
  <c r="N86" i="18"/>
  <c r="R86" i="18"/>
  <c r="W86" i="18"/>
  <c r="B77" i="18"/>
  <c r="C77" i="18"/>
  <c r="G77" i="18"/>
  <c r="J77" i="18"/>
  <c r="M77" i="18"/>
  <c r="N77" i="18"/>
  <c r="R77" i="18"/>
  <c r="W77" i="18"/>
  <c r="C65" i="18"/>
  <c r="J65" i="18"/>
  <c r="M65" i="18"/>
  <c r="R65" i="18"/>
  <c r="R56" i="18"/>
  <c r="W56" i="18"/>
  <c r="D43" i="13"/>
  <c r="R29" i="15"/>
  <c r="R30" i="15"/>
  <c r="R31" i="15"/>
  <c r="R28" i="15"/>
  <c r="B16" i="15"/>
  <c r="C16" i="15"/>
  <c r="G16" i="15"/>
  <c r="J16" i="15"/>
  <c r="M16" i="15"/>
  <c r="N16" i="15"/>
  <c r="R16" i="15"/>
  <c r="W16" i="15"/>
  <c r="B17" i="15"/>
  <c r="C17" i="15"/>
  <c r="G17" i="15"/>
  <c r="J17" i="15"/>
  <c r="M17" i="15"/>
  <c r="N17" i="15"/>
  <c r="R17" i="15"/>
  <c r="W17" i="15"/>
  <c r="B18" i="15"/>
  <c r="C18" i="15"/>
  <c r="G18" i="15"/>
  <c r="J18" i="15"/>
  <c r="M18" i="15"/>
  <c r="N18" i="15"/>
  <c r="R18" i="15"/>
  <c r="W18" i="15"/>
  <c r="B19" i="15"/>
  <c r="C19" i="15"/>
  <c r="G19" i="15"/>
  <c r="J19" i="15"/>
  <c r="M19" i="15"/>
  <c r="N19" i="15"/>
  <c r="R19" i="15"/>
  <c r="W19" i="15"/>
  <c r="D11" i="15"/>
  <c r="G11" i="15"/>
  <c r="J11" i="15"/>
  <c r="M11" i="15"/>
  <c r="N11" i="15"/>
  <c r="R11" i="15"/>
  <c r="W11" i="15"/>
  <c r="D67" i="11"/>
  <c r="E33" i="11"/>
  <c r="F33" i="11"/>
  <c r="H33" i="11"/>
  <c r="I33" i="11"/>
  <c r="K33" i="11"/>
  <c r="L33" i="11"/>
  <c r="N33" i="11"/>
  <c r="O33" i="11"/>
  <c r="Q33" i="11"/>
  <c r="R33" i="11"/>
  <c r="S33" i="11"/>
  <c r="T33" i="11"/>
  <c r="U33" i="11"/>
  <c r="V33" i="11"/>
  <c r="W33" i="11"/>
  <c r="X33" i="11"/>
  <c r="Y33" i="11"/>
  <c r="D8" i="7"/>
  <c r="F36" i="4"/>
  <c r="E36" i="4"/>
  <c r="K22" i="18" l="1"/>
  <c r="K23" i="18"/>
  <c r="D48" i="24"/>
  <c r="R20" i="24"/>
  <c r="W20" i="24"/>
  <c r="Z6" i="13"/>
  <c r="M11" i="24"/>
  <c r="M6" i="13"/>
  <c r="D7" i="24"/>
  <c r="J6" i="13"/>
  <c r="C11" i="24"/>
  <c r="G23" i="18"/>
  <c r="T8" i="18"/>
  <c r="F8" i="18"/>
  <c r="B107" i="18"/>
  <c r="D107" i="18" s="1"/>
  <c r="W11" i="23"/>
  <c r="L8" i="18"/>
  <c r="M20" i="23"/>
  <c r="K10" i="18"/>
  <c r="H8" i="18"/>
  <c r="D16" i="23"/>
  <c r="E8" i="18"/>
  <c r="P9" i="18"/>
  <c r="O18" i="18"/>
  <c r="M11" i="23"/>
  <c r="D18" i="23"/>
  <c r="J11" i="23"/>
  <c r="J20" i="23"/>
  <c r="C20" i="23"/>
  <c r="D17" i="23"/>
  <c r="G11" i="23"/>
  <c r="W20" i="23"/>
  <c r="R11" i="23"/>
  <c r="R20" i="23"/>
  <c r="K21" i="18"/>
  <c r="N11" i="23"/>
  <c r="C3" i="23" s="1"/>
  <c r="C11" i="23"/>
  <c r="D10" i="23"/>
  <c r="D15" i="23"/>
  <c r="D9" i="23"/>
  <c r="D7" i="23"/>
  <c r="D8" i="23"/>
  <c r="G107" i="18"/>
  <c r="E20" i="18"/>
  <c r="N107" i="18"/>
  <c r="S19" i="18"/>
  <c r="F9" i="18"/>
  <c r="F21" i="18"/>
  <c r="D48" i="22"/>
  <c r="M11" i="22"/>
  <c r="D17" i="22"/>
  <c r="D18" i="22"/>
  <c r="W11" i="22"/>
  <c r="W20" i="22"/>
  <c r="S11" i="18"/>
  <c r="R20" i="22"/>
  <c r="M20" i="22"/>
  <c r="D7" i="22"/>
  <c r="J20" i="22"/>
  <c r="J11" i="22"/>
  <c r="D8" i="22"/>
  <c r="H21" i="18"/>
  <c r="D10" i="22"/>
  <c r="D16" i="22"/>
  <c r="G11" i="22"/>
  <c r="C20" i="22"/>
  <c r="C11" i="22"/>
  <c r="K11" i="18"/>
  <c r="N65" i="18"/>
  <c r="W11" i="21"/>
  <c r="S10" i="18"/>
  <c r="L9" i="18"/>
  <c r="D48" i="21"/>
  <c r="F19" i="18"/>
  <c r="I4" i="13" s="1"/>
  <c r="I43" i="13" s="1"/>
  <c r="F20" i="18"/>
  <c r="E22" i="18"/>
  <c r="V8" i="18"/>
  <c r="S21" i="18"/>
  <c r="R20" i="21"/>
  <c r="O8" i="18"/>
  <c r="I18" i="18"/>
  <c r="D39" i="21"/>
  <c r="D9" i="21"/>
  <c r="D17" i="21"/>
  <c r="D10" i="21"/>
  <c r="E9" i="18"/>
  <c r="E10" i="18"/>
  <c r="B56" i="18"/>
  <c r="B65" i="18"/>
  <c r="D65" i="18" s="1"/>
  <c r="N56" i="18"/>
  <c r="W20" i="21"/>
  <c r="U18" i="18"/>
  <c r="U8" i="18"/>
  <c r="T9" i="18"/>
  <c r="S22" i="18"/>
  <c r="W22" i="18" s="1"/>
  <c r="S8" i="18"/>
  <c r="S18" i="18"/>
  <c r="Q18" i="18"/>
  <c r="R11" i="21"/>
  <c r="Q8" i="18"/>
  <c r="P20" i="18"/>
  <c r="P18" i="18"/>
  <c r="O19" i="18"/>
  <c r="M11" i="21"/>
  <c r="M20" i="21"/>
  <c r="J20" i="21"/>
  <c r="D8" i="21"/>
  <c r="D19" i="21"/>
  <c r="D30" i="21"/>
  <c r="C11" i="21"/>
  <c r="J11" i="21"/>
  <c r="D16" i="21"/>
  <c r="H18" i="18"/>
  <c r="J56" i="18"/>
  <c r="D18" i="21"/>
  <c r="C20" i="21"/>
  <c r="D7" i="21"/>
  <c r="G11" i="21"/>
  <c r="G56" i="18"/>
  <c r="F11" i="18"/>
  <c r="F10" i="18"/>
  <c r="E18" i="18"/>
  <c r="E19" i="18"/>
  <c r="H4" i="13" s="1"/>
  <c r="H43" i="13" s="1"/>
  <c r="E21" i="18"/>
  <c r="N11" i="21"/>
  <c r="C3" i="21" s="1"/>
  <c r="W57" i="20"/>
  <c r="M57" i="20"/>
  <c r="C57" i="20"/>
  <c r="N57" i="20"/>
  <c r="J57" i="20"/>
  <c r="D53" i="20"/>
  <c r="D56" i="20"/>
  <c r="G57" i="20"/>
  <c r="R48" i="20"/>
  <c r="J48" i="20"/>
  <c r="W39" i="20"/>
  <c r="J16" i="20"/>
  <c r="D35" i="20"/>
  <c r="B39" i="20"/>
  <c r="D37" i="20"/>
  <c r="D36" i="20"/>
  <c r="R30" i="20"/>
  <c r="R15" i="20"/>
  <c r="M17" i="20"/>
  <c r="J7" i="20"/>
  <c r="C19" i="20"/>
  <c r="C16" i="20"/>
  <c r="C36" i="4"/>
  <c r="K15" i="4"/>
  <c r="D9" i="24"/>
  <c r="D57" i="24"/>
  <c r="D46" i="20"/>
  <c r="D17" i="24"/>
  <c r="D10" i="24"/>
  <c r="R11" i="24"/>
  <c r="D16" i="24"/>
  <c r="D18" i="24"/>
  <c r="C20" i="24"/>
  <c r="J11" i="24"/>
  <c r="J20" i="24"/>
  <c r="M20" i="24"/>
  <c r="D15" i="24"/>
  <c r="B20" i="24"/>
  <c r="G11" i="24"/>
  <c r="N11" i="24"/>
  <c r="C3" i="24" s="1"/>
  <c r="B11" i="24"/>
  <c r="D6" i="24"/>
  <c r="G20" i="24"/>
  <c r="N20" i="24"/>
  <c r="E3" i="24" s="1"/>
  <c r="B20" i="23"/>
  <c r="D6" i="23"/>
  <c r="B11" i="23"/>
  <c r="G20" i="23"/>
  <c r="N20" i="23"/>
  <c r="E3" i="23" s="1"/>
  <c r="N11" i="22"/>
  <c r="C3" i="22" s="1"/>
  <c r="R11" i="22"/>
  <c r="G20" i="22"/>
  <c r="N20" i="22"/>
  <c r="E3" i="22" s="1"/>
  <c r="D15" i="22"/>
  <c r="D6" i="22"/>
  <c r="B11" i="22"/>
  <c r="B20" i="22"/>
  <c r="B20" i="21"/>
  <c r="D15" i="21"/>
  <c r="G20" i="21"/>
  <c r="N20" i="21"/>
  <c r="E3" i="21" s="1"/>
  <c r="D6" i="21"/>
  <c r="B11" i="21"/>
  <c r="W48" i="20"/>
  <c r="C15" i="20"/>
  <c r="W7" i="20"/>
  <c r="W19" i="20"/>
  <c r="M7" i="20"/>
  <c r="S11" i="20"/>
  <c r="R17" i="20"/>
  <c r="Q20" i="20"/>
  <c r="R7" i="20"/>
  <c r="R16" i="20"/>
  <c r="M19" i="20"/>
  <c r="I11" i="20"/>
  <c r="H32" i="18"/>
  <c r="H9" i="18" s="1"/>
  <c r="C17" i="20"/>
  <c r="D43" i="20"/>
  <c r="D47" i="20"/>
  <c r="G48" i="20"/>
  <c r="W30" i="20"/>
  <c r="U11" i="20"/>
  <c r="U20" i="20"/>
  <c r="T11" i="20"/>
  <c r="T20" i="20"/>
  <c r="S12" i="18"/>
  <c r="W12" i="18" s="1"/>
  <c r="W35" i="18"/>
  <c r="W8" i="20"/>
  <c r="W16" i="20"/>
  <c r="S32" i="18"/>
  <c r="S9" i="18" s="1"/>
  <c r="W17" i="20"/>
  <c r="W44" i="18"/>
  <c r="W18" i="20"/>
  <c r="Q32" i="18"/>
  <c r="Q9" i="18" s="1"/>
  <c r="R6" i="20"/>
  <c r="R35" i="18"/>
  <c r="P12" i="18"/>
  <c r="R12" i="18" s="1"/>
  <c r="P22" i="18"/>
  <c r="R22" i="18" s="1"/>
  <c r="R44" i="18"/>
  <c r="R9" i="20"/>
  <c r="P31" i="18"/>
  <c r="P8" i="18" s="1"/>
  <c r="M16" i="20"/>
  <c r="M10" i="20"/>
  <c r="M44" i="18"/>
  <c r="K20" i="20"/>
  <c r="K31" i="18"/>
  <c r="K8" i="18" s="1"/>
  <c r="K32" i="18"/>
  <c r="K9" i="18" s="1"/>
  <c r="K41" i="18"/>
  <c r="M8" i="20"/>
  <c r="K35" i="18"/>
  <c r="J9" i="20"/>
  <c r="J17" i="20"/>
  <c r="H22" i="18"/>
  <c r="B44" i="18"/>
  <c r="J44" i="18"/>
  <c r="H12" i="18"/>
  <c r="J12" i="18" s="1"/>
  <c r="J35" i="18"/>
  <c r="H41" i="18"/>
  <c r="H19" i="18" s="1"/>
  <c r="H34" i="18"/>
  <c r="H11" i="18" s="1"/>
  <c r="H42" i="18"/>
  <c r="H20" i="18" s="1"/>
  <c r="H20" i="20"/>
  <c r="G44" i="18"/>
  <c r="F22" i="18"/>
  <c r="C22" i="18" s="1"/>
  <c r="C44" i="18"/>
  <c r="F12" i="18"/>
  <c r="C12" i="18" s="1"/>
  <c r="C35" i="18"/>
  <c r="C18" i="20"/>
  <c r="G35" i="18"/>
  <c r="E12" i="18"/>
  <c r="B35" i="18"/>
  <c r="N44" i="18"/>
  <c r="D26" i="20"/>
  <c r="J39" i="20"/>
  <c r="D55" i="20"/>
  <c r="R8" i="20"/>
  <c r="F20" i="20"/>
  <c r="L20" i="20"/>
  <c r="D28" i="20"/>
  <c r="M39" i="20"/>
  <c r="K11" i="20"/>
  <c r="M9" i="20"/>
  <c r="W6" i="20"/>
  <c r="P20" i="20"/>
  <c r="M18" i="20"/>
  <c r="R19" i="20"/>
  <c r="V20" i="20"/>
  <c r="J30" i="20"/>
  <c r="M48" i="20"/>
  <c r="O11" i="20"/>
  <c r="P11" i="20"/>
  <c r="J18" i="20"/>
  <c r="R39" i="20"/>
  <c r="C48" i="20"/>
  <c r="D44" i="20"/>
  <c r="D45" i="20"/>
  <c r="W9" i="20"/>
  <c r="O20" i="20"/>
  <c r="Q11" i="20"/>
  <c r="I20" i="20"/>
  <c r="G39" i="20"/>
  <c r="D52" i="20"/>
  <c r="S20" i="20"/>
  <c r="N8" i="20"/>
  <c r="J15" i="20"/>
  <c r="N39" i="20"/>
  <c r="N19" i="20"/>
  <c r="B9" i="20"/>
  <c r="N17" i="20"/>
  <c r="J6" i="20"/>
  <c r="D34" i="20"/>
  <c r="D38" i="20"/>
  <c r="J8" i="20"/>
  <c r="N15" i="20"/>
  <c r="B57" i="20"/>
  <c r="D57" i="20" s="1"/>
  <c r="W15" i="20"/>
  <c r="R18" i="20"/>
  <c r="M15" i="20"/>
  <c r="N18" i="20"/>
  <c r="J19" i="20"/>
  <c r="N16" i="20"/>
  <c r="B19" i="20"/>
  <c r="G19" i="20"/>
  <c r="B18" i="20"/>
  <c r="G18" i="20"/>
  <c r="B17" i="20"/>
  <c r="G17" i="20"/>
  <c r="B16" i="20"/>
  <c r="G16" i="20"/>
  <c r="B15" i="20"/>
  <c r="G15" i="20"/>
  <c r="E20" i="20"/>
  <c r="V11" i="20"/>
  <c r="W10" i="20"/>
  <c r="R10" i="20"/>
  <c r="L11" i="20"/>
  <c r="J10" i="20"/>
  <c r="H11" i="20"/>
  <c r="N7" i="20"/>
  <c r="N10" i="20"/>
  <c r="C9" i="20"/>
  <c r="N9" i="20"/>
  <c r="G9" i="20"/>
  <c r="B7" i="20"/>
  <c r="G7" i="20" s="1"/>
  <c r="B8" i="20"/>
  <c r="C8" i="20" s="1"/>
  <c r="B10" i="20"/>
  <c r="N48" i="20"/>
  <c r="B30" i="20"/>
  <c r="G30" i="20"/>
  <c r="N30" i="20"/>
  <c r="B48" i="20"/>
  <c r="N6" i="20"/>
  <c r="B6" i="20"/>
  <c r="C6" i="20" s="1"/>
  <c r="E11" i="20"/>
  <c r="M30" i="20"/>
  <c r="C39" i="20"/>
  <c r="D39" i="20" s="1"/>
  <c r="D25" i="20"/>
  <c r="C30" i="20"/>
  <c r="D56" i="18"/>
  <c r="D128" i="18"/>
  <c r="D119" i="18"/>
  <c r="D98" i="18"/>
  <c r="D86" i="18"/>
  <c r="D77" i="18"/>
  <c r="D18" i="15"/>
  <c r="D19" i="15"/>
  <c r="D17" i="15"/>
  <c r="D16" i="15"/>
  <c r="G33" i="11"/>
  <c r="E67" i="11"/>
  <c r="Y67" i="11"/>
  <c r="X67" i="11"/>
  <c r="W67" i="11"/>
  <c r="V67" i="11"/>
  <c r="U67" i="11"/>
  <c r="J33" i="11"/>
  <c r="T67" i="11"/>
  <c r="S67" i="11"/>
  <c r="Q67" i="11"/>
  <c r="N67" i="11"/>
  <c r="P33" i="11"/>
  <c r="L67" i="11"/>
  <c r="M33" i="11"/>
  <c r="K67" i="11"/>
  <c r="R67" i="11"/>
  <c r="I67" i="11"/>
  <c r="Z33" i="11"/>
  <c r="H67" i="11"/>
  <c r="O67" i="11"/>
  <c r="F67" i="11"/>
  <c r="D11" i="24" l="1"/>
  <c r="D20" i="23"/>
  <c r="D11" i="23"/>
  <c r="D11" i="22"/>
  <c r="D20" i="22"/>
  <c r="B22" i="18"/>
  <c r="D22" i="18" s="1"/>
  <c r="D11" i="21"/>
  <c r="D20" i="21"/>
  <c r="J4" i="13"/>
  <c r="M20" i="20"/>
  <c r="W11" i="20"/>
  <c r="R20" i="20"/>
  <c r="M11" i="20"/>
  <c r="J11" i="20"/>
  <c r="D19" i="20"/>
  <c r="J22" i="18"/>
  <c r="N22" i="18"/>
  <c r="J20" i="20"/>
  <c r="D16" i="20"/>
  <c r="D20" i="24"/>
  <c r="G12" i="18"/>
  <c r="D15" i="20"/>
  <c r="B12" i="18"/>
  <c r="D12" i="18" s="1"/>
  <c r="M22" i="18"/>
  <c r="D35" i="18"/>
  <c r="C20" i="20"/>
  <c r="G22" i="18"/>
  <c r="W20" i="20"/>
  <c r="D48" i="20"/>
  <c r="D17" i="20"/>
  <c r="D44" i="18"/>
  <c r="R11" i="20"/>
  <c r="M35" i="18"/>
  <c r="K12" i="18"/>
  <c r="N35" i="18"/>
  <c r="D30" i="20"/>
  <c r="D18" i="20"/>
  <c r="D9" i="20"/>
  <c r="B20" i="20"/>
  <c r="N20" i="20"/>
  <c r="E3" i="20" s="1"/>
  <c r="G20" i="20"/>
  <c r="N11" i="20"/>
  <c r="C3" i="20" s="1"/>
  <c r="G8" i="20"/>
  <c r="D8" i="20"/>
  <c r="C7" i="20"/>
  <c r="D7" i="20" s="1"/>
  <c r="G6" i="20"/>
  <c r="B11" i="20"/>
  <c r="D6" i="20"/>
  <c r="J43" i="13"/>
  <c r="G67" i="11"/>
  <c r="M67" i="11"/>
  <c r="J67" i="11"/>
  <c r="Z67" i="11"/>
  <c r="P67" i="11"/>
  <c r="D20" i="20" l="1"/>
  <c r="M12" i="18"/>
  <c r="N12" i="18"/>
  <c r="C10" i="20"/>
  <c r="G10" i="20"/>
  <c r="F11" i="20"/>
  <c r="G11" i="20" s="1"/>
  <c r="B15" i="17"/>
  <c r="B16" i="17"/>
  <c r="B17" i="17"/>
  <c r="B14" i="17"/>
  <c r="B5" i="16"/>
  <c r="B15" i="16" s="1"/>
  <c r="B6" i="16"/>
  <c r="B16" i="16" s="1"/>
  <c r="B7" i="16"/>
  <c r="B17" i="16" s="1"/>
  <c r="B4" i="16"/>
  <c r="B14" i="16" s="1"/>
  <c r="D10" i="20" l="1"/>
  <c r="C11" i="20"/>
  <c r="D11" i="20" s="1"/>
  <c r="G8" i="18"/>
  <c r="W10" i="18"/>
  <c r="K4" i="13"/>
  <c r="N4" i="13"/>
  <c r="O4" i="13"/>
  <c r="O43" i="13" s="1"/>
  <c r="R4" i="13"/>
  <c r="R43" i="13" s="1"/>
  <c r="S4" i="13"/>
  <c r="S43" i="13" s="1"/>
  <c r="T4" i="13"/>
  <c r="T43" i="13" s="1"/>
  <c r="V4" i="13"/>
  <c r="W4" i="13"/>
  <c r="W43" i="13" s="1"/>
  <c r="X4" i="13"/>
  <c r="X43" i="13" s="1"/>
  <c r="Y4" i="13"/>
  <c r="Y43" i="13" s="1"/>
  <c r="J18" i="18" l="1"/>
  <c r="M18" i="18"/>
  <c r="W8" i="18"/>
  <c r="R11" i="18"/>
  <c r="V43" i="13"/>
  <c r="Z43" i="13" s="1"/>
  <c r="Z4" i="13"/>
  <c r="P4" i="13"/>
  <c r="N43" i="13"/>
  <c r="P43" i="13" s="1"/>
  <c r="C19" i="18"/>
  <c r="L4" i="13"/>
  <c r="L43" i="13" s="1"/>
  <c r="K43" i="13"/>
  <c r="B9" i="18"/>
  <c r="J9" i="18"/>
  <c r="W11" i="18"/>
  <c r="R18" i="18"/>
  <c r="R21" i="18"/>
  <c r="W9" i="18"/>
  <c r="M8" i="18"/>
  <c r="M11" i="18"/>
  <c r="J11" i="18"/>
  <c r="C11" i="18"/>
  <c r="C8" i="18"/>
  <c r="W18" i="18"/>
  <c r="W20" i="18"/>
  <c r="M20" i="18"/>
  <c r="W21" i="18"/>
  <c r="R20" i="18"/>
  <c r="R19" i="18"/>
  <c r="M21" i="18"/>
  <c r="M19" i="18"/>
  <c r="J21" i="18"/>
  <c r="C21" i="18"/>
  <c r="J20" i="18"/>
  <c r="C20" i="18"/>
  <c r="C18" i="18"/>
  <c r="B21" i="18"/>
  <c r="N20" i="18"/>
  <c r="B19" i="18"/>
  <c r="E4" i="13" s="1"/>
  <c r="B18" i="18"/>
  <c r="F24" i="18"/>
  <c r="U13" i="18"/>
  <c r="T13" i="18"/>
  <c r="R8" i="18"/>
  <c r="P13" i="18"/>
  <c r="R9" i="18"/>
  <c r="O13" i="18"/>
  <c r="M10" i="18"/>
  <c r="L13" i="18"/>
  <c r="M9" i="18"/>
  <c r="C10" i="18"/>
  <c r="C9" i="18"/>
  <c r="J8" i="18"/>
  <c r="N11" i="18"/>
  <c r="B10" i="18"/>
  <c r="H13" i="18"/>
  <c r="B8" i="18"/>
  <c r="G10" i="18"/>
  <c r="G21" i="18"/>
  <c r="N19" i="18"/>
  <c r="G19" i="18"/>
  <c r="N18" i="18"/>
  <c r="N9" i="18"/>
  <c r="N21" i="18"/>
  <c r="J19" i="18"/>
  <c r="V13" i="18"/>
  <c r="F13" i="18"/>
  <c r="R10" i="18"/>
  <c r="J10" i="18"/>
  <c r="N8" i="18"/>
  <c r="G18" i="18"/>
  <c r="E13" i="18"/>
  <c r="G9" i="18"/>
  <c r="B20" i="18"/>
  <c r="B11" i="18"/>
  <c r="E24" i="18"/>
  <c r="W19" i="18"/>
  <c r="S13" i="18"/>
  <c r="K13" i="18"/>
  <c r="N10" i="18"/>
  <c r="G20" i="18"/>
  <c r="Q13" i="18"/>
  <c r="I13" i="18"/>
  <c r="G11" i="18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V87" i="18"/>
  <c r="U87" i="18"/>
  <c r="T87" i="18"/>
  <c r="S87" i="18"/>
  <c r="Q87" i="18"/>
  <c r="P87" i="18"/>
  <c r="O87" i="18"/>
  <c r="L87" i="18"/>
  <c r="K87" i="18"/>
  <c r="I87" i="18"/>
  <c r="H87" i="18"/>
  <c r="F87" i="18"/>
  <c r="E87" i="18"/>
  <c r="W85" i="18"/>
  <c r="R85" i="18"/>
  <c r="N85" i="18"/>
  <c r="M85" i="18"/>
  <c r="J85" i="18"/>
  <c r="G85" i="18"/>
  <c r="C85" i="18"/>
  <c r="B85" i="18"/>
  <c r="W84" i="18"/>
  <c r="R84" i="18"/>
  <c r="N84" i="18"/>
  <c r="M84" i="18"/>
  <c r="J84" i="18"/>
  <c r="G84" i="18"/>
  <c r="C84" i="18"/>
  <c r="B84" i="18"/>
  <c r="W83" i="18"/>
  <c r="R83" i="18"/>
  <c r="N83" i="18"/>
  <c r="M83" i="18"/>
  <c r="J83" i="18"/>
  <c r="G83" i="18"/>
  <c r="C83" i="18"/>
  <c r="B83" i="18"/>
  <c r="W82" i="18"/>
  <c r="R82" i="18"/>
  <c r="N82" i="18"/>
  <c r="M82" i="18"/>
  <c r="J82" i="18"/>
  <c r="G82" i="18"/>
  <c r="C82" i="18"/>
  <c r="B82" i="18"/>
  <c r="V78" i="18"/>
  <c r="U78" i="18"/>
  <c r="T78" i="18"/>
  <c r="S78" i="18"/>
  <c r="Q78" i="18"/>
  <c r="P78" i="18"/>
  <c r="O78" i="18"/>
  <c r="L78" i="18"/>
  <c r="K78" i="18"/>
  <c r="I78" i="18"/>
  <c r="H78" i="18"/>
  <c r="F78" i="18"/>
  <c r="E78" i="18"/>
  <c r="W76" i="18"/>
  <c r="R76" i="18"/>
  <c r="N76" i="18"/>
  <c r="M76" i="18"/>
  <c r="J76" i="18"/>
  <c r="G76" i="18"/>
  <c r="C76" i="18"/>
  <c r="B76" i="18"/>
  <c r="W75" i="18"/>
  <c r="R75" i="18"/>
  <c r="N75" i="18"/>
  <c r="M75" i="18"/>
  <c r="J75" i="18"/>
  <c r="G75" i="18"/>
  <c r="C75" i="18"/>
  <c r="B75" i="18"/>
  <c r="W74" i="18"/>
  <c r="R74" i="18"/>
  <c r="N74" i="18"/>
  <c r="M74" i="18"/>
  <c r="J74" i="18"/>
  <c r="G74" i="18"/>
  <c r="C74" i="18"/>
  <c r="B74" i="18"/>
  <c r="W73" i="18"/>
  <c r="R73" i="18"/>
  <c r="N73" i="18"/>
  <c r="M73" i="18"/>
  <c r="J73" i="18"/>
  <c r="G73" i="18"/>
  <c r="C73" i="18"/>
  <c r="B73" i="18"/>
  <c r="U4" i="13" l="1"/>
  <c r="U43" i="13" s="1"/>
  <c r="Q4" i="13"/>
  <c r="Q43" i="13" s="1"/>
  <c r="F4" i="13"/>
  <c r="F43" i="13" s="1"/>
  <c r="D19" i="18"/>
  <c r="M4" i="13"/>
  <c r="M43" i="13"/>
  <c r="E43" i="13"/>
  <c r="C87" i="18"/>
  <c r="D9" i="18"/>
  <c r="D8" i="18"/>
  <c r="D11" i="18"/>
  <c r="D10" i="18"/>
  <c r="D20" i="18"/>
  <c r="D18" i="18"/>
  <c r="D21" i="18"/>
  <c r="W13" i="18"/>
  <c r="R13" i="18"/>
  <c r="M13" i="18"/>
  <c r="J13" i="18"/>
  <c r="B13" i="18"/>
  <c r="G24" i="18"/>
  <c r="N13" i="18"/>
  <c r="C4" i="18" s="1"/>
  <c r="C13" i="18" s="1"/>
  <c r="G13" i="18"/>
  <c r="C78" i="18"/>
  <c r="N87" i="18"/>
  <c r="E70" i="18" s="1"/>
  <c r="J87" i="18"/>
  <c r="M87" i="18"/>
  <c r="D82" i="18"/>
  <c r="D83" i="18"/>
  <c r="D84" i="18"/>
  <c r="D85" i="18"/>
  <c r="M78" i="18"/>
  <c r="N78" i="18"/>
  <c r="C70" i="18" s="1"/>
  <c r="D75" i="18"/>
  <c r="W78" i="18"/>
  <c r="W87" i="18"/>
  <c r="R78" i="18"/>
  <c r="R87" i="18"/>
  <c r="J78" i="18"/>
  <c r="G87" i="18"/>
  <c r="D73" i="18"/>
  <c r="D74" i="18"/>
  <c r="D76" i="18"/>
  <c r="B78" i="18"/>
  <c r="G78" i="18"/>
  <c r="B87" i="18"/>
  <c r="G43" i="13" l="1"/>
  <c r="G4" i="13"/>
  <c r="D87" i="18"/>
  <c r="D13" i="18"/>
  <c r="D78" i="18"/>
  <c r="V189" i="18"/>
  <c r="U189" i="18"/>
  <c r="T189" i="18"/>
  <c r="S189" i="18"/>
  <c r="Q189" i="18"/>
  <c r="P189" i="18"/>
  <c r="O189" i="18"/>
  <c r="L189" i="18"/>
  <c r="K189" i="18"/>
  <c r="I189" i="18"/>
  <c r="H189" i="18"/>
  <c r="F189" i="18"/>
  <c r="E189" i="18"/>
  <c r="W187" i="18"/>
  <c r="R187" i="18"/>
  <c r="N187" i="18"/>
  <c r="M187" i="18"/>
  <c r="J187" i="18"/>
  <c r="G187" i="18"/>
  <c r="C187" i="18"/>
  <c r="B187" i="18"/>
  <c r="W186" i="18"/>
  <c r="R186" i="18"/>
  <c r="N186" i="18"/>
  <c r="M186" i="18"/>
  <c r="J186" i="18"/>
  <c r="G186" i="18"/>
  <c r="C186" i="18"/>
  <c r="B186" i="18"/>
  <c r="W185" i="18"/>
  <c r="R185" i="18"/>
  <c r="N185" i="18"/>
  <c r="M185" i="18"/>
  <c r="J185" i="18"/>
  <c r="G185" i="18"/>
  <c r="C185" i="18"/>
  <c r="B185" i="18"/>
  <c r="W184" i="18"/>
  <c r="R184" i="18"/>
  <c r="N184" i="18"/>
  <c r="M184" i="18"/>
  <c r="J184" i="18"/>
  <c r="G184" i="18"/>
  <c r="C184" i="18"/>
  <c r="B184" i="18"/>
  <c r="V129" i="18"/>
  <c r="U129" i="18"/>
  <c r="T129" i="18"/>
  <c r="S129" i="18"/>
  <c r="Q129" i="18"/>
  <c r="P129" i="18"/>
  <c r="O129" i="18"/>
  <c r="L129" i="18"/>
  <c r="K129" i="18"/>
  <c r="I129" i="18"/>
  <c r="H129" i="18"/>
  <c r="F129" i="18"/>
  <c r="E129" i="18"/>
  <c r="W127" i="18"/>
  <c r="R127" i="18"/>
  <c r="N127" i="18"/>
  <c r="M127" i="18"/>
  <c r="J127" i="18"/>
  <c r="G127" i="18"/>
  <c r="C127" i="18"/>
  <c r="B127" i="18"/>
  <c r="W126" i="18"/>
  <c r="R126" i="18"/>
  <c r="N126" i="18"/>
  <c r="M126" i="18"/>
  <c r="J126" i="18"/>
  <c r="G126" i="18"/>
  <c r="C126" i="18"/>
  <c r="B126" i="18"/>
  <c r="W125" i="18"/>
  <c r="R125" i="18"/>
  <c r="N125" i="18"/>
  <c r="M125" i="18"/>
  <c r="J125" i="18"/>
  <c r="G125" i="18"/>
  <c r="C125" i="18"/>
  <c r="B125" i="18"/>
  <c r="W124" i="18"/>
  <c r="R124" i="18"/>
  <c r="N124" i="18"/>
  <c r="M124" i="18"/>
  <c r="J124" i="18"/>
  <c r="G124" i="18"/>
  <c r="C124" i="18"/>
  <c r="B124" i="18"/>
  <c r="V180" i="18"/>
  <c r="U180" i="18"/>
  <c r="T180" i="18"/>
  <c r="S180" i="18"/>
  <c r="Q180" i="18"/>
  <c r="P180" i="18"/>
  <c r="O180" i="18"/>
  <c r="L180" i="18"/>
  <c r="K180" i="18"/>
  <c r="I180" i="18"/>
  <c r="H180" i="18"/>
  <c r="F180" i="18"/>
  <c r="E180" i="18"/>
  <c r="W178" i="18"/>
  <c r="R178" i="18"/>
  <c r="N178" i="18"/>
  <c r="M178" i="18"/>
  <c r="J178" i="18"/>
  <c r="G178" i="18"/>
  <c r="C178" i="18"/>
  <c r="B178" i="18"/>
  <c r="W177" i="18"/>
  <c r="R177" i="18"/>
  <c r="N177" i="18"/>
  <c r="M177" i="18"/>
  <c r="J177" i="18"/>
  <c r="G177" i="18"/>
  <c r="C177" i="18"/>
  <c r="B177" i="18"/>
  <c r="W176" i="18"/>
  <c r="R176" i="18"/>
  <c r="N176" i="18"/>
  <c r="M176" i="18"/>
  <c r="J176" i="18"/>
  <c r="G176" i="18"/>
  <c r="C176" i="18"/>
  <c r="B176" i="18"/>
  <c r="W175" i="18"/>
  <c r="R175" i="18"/>
  <c r="N175" i="18"/>
  <c r="M175" i="18"/>
  <c r="J175" i="18"/>
  <c r="G175" i="18"/>
  <c r="C175" i="18"/>
  <c r="B175" i="18"/>
  <c r="V120" i="18"/>
  <c r="U120" i="18"/>
  <c r="T120" i="18"/>
  <c r="S120" i="18"/>
  <c r="Q120" i="18"/>
  <c r="P120" i="18"/>
  <c r="O120" i="18"/>
  <c r="L120" i="18"/>
  <c r="K120" i="18"/>
  <c r="I120" i="18"/>
  <c r="H120" i="18"/>
  <c r="F120" i="18"/>
  <c r="E120" i="18"/>
  <c r="W118" i="18"/>
  <c r="R118" i="18"/>
  <c r="N118" i="18"/>
  <c r="M118" i="18"/>
  <c r="J118" i="18"/>
  <c r="G118" i="18"/>
  <c r="C118" i="18"/>
  <c r="B118" i="18"/>
  <c r="W117" i="18"/>
  <c r="R117" i="18"/>
  <c r="N117" i="18"/>
  <c r="M117" i="18"/>
  <c r="J117" i="18"/>
  <c r="G117" i="18"/>
  <c r="C117" i="18"/>
  <c r="B117" i="18"/>
  <c r="W116" i="18"/>
  <c r="R116" i="18"/>
  <c r="N116" i="18"/>
  <c r="M116" i="18"/>
  <c r="J116" i="18"/>
  <c r="G116" i="18"/>
  <c r="C116" i="18"/>
  <c r="B116" i="18"/>
  <c r="W115" i="18"/>
  <c r="R115" i="18"/>
  <c r="N115" i="18"/>
  <c r="M115" i="18"/>
  <c r="J115" i="18"/>
  <c r="G115" i="18"/>
  <c r="C115" i="18"/>
  <c r="B115" i="18"/>
  <c r="V171" i="18"/>
  <c r="U171" i="18"/>
  <c r="T171" i="18"/>
  <c r="S171" i="18"/>
  <c r="Q171" i="18"/>
  <c r="P171" i="18"/>
  <c r="O171" i="18"/>
  <c r="L171" i="18"/>
  <c r="K171" i="18"/>
  <c r="I171" i="18"/>
  <c r="H171" i="18"/>
  <c r="F171" i="18"/>
  <c r="E171" i="18"/>
  <c r="W169" i="18"/>
  <c r="R169" i="18"/>
  <c r="N169" i="18"/>
  <c r="M169" i="18"/>
  <c r="J169" i="18"/>
  <c r="G169" i="18"/>
  <c r="C169" i="18"/>
  <c r="B169" i="18"/>
  <c r="W168" i="18"/>
  <c r="R168" i="18"/>
  <c r="N168" i="18"/>
  <c r="M168" i="18"/>
  <c r="J168" i="18"/>
  <c r="G168" i="18"/>
  <c r="C168" i="18"/>
  <c r="B168" i="18"/>
  <c r="W167" i="18"/>
  <c r="R167" i="18"/>
  <c r="N167" i="18"/>
  <c r="M167" i="18"/>
  <c r="J167" i="18"/>
  <c r="G167" i="18"/>
  <c r="C167" i="18"/>
  <c r="B167" i="18"/>
  <c r="W166" i="18"/>
  <c r="R166" i="18"/>
  <c r="N166" i="18"/>
  <c r="M166" i="18"/>
  <c r="J166" i="18"/>
  <c r="G166" i="18"/>
  <c r="C166" i="18"/>
  <c r="B166" i="18"/>
  <c r="V108" i="18"/>
  <c r="U108" i="18"/>
  <c r="T108" i="18"/>
  <c r="S108" i="18"/>
  <c r="Q108" i="18"/>
  <c r="P108" i="18"/>
  <c r="O108" i="18"/>
  <c r="L108" i="18"/>
  <c r="K108" i="18"/>
  <c r="I108" i="18"/>
  <c r="H108" i="18"/>
  <c r="F108" i="18"/>
  <c r="E108" i="18"/>
  <c r="W106" i="18"/>
  <c r="R106" i="18"/>
  <c r="N106" i="18"/>
  <c r="M106" i="18"/>
  <c r="J106" i="18"/>
  <c r="G106" i="18"/>
  <c r="C106" i="18"/>
  <c r="B106" i="18"/>
  <c r="W105" i="18"/>
  <c r="R105" i="18"/>
  <c r="N105" i="18"/>
  <c r="M105" i="18"/>
  <c r="J105" i="18"/>
  <c r="G105" i="18"/>
  <c r="C105" i="18"/>
  <c r="B105" i="18"/>
  <c r="W104" i="18"/>
  <c r="R104" i="18"/>
  <c r="N104" i="18"/>
  <c r="M104" i="18"/>
  <c r="J104" i="18"/>
  <c r="G104" i="18"/>
  <c r="C104" i="18"/>
  <c r="B104" i="18"/>
  <c r="W103" i="18"/>
  <c r="R103" i="18"/>
  <c r="N103" i="18"/>
  <c r="M103" i="18"/>
  <c r="J103" i="18"/>
  <c r="G103" i="18"/>
  <c r="C103" i="18"/>
  <c r="B103" i="18"/>
  <c r="V162" i="18"/>
  <c r="U162" i="18"/>
  <c r="T162" i="18"/>
  <c r="S162" i="18"/>
  <c r="Q162" i="18"/>
  <c r="P162" i="18"/>
  <c r="O162" i="18"/>
  <c r="L162" i="18"/>
  <c r="K162" i="18"/>
  <c r="I162" i="18"/>
  <c r="H162" i="18"/>
  <c r="F162" i="18"/>
  <c r="E162" i="18"/>
  <c r="W160" i="18"/>
  <c r="R160" i="18"/>
  <c r="N160" i="18"/>
  <c r="M160" i="18"/>
  <c r="J160" i="18"/>
  <c r="G160" i="18"/>
  <c r="C160" i="18"/>
  <c r="B160" i="18"/>
  <c r="W159" i="18"/>
  <c r="R159" i="18"/>
  <c r="N159" i="18"/>
  <c r="M159" i="18"/>
  <c r="J159" i="18"/>
  <c r="G159" i="18"/>
  <c r="C159" i="18"/>
  <c r="B159" i="18"/>
  <c r="W158" i="18"/>
  <c r="R158" i="18"/>
  <c r="N158" i="18"/>
  <c r="M158" i="18"/>
  <c r="J158" i="18"/>
  <c r="G158" i="18"/>
  <c r="C158" i="18"/>
  <c r="B158" i="18"/>
  <c r="W157" i="18"/>
  <c r="R157" i="18"/>
  <c r="N157" i="18"/>
  <c r="M157" i="18"/>
  <c r="J157" i="18"/>
  <c r="G157" i="18"/>
  <c r="C157" i="18"/>
  <c r="B157" i="18"/>
  <c r="V99" i="18"/>
  <c r="U99" i="18"/>
  <c r="T99" i="18"/>
  <c r="S99" i="18"/>
  <c r="Q99" i="18"/>
  <c r="P99" i="18"/>
  <c r="O99" i="18"/>
  <c r="L99" i="18"/>
  <c r="K99" i="18"/>
  <c r="I99" i="18"/>
  <c r="H99" i="18"/>
  <c r="F99" i="18"/>
  <c r="E99" i="18"/>
  <c r="W97" i="18"/>
  <c r="R97" i="18"/>
  <c r="N97" i="18"/>
  <c r="M97" i="18"/>
  <c r="J97" i="18"/>
  <c r="G97" i="18"/>
  <c r="C97" i="18"/>
  <c r="B97" i="18"/>
  <c r="E30" i="13" s="1"/>
  <c r="W96" i="18"/>
  <c r="R96" i="18"/>
  <c r="N96" i="18"/>
  <c r="M96" i="18"/>
  <c r="J96" i="18"/>
  <c r="G96" i="18"/>
  <c r="C96" i="18"/>
  <c r="B96" i="18"/>
  <c r="E33" i="13" s="1"/>
  <c r="W95" i="18"/>
  <c r="R95" i="18"/>
  <c r="N95" i="18"/>
  <c r="M95" i="18"/>
  <c r="J95" i="18"/>
  <c r="G95" i="18"/>
  <c r="C95" i="18"/>
  <c r="B95" i="18"/>
  <c r="W94" i="18"/>
  <c r="R94" i="18"/>
  <c r="N94" i="18"/>
  <c r="M94" i="18"/>
  <c r="J94" i="18"/>
  <c r="G94" i="18"/>
  <c r="C94" i="18"/>
  <c r="B94" i="18"/>
  <c r="E7" i="13" s="1"/>
  <c r="V153" i="18"/>
  <c r="U153" i="18"/>
  <c r="T153" i="18"/>
  <c r="S153" i="18"/>
  <c r="Q153" i="18"/>
  <c r="P153" i="18"/>
  <c r="O153" i="18"/>
  <c r="L153" i="18"/>
  <c r="K153" i="18"/>
  <c r="I153" i="18"/>
  <c r="H153" i="18"/>
  <c r="F153" i="18"/>
  <c r="E153" i="18"/>
  <c r="W151" i="18"/>
  <c r="N151" i="18"/>
  <c r="M151" i="18"/>
  <c r="J151" i="18"/>
  <c r="G151" i="18"/>
  <c r="C151" i="18"/>
  <c r="B151" i="18"/>
  <c r="W150" i="18"/>
  <c r="N150" i="18"/>
  <c r="M150" i="18"/>
  <c r="J150" i="18"/>
  <c r="G150" i="18"/>
  <c r="C150" i="18"/>
  <c r="B150" i="18"/>
  <c r="W149" i="18"/>
  <c r="N149" i="18"/>
  <c r="M149" i="18"/>
  <c r="J149" i="18"/>
  <c r="G149" i="18"/>
  <c r="C149" i="18"/>
  <c r="B149" i="18"/>
  <c r="W148" i="18"/>
  <c r="N148" i="18"/>
  <c r="M148" i="18"/>
  <c r="J148" i="18"/>
  <c r="G148" i="18"/>
  <c r="C148" i="18"/>
  <c r="B148" i="18"/>
  <c r="V143" i="18"/>
  <c r="U143" i="18"/>
  <c r="T143" i="18"/>
  <c r="S143" i="18"/>
  <c r="R143" i="18"/>
  <c r="Q143" i="18"/>
  <c r="P143" i="18"/>
  <c r="O143" i="18"/>
  <c r="L143" i="18"/>
  <c r="K143" i="18"/>
  <c r="I143" i="18"/>
  <c r="H143" i="18"/>
  <c r="F143" i="18"/>
  <c r="E143" i="18"/>
  <c r="W141" i="18"/>
  <c r="N141" i="18"/>
  <c r="M141" i="18"/>
  <c r="J141" i="18"/>
  <c r="G141" i="18"/>
  <c r="C141" i="18"/>
  <c r="B141" i="18"/>
  <c r="W140" i="18"/>
  <c r="N140" i="18"/>
  <c r="M140" i="18"/>
  <c r="J140" i="18"/>
  <c r="G140" i="18"/>
  <c r="C140" i="18"/>
  <c r="B140" i="18"/>
  <c r="W139" i="18"/>
  <c r="N139" i="18"/>
  <c r="M139" i="18"/>
  <c r="J139" i="18"/>
  <c r="G139" i="18"/>
  <c r="C139" i="18"/>
  <c r="B139" i="18"/>
  <c r="W138" i="18"/>
  <c r="N138" i="18"/>
  <c r="M138" i="18"/>
  <c r="J138" i="18"/>
  <c r="G138" i="18"/>
  <c r="C138" i="18"/>
  <c r="B138" i="18"/>
  <c r="V66" i="18"/>
  <c r="U66" i="18"/>
  <c r="T66" i="18"/>
  <c r="S66" i="18"/>
  <c r="Q66" i="18"/>
  <c r="P66" i="18"/>
  <c r="O66" i="18"/>
  <c r="L66" i="18"/>
  <c r="K66" i="18"/>
  <c r="I66" i="18"/>
  <c r="H66" i="18"/>
  <c r="F66" i="18"/>
  <c r="E66" i="18"/>
  <c r="W64" i="18"/>
  <c r="R64" i="18"/>
  <c r="N64" i="18"/>
  <c r="M64" i="18"/>
  <c r="J64" i="18"/>
  <c r="G64" i="18"/>
  <c r="C64" i="18"/>
  <c r="B64" i="18"/>
  <c r="W63" i="18"/>
  <c r="R63" i="18"/>
  <c r="N63" i="18"/>
  <c r="M63" i="18"/>
  <c r="J63" i="18"/>
  <c r="G63" i="18"/>
  <c r="C63" i="18"/>
  <c r="B63" i="18"/>
  <c r="W62" i="18"/>
  <c r="R62" i="18"/>
  <c r="N62" i="18"/>
  <c r="M62" i="18"/>
  <c r="J62" i="18"/>
  <c r="G62" i="18"/>
  <c r="C62" i="18"/>
  <c r="B62" i="18"/>
  <c r="W61" i="18"/>
  <c r="R61" i="18"/>
  <c r="N61" i="18"/>
  <c r="M61" i="18"/>
  <c r="J61" i="18"/>
  <c r="G61" i="18"/>
  <c r="C61" i="18"/>
  <c r="B61" i="18"/>
  <c r="V57" i="18"/>
  <c r="U57" i="18"/>
  <c r="T57" i="18"/>
  <c r="S57" i="18"/>
  <c r="Q57" i="18"/>
  <c r="P57" i="18"/>
  <c r="O57" i="18"/>
  <c r="L57" i="18"/>
  <c r="K57" i="18"/>
  <c r="I57" i="18"/>
  <c r="H57" i="18"/>
  <c r="F57" i="18"/>
  <c r="E57" i="18"/>
  <c r="W55" i="18"/>
  <c r="R55" i="18"/>
  <c r="N55" i="18"/>
  <c r="M55" i="18"/>
  <c r="J55" i="18"/>
  <c r="G55" i="18"/>
  <c r="C55" i="18"/>
  <c r="B55" i="18"/>
  <c r="W54" i="18"/>
  <c r="R54" i="18"/>
  <c r="N54" i="18"/>
  <c r="M54" i="18"/>
  <c r="J54" i="18"/>
  <c r="G54" i="18"/>
  <c r="C54" i="18"/>
  <c r="B54" i="18"/>
  <c r="W53" i="18"/>
  <c r="R53" i="18"/>
  <c r="N53" i="18"/>
  <c r="M53" i="18"/>
  <c r="J53" i="18"/>
  <c r="G53" i="18"/>
  <c r="C53" i="18"/>
  <c r="B53" i="18"/>
  <c r="W52" i="18"/>
  <c r="R52" i="18"/>
  <c r="N52" i="18"/>
  <c r="M52" i="18"/>
  <c r="J52" i="18"/>
  <c r="G52" i="18"/>
  <c r="C52" i="18"/>
  <c r="B52" i="18"/>
  <c r="V201" i="15"/>
  <c r="U201" i="15"/>
  <c r="T201" i="15"/>
  <c r="S201" i="15"/>
  <c r="Q201" i="15"/>
  <c r="P201" i="15"/>
  <c r="O201" i="15"/>
  <c r="L201" i="15"/>
  <c r="K201" i="15"/>
  <c r="M201" i="15" s="1"/>
  <c r="I201" i="15"/>
  <c r="H201" i="15"/>
  <c r="F201" i="15"/>
  <c r="E201" i="15"/>
  <c r="W199" i="15"/>
  <c r="R199" i="15"/>
  <c r="N199" i="15"/>
  <c r="M199" i="15"/>
  <c r="J199" i="15"/>
  <c r="G199" i="15"/>
  <c r="C199" i="15"/>
  <c r="B199" i="15"/>
  <c r="W198" i="15"/>
  <c r="R198" i="15"/>
  <c r="N198" i="15"/>
  <c r="M198" i="15"/>
  <c r="J198" i="15"/>
  <c r="G198" i="15"/>
  <c r="C198" i="15"/>
  <c r="B198" i="15"/>
  <c r="W197" i="15"/>
  <c r="R197" i="15"/>
  <c r="N197" i="15"/>
  <c r="M197" i="15"/>
  <c r="J197" i="15"/>
  <c r="G197" i="15"/>
  <c r="C197" i="15"/>
  <c r="B197" i="15"/>
  <c r="W196" i="15"/>
  <c r="R196" i="15"/>
  <c r="N196" i="15"/>
  <c r="M196" i="15"/>
  <c r="J196" i="15"/>
  <c r="G196" i="15"/>
  <c r="C196" i="15"/>
  <c r="B196" i="15"/>
  <c r="V180" i="15"/>
  <c r="U180" i="15"/>
  <c r="T180" i="15"/>
  <c r="S180" i="15"/>
  <c r="Q180" i="15"/>
  <c r="P180" i="15"/>
  <c r="O180" i="15"/>
  <c r="L180" i="15"/>
  <c r="K180" i="15"/>
  <c r="M180" i="15" s="1"/>
  <c r="I180" i="15"/>
  <c r="H180" i="15"/>
  <c r="J180" i="15" s="1"/>
  <c r="F180" i="15"/>
  <c r="E180" i="15"/>
  <c r="W178" i="15"/>
  <c r="R178" i="15"/>
  <c r="N178" i="15"/>
  <c r="M178" i="15"/>
  <c r="J178" i="15"/>
  <c r="G178" i="15"/>
  <c r="C178" i="15"/>
  <c r="B178" i="15"/>
  <c r="W177" i="15"/>
  <c r="R177" i="15"/>
  <c r="N177" i="15"/>
  <c r="M177" i="15"/>
  <c r="J177" i="15"/>
  <c r="G177" i="15"/>
  <c r="C177" i="15"/>
  <c r="B177" i="15"/>
  <c r="W176" i="15"/>
  <c r="R176" i="15"/>
  <c r="N176" i="15"/>
  <c r="M176" i="15"/>
  <c r="J176" i="15"/>
  <c r="G176" i="15"/>
  <c r="C176" i="15"/>
  <c r="D176" i="15" s="1"/>
  <c r="B176" i="15"/>
  <c r="W175" i="15"/>
  <c r="R175" i="15"/>
  <c r="N175" i="15"/>
  <c r="M175" i="15"/>
  <c r="J175" i="15"/>
  <c r="G175" i="15"/>
  <c r="C175" i="15"/>
  <c r="B175" i="15"/>
  <c r="D175" i="15" s="1"/>
  <c r="V159" i="15"/>
  <c r="U159" i="15"/>
  <c r="T159" i="15"/>
  <c r="S159" i="15"/>
  <c r="W159" i="15" s="1"/>
  <c r="Q159" i="15"/>
  <c r="P159" i="15"/>
  <c r="O159" i="15"/>
  <c r="L159" i="15"/>
  <c r="K159" i="15"/>
  <c r="I159" i="15"/>
  <c r="H159" i="15"/>
  <c r="F159" i="15"/>
  <c r="E159" i="15"/>
  <c r="W157" i="15"/>
  <c r="R157" i="15"/>
  <c r="N157" i="15"/>
  <c r="M157" i="15"/>
  <c r="J157" i="15"/>
  <c r="G157" i="15"/>
  <c r="C157" i="15"/>
  <c r="B157" i="15"/>
  <c r="D157" i="15" s="1"/>
  <c r="W156" i="15"/>
  <c r="R156" i="15"/>
  <c r="N156" i="15"/>
  <c r="M156" i="15"/>
  <c r="J156" i="15"/>
  <c r="G156" i="15"/>
  <c r="C156" i="15"/>
  <c r="B156" i="15"/>
  <c r="D156" i="15" s="1"/>
  <c r="W155" i="15"/>
  <c r="R155" i="15"/>
  <c r="N155" i="15"/>
  <c r="M155" i="15"/>
  <c r="J155" i="15"/>
  <c r="G155" i="15"/>
  <c r="C155" i="15"/>
  <c r="B155" i="15"/>
  <c r="W154" i="15"/>
  <c r="R154" i="15"/>
  <c r="N154" i="15"/>
  <c r="M154" i="15"/>
  <c r="J154" i="15"/>
  <c r="G154" i="15"/>
  <c r="C154" i="15"/>
  <c r="B154" i="15"/>
  <c r="D154" i="15" s="1"/>
  <c r="V138" i="15"/>
  <c r="U138" i="15"/>
  <c r="T138" i="15"/>
  <c r="S138" i="15"/>
  <c r="Q138" i="15"/>
  <c r="P138" i="15"/>
  <c r="O138" i="15"/>
  <c r="L138" i="15"/>
  <c r="K138" i="15"/>
  <c r="I138" i="15"/>
  <c r="H138" i="15"/>
  <c r="J138" i="15" s="1"/>
  <c r="F138" i="15"/>
  <c r="E138" i="15"/>
  <c r="G138" i="15" s="1"/>
  <c r="W136" i="15"/>
  <c r="R136" i="15"/>
  <c r="N136" i="15"/>
  <c r="M136" i="15"/>
  <c r="J136" i="15"/>
  <c r="G136" i="15"/>
  <c r="C136" i="15"/>
  <c r="B136" i="15"/>
  <c r="D136" i="15" s="1"/>
  <c r="W135" i="15"/>
  <c r="R135" i="15"/>
  <c r="N135" i="15"/>
  <c r="M135" i="15"/>
  <c r="J135" i="15"/>
  <c r="G135" i="15"/>
  <c r="C135" i="15"/>
  <c r="B135" i="15"/>
  <c r="W134" i="15"/>
  <c r="R134" i="15"/>
  <c r="N134" i="15"/>
  <c r="M134" i="15"/>
  <c r="J134" i="15"/>
  <c r="G134" i="15"/>
  <c r="C134" i="15"/>
  <c r="B134" i="15"/>
  <c r="W133" i="15"/>
  <c r="R133" i="15"/>
  <c r="N133" i="15"/>
  <c r="M133" i="15"/>
  <c r="J133" i="15"/>
  <c r="G133" i="15"/>
  <c r="C133" i="15"/>
  <c r="B133" i="15"/>
  <c r="V117" i="15"/>
  <c r="U117" i="15"/>
  <c r="T117" i="15"/>
  <c r="S117" i="15"/>
  <c r="Q117" i="15"/>
  <c r="P117" i="15"/>
  <c r="O117" i="15"/>
  <c r="L117" i="15"/>
  <c r="K117" i="15"/>
  <c r="I117" i="15"/>
  <c r="H117" i="15"/>
  <c r="F117" i="15"/>
  <c r="E117" i="15"/>
  <c r="G117" i="15" s="1"/>
  <c r="W115" i="15"/>
  <c r="R115" i="15"/>
  <c r="N115" i="15"/>
  <c r="M115" i="15"/>
  <c r="J115" i="15"/>
  <c r="G115" i="15"/>
  <c r="C115" i="15"/>
  <c r="B115" i="15"/>
  <c r="W114" i="15"/>
  <c r="R114" i="15"/>
  <c r="N114" i="15"/>
  <c r="M114" i="15"/>
  <c r="J114" i="15"/>
  <c r="G114" i="15"/>
  <c r="C114" i="15"/>
  <c r="B114" i="15"/>
  <c r="W113" i="15"/>
  <c r="R113" i="15"/>
  <c r="N113" i="15"/>
  <c r="M113" i="15"/>
  <c r="J113" i="15"/>
  <c r="G113" i="15"/>
  <c r="C113" i="15"/>
  <c r="B113" i="15"/>
  <c r="W112" i="15"/>
  <c r="R112" i="15"/>
  <c r="N112" i="15"/>
  <c r="M112" i="15"/>
  <c r="J112" i="15"/>
  <c r="G112" i="15"/>
  <c r="C112" i="15"/>
  <c r="B112" i="15"/>
  <c r="V96" i="15"/>
  <c r="U96" i="15"/>
  <c r="T96" i="15"/>
  <c r="S96" i="15"/>
  <c r="Q96" i="15"/>
  <c r="P96" i="15"/>
  <c r="O96" i="15"/>
  <c r="L96" i="15"/>
  <c r="K96" i="15"/>
  <c r="I96" i="15"/>
  <c r="H96" i="15"/>
  <c r="F96" i="15"/>
  <c r="E96" i="15"/>
  <c r="W94" i="15"/>
  <c r="R94" i="15"/>
  <c r="N94" i="15"/>
  <c r="M94" i="15"/>
  <c r="J94" i="15"/>
  <c r="G94" i="15"/>
  <c r="C94" i="15"/>
  <c r="B94" i="15"/>
  <c r="W93" i="15"/>
  <c r="R93" i="15"/>
  <c r="N93" i="15"/>
  <c r="M93" i="15"/>
  <c r="J93" i="15"/>
  <c r="G93" i="15"/>
  <c r="C93" i="15"/>
  <c r="B93" i="15"/>
  <c r="W92" i="15"/>
  <c r="R92" i="15"/>
  <c r="N92" i="15"/>
  <c r="M92" i="15"/>
  <c r="J92" i="15"/>
  <c r="G92" i="15"/>
  <c r="C92" i="15"/>
  <c r="B92" i="15"/>
  <c r="W91" i="15"/>
  <c r="R91" i="15"/>
  <c r="N91" i="15"/>
  <c r="M91" i="15"/>
  <c r="J91" i="15"/>
  <c r="G91" i="15"/>
  <c r="C91" i="15"/>
  <c r="B91" i="15"/>
  <c r="V210" i="15"/>
  <c r="U210" i="15"/>
  <c r="T210" i="15"/>
  <c r="S210" i="15"/>
  <c r="Q210" i="15"/>
  <c r="P210" i="15"/>
  <c r="R210" i="15" s="1"/>
  <c r="O210" i="15"/>
  <c r="L210" i="15"/>
  <c r="K210" i="15"/>
  <c r="M210" i="15" s="1"/>
  <c r="I210" i="15"/>
  <c r="H210" i="15"/>
  <c r="F210" i="15"/>
  <c r="E210" i="15"/>
  <c r="W209" i="15"/>
  <c r="W208" i="15"/>
  <c r="R208" i="15"/>
  <c r="N208" i="15"/>
  <c r="M208" i="15"/>
  <c r="J208" i="15"/>
  <c r="G208" i="15"/>
  <c r="C208" i="15"/>
  <c r="B208" i="15"/>
  <c r="W207" i="15"/>
  <c r="R207" i="15"/>
  <c r="N207" i="15"/>
  <c r="M207" i="15"/>
  <c r="J207" i="15"/>
  <c r="G207" i="15"/>
  <c r="C207" i="15"/>
  <c r="B207" i="15"/>
  <c r="W206" i="15"/>
  <c r="R206" i="15"/>
  <c r="N206" i="15"/>
  <c r="M206" i="15"/>
  <c r="J206" i="15"/>
  <c r="G206" i="15"/>
  <c r="C206" i="15"/>
  <c r="B206" i="15"/>
  <c r="W205" i="15"/>
  <c r="R205" i="15"/>
  <c r="N205" i="15"/>
  <c r="M205" i="15"/>
  <c r="J205" i="15"/>
  <c r="G205" i="15"/>
  <c r="C205" i="15"/>
  <c r="B205" i="15"/>
  <c r="V189" i="15"/>
  <c r="U189" i="15"/>
  <c r="T189" i="15"/>
  <c r="S189" i="15"/>
  <c r="Q189" i="15"/>
  <c r="P189" i="15"/>
  <c r="O189" i="15"/>
  <c r="L189" i="15"/>
  <c r="K189" i="15"/>
  <c r="M189" i="15" s="1"/>
  <c r="I189" i="15"/>
  <c r="H189" i="15"/>
  <c r="F189" i="15"/>
  <c r="E189" i="15"/>
  <c r="W188" i="15"/>
  <c r="W187" i="15"/>
  <c r="R187" i="15"/>
  <c r="N187" i="15"/>
  <c r="M187" i="15"/>
  <c r="J187" i="15"/>
  <c r="G187" i="15"/>
  <c r="C187" i="15"/>
  <c r="B187" i="15"/>
  <c r="W186" i="15"/>
  <c r="R186" i="15"/>
  <c r="N186" i="15"/>
  <c r="M186" i="15"/>
  <c r="J186" i="15"/>
  <c r="G186" i="15"/>
  <c r="C186" i="15"/>
  <c r="B186" i="15"/>
  <c r="W185" i="15"/>
  <c r="R185" i="15"/>
  <c r="N185" i="15"/>
  <c r="M185" i="15"/>
  <c r="J185" i="15"/>
  <c r="G185" i="15"/>
  <c r="C185" i="15"/>
  <c r="B185" i="15"/>
  <c r="D185" i="15" s="1"/>
  <c r="W184" i="15"/>
  <c r="R184" i="15"/>
  <c r="N184" i="15"/>
  <c r="M184" i="15"/>
  <c r="J184" i="15"/>
  <c r="G184" i="15"/>
  <c r="C184" i="15"/>
  <c r="B184" i="15"/>
  <c r="V168" i="15"/>
  <c r="U168" i="15"/>
  <c r="T168" i="15"/>
  <c r="S168" i="15"/>
  <c r="W168" i="15" s="1"/>
  <c r="Q168" i="15"/>
  <c r="P168" i="15"/>
  <c r="O168" i="15"/>
  <c r="L168" i="15"/>
  <c r="K168" i="15"/>
  <c r="I168" i="15"/>
  <c r="H168" i="15"/>
  <c r="J168" i="15" s="1"/>
  <c r="F168" i="15"/>
  <c r="E168" i="15"/>
  <c r="W167" i="15"/>
  <c r="W166" i="15"/>
  <c r="R166" i="15"/>
  <c r="N166" i="15"/>
  <c r="M166" i="15"/>
  <c r="J166" i="15"/>
  <c r="G166" i="15"/>
  <c r="C166" i="15"/>
  <c r="B166" i="15"/>
  <c r="W165" i="15"/>
  <c r="R165" i="15"/>
  <c r="N165" i="15"/>
  <c r="M165" i="15"/>
  <c r="J165" i="15"/>
  <c r="G165" i="15"/>
  <c r="C165" i="15"/>
  <c r="B165" i="15"/>
  <c r="W164" i="15"/>
  <c r="R164" i="15"/>
  <c r="N164" i="15"/>
  <c r="M164" i="15"/>
  <c r="J164" i="15"/>
  <c r="G164" i="15"/>
  <c r="C164" i="15"/>
  <c r="B164" i="15"/>
  <c r="W163" i="15"/>
  <c r="R163" i="15"/>
  <c r="N163" i="15"/>
  <c r="M163" i="15"/>
  <c r="J163" i="15"/>
  <c r="G163" i="15"/>
  <c r="C163" i="15"/>
  <c r="B163" i="15"/>
  <c r="V147" i="15"/>
  <c r="U147" i="15"/>
  <c r="T147" i="15"/>
  <c r="S147" i="15"/>
  <c r="W147" i="15" s="1"/>
  <c r="Q147" i="15"/>
  <c r="P147" i="15"/>
  <c r="O147" i="15"/>
  <c r="L147" i="15"/>
  <c r="K147" i="15"/>
  <c r="I147" i="15"/>
  <c r="H147" i="15"/>
  <c r="F147" i="15"/>
  <c r="E147" i="15"/>
  <c r="G147" i="15" s="1"/>
  <c r="W146" i="15"/>
  <c r="W145" i="15"/>
  <c r="R145" i="15"/>
  <c r="N145" i="15"/>
  <c r="M145" i="15"/>
  <c r="J145" i="15"/>
  <c r="G145" i="15"/>
  <c r="C145" i="15"/>
  <c r="B145" i="15"/>
  <c r="W144" i="15"/>
  <c r="R144" i="15"/>
  <c r="N144" i="15"/>
  <c r="M144" i="15"/>
  <c r="J144" i="15"/>
  <c r="G144" i="15"/>
  <c r="C144" i="15"/>
  <c r="B144" i="15"/>
  <c r="W143" i="15"/>
  <c r="R143" i="15"/>
  <c r="N143" i="15"/>
  <c r="M143" i="15"/>
  <c r="J143" i="15"/>
  <c r="G143" i="15"/>
  <c r="C143" i="15"/>
  <c r="B143" i="15"/>
  <c r="W142" i="15"/>
  <c r="R142" i="15"/>
  <c r="N142" i="15"/>
  <c r="M142" i="15"/>
  <c r="J142" i="15"/>
  <c r="G142" i="15"/>
  <c r="C142" i="15"/>
  <c r="B142" i="15"/>
  <c r="V126" i="15"/>
  <c r="U126" i="15"/>
  <c r="T126" i="15"/>
  <c r="S126" i="15"/>
  <c r="Q126" i="15"/>
  <c r="P126" i="15"/>
  <c r="R126" i="15" s="1"/>
  <c r="O126" i="15"/>
  <c r="L126" i="15"/>
  <c r="K126" i="15"/>
  <c r="I126" i="15"/>
  <c r="H126" i="15"/>
  <c r="F126" i="15"/>
  <c r="E126" i="15"/>
  <c r="W125" i="15"/>
  <c r="W124" i="15"/>
  <c r="R124" i="15"/>
  <c r="N124" i="15"/>
  <c r="M124" i="15"/>
  <c r="J124" i="15"/>
  <c r="G124" i="15"/>
  <c r="C124" i="15"/>
  <c r="B124" i="15"/>
  <c r="W123" i="15"/>
  <c r="R123" i="15"/>
  <c r="N123" i="15"/>
  <c r="M123" i="15"/>
  <c r="J123" i="15"/>
  <c r="G123" i="15"/>
  <c r="C123" i="15"/>
  <c r="B123" i="15"/>
  <c r="W122" i="15"/>
  <c r="R122" i="15"/>
  <c r="N122" i="15"/>
  <c r="M122" i="15"/>
  <c r="J122" i="15"/>
  <c r="G122" i="15"/>
  <c r="C122" i="15"/>
  <c r="B122" i="15"/>
  <c r="W121" i="15"/>
  <c r="R121" i="15"/>
  <c r="N121" i="15"/>
  <c r="M121" i="15"/>
  <c r="J121" i="15"/>
  <c r="G121" i="15"/>
  <c r="C121" i="15"/>
  <c r="B121" i="15"/>
  <c r="V105" i="15"/>
  <c r="U105" i="15"/>
  <c r="T105" i="15"/>
  <c r="S105" i="15"/>
  <c r="Q105" i="15"/>
  <c r="P105" i="15"/>
  <c r="O105" i="15"/>
  <c r="L105" i="15"/>
  <c r="K105" i="15"/>
  <c r="I105" i="15"/>
  <c r="H105" i="15"/>
  <c r="F105" i="15"/>
  <c r="E105" i="15"/>
  <c r="W104" i="15"/>
  <c r="W103" i="15"/>
  <c r="R103" i="15"/>
  <c r="N103" i="15"/>
  <c r="M103" i="15"/>
  <c r="J103" i="15"/>
  <c r="G103" i="15"/>
  <c r="C103" i="15"/>
  <c r="B103" i="15"/>
  <c r="W102" i="15"/>
  <c r="R102" i="15"/>
  <c r="N102" i="15"/>
  <c r="M102" i="15"/>
  <c r="J102" i="15"/>
  <c r="G102" i="15"/>
  <c r="C102" i="15"/>
  <c r="B102" i="15"/>
  <c r="W101" i="15"/>
  <c r="R101" i="15"/>
  <c r="N101" i="15"/>
  <c r="M101" i="15"/>
  <c r="J101" i="15"/>
  <c r="G101" i="15"/>
  <c r="C101" i="15"/>
  <c r="B101" i="15"/>
  <c r="W100" i="15"/>
  <c r="R100" i="15"/>
  <c r="N100" i="15"/>
  <c r="M100" i="15"/>
  <c r="J100" i="15"/>
  <c r="G100" i="15"/>
  <c r="C100" i="15"/>
  <c r="B100" i="15"/>
  <c r="V84" i="15"/>
  <c r="U84" i="15"/>
  <c r="T84" i="15"/>
  <c r="S84" i="15"/>
  <c r="Q84" i="15"/>
  <c r="P84" i="15"/>
  <c r="O84" i="15"/>
  <c r="L84" i="15"/>
  <c r="K84" i="15"/>
  <c r="I84" i="15"/>
  <c r="H84" i="15"/>
  <c r="F84" i="15"/>
  <c r="E84" i="15"/>
  <c r="W83" i="15"/>
  <c r="W82" i="15"/>
  <c r="R82" i="15"/>
  <c r="N82" i="15"/>
  <c r="M82" i="15"/>
  <c r="J82" i="15"/>
  <c r="G82" i="15"/>
  <c r="C82" i="15"/>
  <c r="B82" i="15"/>
  <c r="W81" i="15"/>
  <c r="R81" i="15"/>
  <c r="N81" i="15"/>
  <c r="M81" i="15"/>
  <c r="J81" i="15"/>
  <c r="G81" i="15"/>
  <c r="C81" i="15"/>
  <c r="B81" i="15"/>
  <c r="W80" i="15"/>
  <c r="R80" i="15"/>
  <c r="N80" i="15"/>
  <c r="M80" i="15"/>
  <c r="J80" i="15"/>
  <c r="G80" i="15"/>
  <c r="C80" i="15"/>
  <c r="B80" i="15"/>
  <c r="W79" i="15"/>
  <c r="R79" i="15"/>
  <c r="N79" i="15"/>
  <c r="M79" i="15"/>
  <c r="J79" i="15"/>
  <c r="G79" i="15"/>
  <c r="C79" i="15"/>
  <c r="B79" i="15"/>
  <c r="D121" i="15" l="1"/>
  <c r="J147" i="15"/>
  <c r="D206" i="15"/>
  <c r="M159" i="15"/>
  <c r="D101" i="15"/>
  <c r="W189" i="15"/>
  <c r="W180" i="15"/>
  <c r="D143" i="15"/>
  <c r="E28" i="13"/>
  <c r="E27" i="13"/>
  <c r="E8" i="13"/>
  <c r="E12" i="13"/>
  <c r="W57" i="18"/>
  <c r="J108" i="18"/>
  <c r="J189" i="18"/>
  <c r="W143" i="18"/>
  <c r="J57" i="18"/>
  <c r="W99" i="18"/>
  <c r="G143" i="18"/>
  <c r="D148" i="18"/>
  <c r="M153" i="18"/>
  <c r="J129" i="18"/>
  <c r="J171" i="18"/>
  <c r="M189" i="18"/>
  <c r="J153" i="18"/>
  <c r="D124" i="18"/>
  <c r="R153" i="18"/>
  <c r="W153" i="18"/>
  <c r="R108" i="18"/>
  <c r="D115" i="18"/>
  <c r="D118" i="18"/>
  <c r="W129" i="18"/>
  <c r="R189" i="18"/>
  <c r="M66" i="18"/>
  <c r="D94" i="18"/>
  <c r="W108" i="18"/>
  <c r="R171" i="18"/>
  <c r="G180" i="18"/>
  <c r="W189" i="18"/>
  <c r="W180" i="18"/>
  <c r="D157" i="18"/>
  <c r="D159" i="18"/>
  <c r="D160" i="18"/>
  <c r="G162" i="18"/>
  <c r="D167" i="18"/>
  <c r="W171" i="18"/>
  <c r="M120" i="18"/>
  <c r="M143" i="18"/>
  <c r="M99" i="18"/>
  <c r="M180" i="18"/>
  <c r="D104" i="18"/>
  <c r="D125" i="18"/>
  <c r="C99" i="18"/>
  <c r="D166" i="18"/>
  <c r="D184" i="18"/>
  <c r="D149" i="18"/>
  <c r="D150" i="18"/>
  <c r="D175" i="18"/>
  <c r="B180" i="18"/>
  <c r="D178" i="18"/>
  <c r="D185" i="18"/>
  <c r="D103" i="18"/>
  <c r="D138" i="18"/>
  <c r="B147" i="15"/>
  <c r="M168" i="15"/>
  <c r="J159" i="15"/>
  <c r="B138" i="15"/>
  <c r="D196" i="15"/>
  <c r="R189" i="15"/>
  <c r="C210" i="15"/>
  <c r="G210" i="15"/>
  <c r="D133" i="15"/>
  <c r="W201" i="15"/>
  <c r="D164" i="15"/>
  <c r="B168" i="15"/>
  <c r="R168" i="15"/>
  <c r="C189" i="15"/>
  <c r="G189" i="15"/>
  <c r="W210" i="15"/>
  <c r="W126" i="15"/>
  <c r="J126" i="15"/>
  <c r="D122" i="15"/>
  <c r="W117" i="15"/>
  <c r="M117" i="15"/>
  <c r="D112" i="15"/>
  <c r="D115" i="15"/>
  <c r="C105" i="15"/>
  <c r="G105" i="15"/>
  <c r="W96" i="15"/>
  <c r="M96" i="15"/>
  <c r="J96" i="15"/>
  <c r="C96" i="15"/>
  <c r="D91" i="15"/>
  <c r="R84" i="15"/>
  <c r="M84" i="15"/>
  <c r="D80" i="15"/>
  <c r="G84" i="15"/>
  <c r="B84" i="15"/>
  <c r="D100" i="15"/>
  <c r="B126" i="15"/>
  <c r="C147" i="15"/>
  <c r="R147" i="15"/>
  <c r="D165" i="15"/>
  <c r="G168" i="15"/>
  <c r="R138" i="15"/>
  <c r="G159" i="15"/>
  <c r="C143" i="18"/>
  <c r="G153" i="18"/>
  <c r="J99" i="18"/>
  <c r="R162" i="18"/>
  <c r="C180" i="18"/>
  <c r="D79" i="15"/>
  <c r="B105" i="15"/>
  <c r="R105" i="15"/>
  <c r="C126" i="15"/>
  <c r="G126" i="15"/>
  <c r="J189" i="15"/>
  <c r="J210" i="15"/>
  <c r="C159" i="15"/>
  <c r="D151" i="18"/>
  <c r="C108" i="18"/>
  <c r="D105" i="18"/>
  <c r="D106" i="18"/>
  <c r="G108" i="18"/>
  <c r="M171" i="18"/>
  <c r="R120" i="18"/>
  <c r="J180" i="18"/>
  <c r="M129" i="18"/>
  <c r="D186" i="18"/>
  <c r="D187" i="18"/>
  <c r="G189" i="18"/>
  <c r="R117" i="15"/>
  <c r="D81" i="15"/>
  <c r="W105" i="15"/>
  <c r="C138" i="15"/>
  <c r="D138" i="15" s="1"/>
  <c r="W138" i="15"/>
  <c r="C162" i="18"/>
  <c r="W162" i="18"/>
  <c r="B120" i="18"/>
  <c r="G120" i="18"/>
  <c r="R201" i="15"/>
  <c r="W84" i="15"/>
  <c r="J105" i="15"/>
  <c r="R96" i="15"/>
  <c r="B117" i="15"/>
  <c r="R180" i="15"/>
  <c r="B201" i="15"/>
  <c r="D199" i="15"/>
  <c r="G201" i="15"/>
  <c r="D141" i="18"/>
  <c r="R99" i="18"/>
  <c r="J162" i="18"/>
  <c r="C120" i="18"/>
  <c r="W120" i="18"/>
  <c r="R129" i="18"/>
  <c r="J84" i="15"/>
  <c r="M126" i="15"/>
  <c r="M147" i="15"/>
  <c r="D184" i="15"/>
  <c r="D205" i="15"/>
  <c r="C117" i="15"/>
  <c r="C201" i="15"/>
  <c r="M57" i="18"/>
  <c r="R66" i="18"/>
  <c r="D140" i="18"/>
  <c r="J143" i="18"/>
  <c r="C153" i="18"/>
  <c r="M108" i="18"/>
  <c r="B171" i="18"/>
  <c r="D169" i="18"/>
  <c r="G171" i="18"/>
  <c r="J120" i="18"/>
  <c r="R180" i="18"/>
  <c r="B129" i="18"/>
  <c r="D127" i="18"/>
  <c r="G129" i="18"/>
  <c r="M105" i="15"/>
  <c r="D142" i="15"/>
  <c r="D163" i="15"/>
  <c r="B189" i="15"/>
  <c r="D208" i="15"/>
  <c r="D93" i="15"/>
  <c r="D94" i="15"/>
  <c r="G96" i="15"/>
  <c r="J117" i="15"/>
  <c r="M138" i="15"/>
  <c r="R159" i="15"/>
  <c r="D177" i="15"/>
  <c r="D178" i="15"/>
  <c r="G180" i="15"/>
  <c r="J201" i="15"/>
  <c r="D139" i="18"/>
  <c r="B99" i="18"/>
  <c r="D97" i="18"/>
  <c r="G99" i="18"/>
  <c r="M162" i="18"/>
  <c r="B189" i="18"/>
  <c r="C189" i="18"/>
  <c r="N189" i="18"/>
  <c r="D126" i="18"/>
  <c r="C129" i="18"/>
  <c r="N129" i="18"/>
  <c r="E112" i="18" s="1"/>
  <c r="D176" i="18"/>
  <c r="D177" i="18"/>
  <c r="N180" i="18"/>
  <c r="D116" i="18"/>
  <c r="D117" i="18"/>
  <c r="N120" i="18"/>
  <c r="C112" i="18" s="1"/>
  <c r="D168" i="18"/>
  <c r="C171" i="18"/>
  <c r="N171" i="18"/>
  <c r="B108" i="18"/>
  <c r="N108" i="18"/>
  <c r="E91" i="18" s="1"/>
  <c r="D158" i="18"/>
  <c r="B162" i="18"/>
  <c r="N162" i="18"/>
  <c r="D95" i="18"/>
  <c r="D96" i="18"/>
  <c r="N99" i="18"/>
  <c r="C91" i="18" s="1"/>
  <c r="B153" i="18"/>
  <c r="N153" i="18"/>
  <c r="B143" i="18"/>
  <c r="N143" i="18"/>
  <c r="D61" i="18"/>
  <c r="C66" i="18"/>
  <c r="W66" i="18"/>
  <c r="D52" i="18"/>
  <c r="D54" i="18"/>
  <c r="D55" i="18"/>
  <c r="G57" i="18"/>
  <c r="J66" i="18"/>
  <c r="C57" i="18"/>
  <c r="R57" i="18"/>
  <c r="B66" i="18"/>
  <c r="D64" i="18"/>
  <c r="G66" i="18"/>
  <c r="D62" i="18"/>
  <c r="N66" i="18"/>
  <c r="E49" i="18" s="1"/>
  <c r="D63" i="18"/>
  <c r="D53" i="18"/>
  <c r="B57" i="18"/>
  <c r="N57" i="18"/>
  <c r="C49" i="18" s="1"/>
  <c r="D198" i="15"/>
  <c r="N201" i="15"/>
  <c r="D197" i="15"/>
  <c r="B180" i="15"/>
  <c r="C180" i="15"/>
  <c r="N180" i="15"/>
  <c r="D155" i="15"/>
  <c r="B159" i="15"/>
  <c r="N159" i="15"/>
  <c r="D135" i="15"/>
  <c r="D134" i="15"/>
  <c r="N138" i="15"/>
  <c r="D114" i="15"/>
  <c r="D113" i="15"/>
  <c r="N117" i="15"/>
  <c r="D92" i="15"/>
  <c r="B96" i="15"/>
  <c r="N96" i="15"/>
  <c r="B210" i="15"/>
  <c r="D210" i="15" s="1"/>
  <c r="D207" i="15"/>
  <c r="N210" i="15"/>
  <c r="D186" i="15"/>
  <c r="D187" i="15"/>
  <c r="N189" i="15"/>
  <c r="D166" i="15"/>
  <c r="C168" i="15"/>
  <c r="D168" i="15" s="1"/>
  <c r="N168" i="15"/>
  <c r="D144" i="15"/>
  <c r="D145" i="15"/>
  <c r="N147" i="15"/>
  <c r="D124" i="15"/>
  <c r="D123" i="15"/>
  <c r="N126" i="15"/>
  <c r="D102" i="15"/>
  <c r="D103" i="15"/>
  <c r="N105" i="15"/>
  <c r="C84" i="15"/>
  <c r="D82" i="15"/>
  <c r="N84" i="15"/>
  <c r="D4" i="7"/>
  <c r="D7" i="7"/>
  <c r="D10" i="7"/>
  <c r="D26" i="7"/>
  <c r="D9" i="7"/>
  <c r="D12" i="7"/>
  <c r="D31" i="7"/>
  <c r="D13" i="7"/>
  <c r="D46" i="7" s="1"/>
  <c r="D14" i="7"/>
  <c r="D47" i="7" s="1"/>
  <c r="D15" i="7"/>
  <c r="D48" i="7" s="1"/>
  <c r="D16" i="7"/>
  <c r="D49" i="7" s="1"/>
  <c r="D17" i="7"/>
  <c r="D50" i="7" s="1"/>
  <c r="D18" i="7"/>
  <c r="D51" i="7" s="1"/>
  <c r="D21" i="7"/>
  <c r="D54" i="7" s="1"/>
  <c r="D24" i="7"/>
  <c r="D57" i="7" s="1"/>
  <c r="D28" i="7"/>
  <c r="D20" i="7"/>
  <c r="D53" i="7" s="1"/>
  <c r="D27" i="7"/>
  <c r="D11" i="7"/>
  <c r="D23" i="7"/>
  <c r="D56" i="7" s="1"/>
  <c r="D29" i="7"/>
  <c r="D32" i="7"/>
  <c r="D65" i="7" s="1"/>
  <c r="D34" i="7"/>
  <c r="D67" i="7" s="1"/>
  <c r="D25" i="7"/>
  <c r="D58" i="7" s="1"/>
  <c r="D19" i="7"/>
  <c r="D52" i="7" s="1"/>
  <c r="D6" i="7"/>
  <c r="D5" i="7"/>
  <c r="D22" i="7"/>
  <c r="D55" i="7" s="1"/>
  <c r="D30" i="7"/>
  <c r="D33" i="7"/>
  <c r="D45" i="7" s="1"/>
  <c r="O24" i="13"/>
  <c r="S31" i="13"/>
  <c r="O34" i="13"/>
  <c r="W5" i="13"/>
  <c r="K5" i="13"/>
  <c r="Y9" i="13"/>
  <c r="W9" i="13"/>
  <c r="S9" i="13"/>
  <c r="R9" i="13"/>
  <c r="I9" i="13"/>
  <c r="Y26" i="13"/>
  <c r="R26" i="13"/>
  <c r="O26" i="13"/>
  <c r="W24" i="13"/>
  <c r="S24" i="13"/>
  <c r="R24" i="13"/>
  <c r="N24" i="13"/>
  <c r="S19" i="13"/>
  <c r="Y31" i="13"/>
  <c r="S10" i="13"/>
  <c r="I10" i="13"/>
  <c r="Y5" i="13"/>
  <c r="Y28" i="13"/>
  <c r="Y8" i="13"/>
  <c r="Y27" i="13"/>
  <c r="Y12" i="13"/>
  <c r="Y13" i="13"/>
  <c r="Y14" i="13"/>
  <c r="Y15" i="13"/>
  <c r="Y16" i="13"/>
  <c r="Y17" i="13"/>
  <c r="Y34" i="13"/>
  <c r="Y19" i="13"/>
  <c r="X26" i="13"/>
  <c r="X5" i="13"/>
  <c r="X28" i="13"/>
  <c r="X8" i="13"/>
  <c r="X27" i="13"/>
  <c r="X12" i="13"/>
  <c r="X13" i="13"/>
  <c r="X14" i="13"/>
  <c r="X15" i="13"/>
  <c r="X16" i="13"/>
  <c r="X17" i="13"/>
  <c r="X31" i="13"/>
  <c r="W26" i="13"/>
  <c r="W28" i="13"/>
  <c r="W8" i="13"/>
  <c r="W27" i="13"/>
  <c r="W12" i="13"/>
  <c r="W13" i="13"/>
  <c r="W14" i="13"/>
  <c r="W15" i="13"/>
  <c r="W16" i="13"/>
  <c r="W17" i="13"/>
  <c r="W34" i="13"/>
  <c r="W19" i="13"/>
  <c r="W31" i="13"/>
  <c r="W10" i="13"/>
  <c r="V9" i="13"/>
  <c r="V5" i="13"/>
  <c r="V28" i="13"/>
  <c r="V8" i="13"/>
  <c r="V27" i="13"/>
  <c r="V12" i="13"/>
  <c r="V13" i="13"/>
  <c r="V14" i="13"/>
  <c r="V15" i="13"/>
  <c r="V16" i="13"/>
  <c r="V17" i="13"/>
  <c r="V34" i="13"/>
  <c r="V10" i="13"/>
  <c r="V24" i="13"/>
  <c r="U28" i="13"/>
  <c r="U8" i="13"/>
  <c r="U27" i="13"/>
  <c r="U12" i="13"/>
  <c r="U13" i="13"/>
  <c r="U14" i="13"/>
  <c r="U15" i="13"/>
  <c r="U16" i="13"/>
  <c r="U17" i="13"/>
  <c r="T26" i="13"/>
  <c r="T9" i="13"/>
  <c r="T5" i="13"/>
  <c r="T28" i="13"/>
  <c r="T8" i="13"/>
  <c r="T27" i="13"/>
  <c r="T12" i="13"/>
  <c r="T13" i="13"/>
  <c r="T14" i="13"/>
  <c r="T15" i="13"/>
  <c r="T16" i="13"/>
  <c r="T17" i="13"/>
  <c r="T10" i="13"/>
  <c r="T24" i="13"/>
  <c r="S26" i="13"/>
  <c r="S5" i="13"/>
  <c r="S28" i="13"/>
  <c r="S8" i="13"/>
  <c r="S27" i="13"/>
  <c r="S12" i="13"/>
  <c r="S13" i="13"/>
  <c r="S14" i="13"/>
  <c r="S15" i="13"/>
  <c r="S16" i="13"/>
  <c r="S17" i="13"/>
  <c r="R28" i="13"/>
  <c r="R8" i="13"/>
  <c r="R27" i="13"/>
  <c r="R12" i="13"/>
  <c r="R13" i="13"/>
  <c r="R14" i="13"/>
  <c r="R15" i="13"/>
  <c r="R16" i="13"/>
  <c r="R17" i="13"/>
  <c r="R19" i="13"/>
  <c r="Q28" i="13"/>
  <c r="Q8" i="13"/>
  <c r="Q27" i="13"/>
  <c r="Q12" i="13"/>
  <c r="Q13" i="13"/>
  <c r="Q14" i="13"/>
  <c r="Q15" i="13"/>
  <c r="Q16" i="13"/>
  <c r="Q17" i="13"/>
  <c r="O9" i="13"/>
  <c r="O5" i="13"/>
  <c r="O28" i="13"/>
  <c r="O8" i="13"/>
  <c r="O27" i="13"/>
  <c r="O12" i="13"/>
  <c r="O13" i="13"/>
  <c r="O14" i="13"/>
  <c r="O15" i="13"/>
  <c r="O16" i="13"/>
  <c r="O17" i="13"/>
  <c r="O19" i="13"/>
  <c r="O31" i="13"/>
  <c r="O10" i="13"/>
  <c r="N9" i="13"/>
  <c r="N5" i="13"/>
  <c r="N28" i="13"/>
  <c r="N8" i="13"/>
  <c r="N27" i="13"/>
  <c r="N12" i="13"/>
  <c r="N13" i="13"/>
  <c r="N14" i="13"/>
  <c r="N15" i="13"/>
  <c r="N16" i="13"/>
  <c r="N17" i="13"/>
  <c r="N31" i="13"/>
  <c r="N10" i="13"/>
  <c r="N30" i="13"/>
  <c r="L26" i="13"/>
  <c r="L9" i="13"/>
  <c r="L5" i="13"/>
  <c r="L28" i="13"/>
  <c r="L8" i="13"/>
  <c r="L27" i="13"/>
  <c r="L12" i="13"/>
  <c r="L13" i="13"/>
  <c r="L14" i="13"/>
  <c r="L15" i="13"/>
  <c r="L16" i="13"/>
  <c r="L17" i="13"/>
  <c r="L10" i="13"/>
  <c r="L24" i="13"/>
  <c r="L30" i="13"/>
  <c r="K26" i="13"/>
  <c r="K9" i="13"/>
  <c r="K28" i="13"/>
  <c r="K8" i="13"/>
  <c r="K27" i="13"/>
  <c r="K12" i="13"/>
  <c r="K13" i="13"/>
  <c r="K14" i="13"/>
  <c r="K15" i="13"/>
  <c r="K16" i="13"/>
  <c r="K17" i="13"/>
  <c r="K34" i="13"/>
  <c r="K10" i="13"/>
  <c r="K24" i="13"/>
  <c r="K32" i="13"/>
  <c r="I26" i="13"/>
  <c r="I35" i="13"/>
  <c r="I5" i="13"/>
  <c r="I28" i="13"/>
  <c r="I8" i="13"/>
  <c r="I27" i="13"/>
  <c r="I12" i="13"/>
  <c r="I13" i="13"/>
  <c r="I14" i="13"/>
  <c r="I15" i="13"/>
  <c r="I16" i="13"/>
  <c r="I17" i="13"/>
  <c r="I19" i="13"/>
  <c r="I24" i="13"/>
  <c r="H5" i="13"/>
  <c r="H28" i="13"/>
  <c r="H8" i="13"/>
  <c r="H27" i="13"/>
  <c r="H12" i="13"/>
  <c r="H13" i="13"/>
  <c r="H14" i="13"/>
  <c r="H15" i="13"/>
  <c r="H16" i="13"/>
  <c r="H17" i="13"/>
  <c r="H34" i="13"/>
  <c r="H31" i="13"/>
  <c r="F28" i="13"/>
  <c r="F8" i="13"/>
  <c r="F27" i="13"/>
  <c r="F12" i="13"/>
  <c r="F13" i="13"/>
  <c r="F14" i="13"/>
  <c r="F15" i="13"/>
  <c r="F16" i="13"/>
  <c r="F17" i="13"/>
  <c r="H32" i="13"/>
  <c r="I32" i="13"/>
  <c r="H18" i="13"/>
  <c r="I22" i="13"/>
  <c r="K30" i="13"/>
  <c r="K18" i="13"/>
  <c r="K22" i="13"/>
  <c r="L22" i="13"/>
  <c r="Y22" i="13"/>
  <c r="X22" i="13"/>
  <c r="V22" i="13"/>
  <c r="T22" i="13"/>
  <c r="S22" i="13"/>
  <c r="O22" i="13"/>
  <c r="N22" i="13"/>
  <c r="Y18" i="13"/>
  <c r="W18" i="13"/>
  <c r="V18" i="13"/>
  <c r="T18" i="13"/>
  <c r="S18" i="13"/>
  <c r="R18" i="13"/>
  <c r="O18" i="13"/>
  <c r="N18" i="13"/>
  <c r="Y30" i="13"/>
  <c r="X30" i="13"/>
  <c r="W30" i="13"/>
  <c r="V30" i="13"/>
  <c r="T30" i="13"/>
  <c r="S30" i="13"/>
  <c r="O30" i="13"/>
  <c r="W32" i="13"/>
  <c r="T32" i="13"/>
  <c r="R32" i="13"/>
  <c r="O32" i="13"/>
  <c r="N32" i="13"/>
  <c r="R41" i="18"/>
  <c r="R42" i="18"/>
  <c r="R43" i="18"/>
  <c r="R40" i="18"/>
  <c r="R32" i="18"/>
  <c r="R33" i="18"/>
  <c r="R34" i="18"/>
  <c r="R31" i="18"/>
  <c r="R20" i="13"/>
  <c r="V20" i="13"/>
  <c r="X20" i="13"/>
  <c r="Y20" i="13"/>
  <c r="S23" i="13"/>
  <c r="T23" i="13"/>
  <c r="V23" i="13"/>
  <c r="W23" i="13"/>
  <c r="Y23" i="13"/>
  <c r="R33" i="13"/>
  <c r="S33" i="13"/>
  <c r="X33" i="13"/>
  <c r="Y33" i="13"/>
  <c r="S29" i="13"/>
  <c r="T29" i="13"/>
  <c r="W29" i="13"/>
  <c r="X29" i="13"/>
  <c r="N20" i="13"/>
  <c r="O20" i="13"/>
  <c r="N23" i="13"/>
  <c r="O23" i="13"/>
  <c r="O33" i="13"/>
  <c r="K20" i="13"/>
  <c r="L20" i="13"/>
  <c r="K23" i="13"/>
  <c r="L23" i="13"/>
  <c r="R29" i="13"/>
  <c r="O29" i="13"/>
  <c r="L29" i="13"/>
  <c r="K29" i="13"/>
  <c r="H20" i="13"/>
  <c r="H23" i="13"/>
  <c r="I23" i="13"/>
  <c r="I29" i="13"/>
  <c r="H29" i="13"/>
  <c r="R7" i="13"/>
  <c r="S7" i="13"/>
  <c r="T7" i="13"/>
  <c r="V7" i="13"/>
  <c r="W7" i="13"/>
  <c r="X7" i="13"/>
  <c r="Y7" i="13"/>
  <c r="R21" i="13"/>
  <c r="S21" i="13"/>
  <c r="T21" i="13"/>
  <c r="V21" i="13"/>
  <c r="W21" i="13"/>
  <c r="X21" i="13"/>
  <c r="Y21" i="13"/>
  <c r="R25" i="13"/>
  <c r="S25" i="13"/>
  <c r="T25" i="13"/>
  <c r="V25" i="13"/>
  <c r="W25" i="13"/>
  <c r="X25" i="13"/>
  <c r="Y25" i="13"/>
  <c r="S11" i="13"/>
  <c r="T11" i="13"/>
  <c r="V11" i="13"/>
  <c r="W11" i="13"/>
  <c r="X11" i="13"/>
  <c r="Y11" i="13"/>
  <c r="R11" i="13"/>
  <c r="N7" i="13"/>
  <c r="N25" i="13"/>
  <c r="O7" i="13"/>
  <c r="O21" i="13"/>
  <c r="O25" i="13"/>
  <c r="K7" i="13"/>
  <c r="L7" i="13"/>
  <c r="K21" i="13"/>
  <c r="L21" i="13"/>
  <c r="K25" i="13"/>
  <c r="O11" i="13"/>
  <c r="N11" i="13"/>
  <c r="L11" i="13"/>
  <c r="K11" i="13"/>
  <c r="H7" i="13"/>
  <c r="Q21" i="13"/>
  <c r="I21" i="13"/>
  <c r="H25" i="13"/>
  <c r="I25" i="13"/>
  <c r="H11" i="13"/>
  <c r="V45" i="18"/>
  <c r="U45" i="18"/>
  <c r="T45" i="18"/>
  <c r="S45" i="18"/>
  <c r="Q45" i="18"/>
  <c r="Q24" i="18" s="1"/>
  <c r="P45" i="18"/>
  <c r="S35" i="13" s="1"/>
  <c r="O45" i="18"/>
  <c r="L45" i="18"/>
  <c r="O6" i="13" s="1"/>
  <c r="K45" i="18"/>
  <c r="N6" i="13" s="1"/>
  <c r="I45" i="18"/>
  <c r="H45" i="18"/>
  <c r="F45" i="18"/>
  <c r="E45" i="18"/>
  <c r="W43" i="18"/>
  <c r="N43" i="18"/>
  <c r="M43" i="18"/>
  <c r="J43" i="18"/>
  <c r="G43" i="18"/>
  <c r="C43" i="18"/>
  <c r="B43" i="18"/>
  <c r="W42" i="18"/>
  <c r="N42" i="18"/>
  <c r="M42" i="18"/>
  <c r="J42" i="18"/>
  <c r="G42" i="18"/>
  <c r="C42" i="18"/>
  <c r="B42" i="18"/>
  <c r="E31" i="13" s="1"/>
  <c r="W41" i="18"/>
  <c r="N41" i="18"/>
  <c r="M41" i="18"/>
  <c r="J41" i="18"/>
  <c r="G41" i="18"/>
  <c r="C41" i="18"/>
  <c r="B41" i="18"/>
  <c r="E34" i="13" s="1"/>
  <c r="W40" i="18"/>
  <c r="N40" i="18"/>
  <c r="M40" i="18"/>
  <c r="J40" i="18"/>
  <c r="G40" i="18"/>
  <c r="C40" i="18"/>
  <c r="B40" i="18"/>
  <c r="V36" i="18"/>
  <c r="U36" i="18"/>
  <c r="T36" i="18"/>
  <c r="S36" i="18"/>
  <c r="Q36" i="18"/>
  <c r="P36" i="18"/>
  <c r="O36" i="18"/>
  <c r="L36" i="18"/>
  <c r="K36" i="18"/>
  <c r="I36" i="18"/>
  <c r="H36" i="18"/>
  <c r="F36" i="18"/>
  <c r="E36" i="18"/>
  <c r="W34" i="18"/>
  <c r="N34" i="18"/>
  <c r="M34" i="18"/>
  <c r="J34" i="18"/>
  <c r="G34" i="18"/>
  <c r="C34" i="18"/>
  <c r="B34" i="18"/>
  <c r="W33" i="18"/>
  <c r="N33" i="18"/>
  <c r="M33" i="18"/>
  <c r="J33" i="18"/>
  <c r="G33" i="18"/>
  <c r="C33" i="18"/>
  <c r="B33" i="18"/>
  <c r="E29" i="13" s="1"/>
  <c r="W32" i="18"/>
  <c r="N32" i="18"/>
  <c r="M32" i="18"/>
  <c r="J32" i="18"/>
  <c r="G32" i="18"/>
  <c r="C32" i="18"/>
  <c r="B32" i="18"/>
  <c r="E32" i="13" s="1"/>
  <c r="W31" i="18"/>
  <c r="N31" i="18"/>
  <c r="M31" i="18"/>
  <c r="J31" i="18"/>
  <c r="G31" i="18"/>
  <c r="C31" i="18"/>
  <c r="B31" i="18"/>
  <c r="D68" i="13"/>
  <c r="D63" i="13"/>
  <c r="D45" i="13"/>
  <c r="D67" i="13"/>
  <c r="D40" i="13"/>
  <c r="D66" i="13"/>
  <c r="D39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2" i="13"/>
  <c r="D47" i="13"/>
  <c r="D46" i="13"/>
  <c r="D62" i="13"/>
  <c r="D65" i="13"/>
  <c r="D64" i="13"/>
  <c r="D69" i="13"/>
  <c r="D41" i="13"/>
  <c r="S44" i="13" l="1"/>
  <c r="S73" i="13"/>
  <c r="S74" i="13" s="1"/>
  <c r="I44" i="13"/>
  <c r="I73" i="13"/>
  <c r="I74" i="13" s="1"/>
  <c r="P6" i="13"/>
  <c r="D42" i="7"/>
  <c r="D68" i="7"/>
  <c r="B23" i="18"/>
  <c r="J23" i="18"/>
  <c r="H24" i="18"/>
  <c r="N23" i="18"/>
  <c r="Q6" i="13" s="1"/>
  <c r="K35" i="13"/>
  <c r="I24" i="18"/>
  <c r="L35" i="13"/>
  <c r="L73" i="13" s="1"/>
  <c r="L74" i="13" s="1"/>
  <c r="C23" i="18"/>
  <c r="U24" i="18"/>
  <c r="X35" i="13"/>
  <c r="N35" i="13"/>
  <c r="N70" i="13" s="1"/>
  <c r="M23" i="18"/>
  <c r="K24" i="18"/>
  <c r="V24" i="18"/>
  <c r="Y35" i="13"/>
  <c r="S24" i="18"/>
  <c r="V35" i="13"/>
  <c r="W23" i="18"/>
  <c r="T24" i="18"/>
  <c r="W35" i="13"/>
  <c r="W73" i="13" s="1"/>
  <c r="W74" i="13" s="1"/>
  <c r="L24" i="18"/>
  <c r="O35" i="13"/>
  <c r="O73" i="13" s="1"/>
  <c r="O74" i="13" s="1"/>
  <c r="O24" i="18"/>
  <c r="R35" i="13"/>
  <c r="R73" i="13" s="1"/>
  <c r="R74" i="13" s="1"/>
  <c r="P24" i="18"/>
  <c r="R24" i="18" s="1"/>
  <c r="R23" i="18"/>
  <c r="U6" i="13" s="1"/>
  <c r="D105" i="15"/>
  <c r="D41" i="7"/>
  <c r="D66" i="7"/>
  <c r="D39" i="7"/>
  <c r="D44" i="7"/>
  <c r="D63" i="7"/>
  <c r="D61" i="7"/>
  <c r="D62" i="7"/>
  <c r="D40" i="7"/>
  <c r="D38" i="7"/>
  <c r="D60" i="7"/>
  <c r="D43" i="7"/>
  <c r="D64" i="7"/>
  <c r="D59" i="7"/>
  <c r="D96" i="15"/>
  <c r="D147" i="15"/>
  <c r="D159" i="15"/>
  <c r="D153" i="18"/>
  <c r="D143" i="18"/>
  <c r="D99" i="18"/>
  <c r="L62" i="13"/>
  <c r="D129" i="18"/>
  <c r="O46" i="13"/>
  <c r="D162" i="18"/>
  <c r="D171" i="18"/>
  <c r="D120" i="18"/>
  <c r="D57" i="18"/>
  <c r="D108" i="18"/>
  <c r="D180" i="18"/>
  <c r="D201" i="15"/>
  <c r="D189" i="15"/>
  <c r="D84" i="15"/>
  <c r="D66" i="18"/>
  <c r="D117" i="15"/>
  <c r="D126" i="15"/>
  <c r="D189" i="18"/>
  <c r="U26" i="13"/>
  <c r="D180" i="15"/>
  <c r="N66" i="13"/>
  <c r="X32" i="13"/>
  <c r="X64" i="13" s="1"/>
  <c r="X23" i="13"/>
  <c r="W20" i="13"/>
  <c r="W55" i="13" s="1"/>
  <c r="U7" i="13"/>
  <c r="T31" i="13"/>
  <c r="T66" i="13" s="1"/>
  <c r="L19" i="13"/>
  <c r="L54" i="13" s="1"/>
  <c r="R30" i="13"/>
  <c r="P7" i="17" s="1"/>
  <c r="Y29" i="13"/>
  <c r="T20" i="13"/>
  <c r="T55" i="13" s="1"/>
  <c r="V32" i="13"/>
  <c r="L31" i="13"/>
  <c r="L40" i="13" s="1"/>
  <c r="I30" i="13"/>
  <c r="I63" i="13" s="1"/>
  <c r="R22" i="13"/>
  <c r="N29" i="13"/>
  <c r="N41" i="13" s="1"/>
  <c r="S20" i="13"/>
  <c r="S55" i="13" s="1"/>
  <c r="U5" i="13"/>
  <c r="R23" i="13"/>
  <c r="R58" i="13" s="1"/>
  <c r="T34" i="13"/>
  <c r="T39" i="13" s="1"/>
  <c r="X10" i="13"/>
  <c r="X65" i="13" s="1"/>
  <c r="T19" i="13"/>
  <c r="T54" i="13" s="1"/>
  <c r="X24" i="13"/>
  <c r="X59" i="13" s="1"/>
  <c r="V26" i="13"/>
  <c r="Z26" i="13" s="1"/>
  <c r="R31" i="13"/>
  <c r="R66" i="13" s="1"/>
  <c r="W22" i="13"/>
  <c r="W57" i="13" s="1"/>
  <c r="S45" i="13"/>
  <c r="O66" i="13"/>
  <c r="I56" i="13"/>
  <c r="I60" i="13"/>
  <c r="W66" i="13"/>
  <c r="O45" i="13"/>
  <c r="V60" i="13"/>
  <c r="H66" i="13"/>
  <c r="V45" i="13"/>
  <c r="I58" i="13"/>
  <c r="F47" i="13"/>
  <c r="I48" i="13"/>
  <c r="K50" i="13"/>
  <c r="L50" i="13"/>
  <c r="L69" i="13"/>
  <c r="N51" i="13"/>
  <c r="Q48" i="13"/>
  <c r="S48" i="13"/>
  <c r="T50" i="13"/>
  <c r="V39" i="13"/>
  <c r="X47" i="13"/>
  <c r="Y47" i="13"/>
  <c r="K45" i="13"/>
  <c r="W60" i="13"/>
  <c r="T45" i="13"/>
  <c r="O58" i="13"/>
  <c r="Y55" i="13"/>
  <c r="E52" i="13"/>
  <c r="I64" i="13"/>
  <c r="K49" i="13"/>
  <c r="K61" i="13"/>
  <c r="L49" i="13"/>
  <c r="L61" i="13"/>
  <c r="N50" i="13"/>
  <c r="O52" i="13"/>
  <c r="O62" i="13"/>
  <c r="R50" i="13"/>
  <c r="V52" i="13"/>
  <c r="V62" i="13"/>
  <c r="X40" i="13"/>
  <c r="Y39" i="13"/>
  <c r="Y46" i="13"/>
  <c r="N58" i="13"/>
  <c r="X55" i="13"/>
  <c r="Y53" i="13"/>
  <c r="F62" i="13"/>
  <c r="H48" i="13"/>
  <c r="K64" i="13"/>
  <c r="K48" i="13"/>
  <c r="L63" i="13"/>
  <c r="L48" i="13"/>
  <c r="N69" i="13"/>
  <c r="Q47" i="13"/>
  <c r="R49" i="13"/>
  <c r="T48" i="13"/>
  <c r="U62" i="13"/>
  <c r="V67" i="13"/>
  <c r="W39" i="13"/>
  <c r="X62" i="13"/>
  <c r="Y52" i="13"/>
  <c r="Y62" i="13"/>
  <c r="Y40" i="13"/>
  <c r="L58" i="13"/>
  <c r="O55" i="13"/>
  <c r="Y68" i="13"/>
  <c r="O53" i="13"/>
  <c r="E50" i="13"/>
  <c r="N48" i="13"/>
  <c r="O50" i="13"/>
  <c r="R48" i="13"/>
  <c r="V50" i="13"/>
  <c r="V69" i="13"/>
  <c r="W52" i="13"/>
  <c r="W62" i="13"/>
  <c r="O39" i="13"/>
  <c r="K58" i="13"/>
  <c r="N55" i="13"/>
  <c r="W58" i="13"/>
  <c r="V55" i="13"/>
  <c r="F50" i="13"/>
  <c r="I62" i="13"/>
  <c r="K47" i="13"/>
  <c r="L47" i="13"/>
  <c r="Q62" i="13"/>
  <c r="S52" i="13"/>
  <c r="S62" i="13"/>
  <c r="U50" i="13"/>
  <c r="V49" i="13"/>
  <c r="W51" i="13"/>
  <c r="X50" i="13"/>
  <c r="Y50" i="13"/>
  <c r="K60" i="13"/>
  <c r="R60" i="13"/>
  <c r="I41" i="13"/>
  <c r="L55" i="13"/>
  <c r="V58" i="13"/>
  <c r="E48" i="13"/>
  <c r="F49" i="13"/>
  <c r="H39" i="13"/>
  <c r="K39" i="13"/>
  <c r="K46" i="13"/>
  <c r="N47" i="13"/>
  <c r="O48" i="13"/>
  <c r="R64" i="13"/>
  <c r="R47" i="13"/>
  <c r="U49" i="13"/>
  <c r="V48" i="13"/>
  <c r="W50" i="13"/>
  <c r="S65" i="13"/>
  <c r="W69" i="13"/>
  <c r="K55" i="13"/>
  <c r="T58" i="13"/>
  <c r="E42" i="13"/>
  <c r="F48" i="13"/>
  <c r="H52" i="13"/>
  <c r="H62" i="13"/>
  <c r="I50" i="13"/>
  <c r="I70" i="13"/>
  <c r="K52" i="13"/>
  <c r="K62" i="13"/>
  <c r="O42" i="13"/>
  <c r="Q50" i="13"/>
  <c r="R54" i="13"/>
  <c r="S50" i="13"/>
  <c r="S70" i="13"/>
  <c r="T52" i="13"/>
  <c r="T62" i="13"/>
  <c r="U48" i="13"/>
  <c r="X48" i="13"/>
  <c r="Y48" i="13"/>
  <c r="R59" i="13"/>
  <c r="N45" i="13"/>
  <c r="W45" i="13"/>
  <c r="W41" i="13"/>
  <c r="S58" i="13"/>
  <c r="R55" i="13"/>
  <c r="E47" i="13"/>
  <c r="L67" i="13"/>
  <c r="N52" i="13"/>
  <c r="N62" i="13"/>
  <c r="O40" i="13"/>
  <c r="R52" i="13"/>
  <c r="R62" i="13"/>
  <c r="S69" i="13"/>
  <c r="W48" i="13"/>
  <c r="X42" i="13"/>
  <c r="Y57" i="13"/>
  <c r="Y42" i="13"/>
  <c r="I33" i="13"/>
  <c r="I68" i="13" s="1"/>
  <c r="T33" i="13"/>
  <c r="T42" i="13" s="1"/>
  <c r="K33" i="13"/>
  <c r="K68" i="13" s="1"/>
  <c r="V33" i="13"/>
  <c r="Z33" i="13" s="1"/>
  <c r="H33" i="13"/>
  <c r="H42" i="13" s="1"/>
  <c r="F7" i="13"/>
  <c r="L33" i="13"/>
  <c r="L68" i="13" s="1"/>
  <c r="D41" i="18"/>
  <c r="M5" i="17"/>
  <c r="W33" i="13"/>
  <c r="W68" i="13" s="1"/>
  <c r="K41" i="13"/>
  <c r="L56" i="13"/>
  <c r="Y56" i="13"/>
  <c r="W8" i="17"/>
  <c r="W6" i="17"/>
  <c r="K56" i="13"/>
  <c r="I8" i="17"/>
  <c r="X56" i="13"/>
  <c r="V8" i="17"/>
  <c r="W56" i="13"/>
  <c r="U8" i="17"/>
  <c r="O41" i="13"/>
  <c r="M6" i="17"/>
  <c r="R56" i="13"/>
  <c r="P8" i="17"/>
  <c r="V56" i="13"/>
  <c r="T8" i="17"/>
  <c r="M7" i="17"/>
  <c r="T56" i="13"/>
  <c r="R8" i="17"/>
  <c r="T41" i="13"/>
  <c r="O56" i="13"/>
  <c r="M8" i="17"/>
  <c r="S56" i="13"/>
  <c r="Q8" i="17"/>
  <c r="E10" i="13"/>
  <c r="E45" i="13" s="1"/>
  <c r="H21" i="13"/>
  <c r="J21" i="13" s="1"/>
  <c r="N21" i="13"/>
  <c r="P21" i="13" s="1"/>
  <c r="V29" i="13"/>
  <c r="I7" i="13"/>
  <c r="I45" i="13" s="1"/>
  <c r="I20" i="13"/>
  <c r="I55" i="13" s="1"/>
  <c r="F6" i="17"/>
  <c r="L18" i="13"/>
  <c r="M18" i="13" s="1"/>
  <c r="X18" i="13"/>
  <c r="F25" i="13"/>
  <c r="I11" i="13"/>
  <c r="J11" i="13" s="1"/>
  <c r="L25" i="13"/>
  <c r="L60" i="13" s="1"/>
  <c r="N33" i="13"/>
  <c r="P33" i="13" s="1"/>
  <c r="X19" i="13"/>
  <c r="X54" i="13" s="1"/>
  <c r="R10" i="13"/>
  <c r="V31" i="13"/>
  <c r="V40" i="13" s="1"/>
  <c r="U31" i="13"/>
  <c r="S32" i="13"/>
  <c r="Y24" i="13"/>
  <c r="Y59" i="13" s="1"/>
  <c r="Y10" i="13"/>
  <c r="Y45" i="13" s="1"/>
  <c r="U10" i="13"/>
  <c r="S34" i="13"/>
  <c r="S39" i="13" s="1"/>
  <c r="K19" i="13"/>
  <c r="K54" i="13" s="1"/>
  <c r="Y32" i="13"/>
  <c r="L32" i="13"/>
  <c r="X34" i="13"/>
  <c r="X39" i="13" s="1"/>
  <c r="H30" i="13"/>
  <c r="H63" i="13" s="1"/>
  <c r="I18" i="13"/>
  <c r="J18" i="13" s="1"/>
  <c r="H22" i="13"/>
  <c r="J22" i="13" s="1"/>
  <c r="I34" i="13"/>
  <c r="T67" i="13"/>
  <c r="N26" i="13"/>
  <c r="N61" i="13" s="1"/>
  <c r="T35" i="13"/>
  <c r="T73" i="13" s="1"/>
  <c r="T74" i="13" s="1"/>
  <c r="N19" i="13"/>
  <c r="N54" i="13" s="1"/>
  <c r="X9" i="13"/>
  <c r="X63" i="13" s="1"/>
  <c r="R5" i="13"/>
  <c r="R67" i="13" s="1"/>
  <c r="U9" i="13"/>
  <c r="R34" i="13"/>
  <c r="R39" i="13" s="1"/>
  <c r="X57" i="13"/>
  <c r="T49" i="13"/>
  <c r="Y60" i="13"/>
  <c r="F20" i="13"/>
  <c r="S68" i="13"/>
  <c r="V19" i="13"/>
  <c r="V54" i="13" s="1"/>
  <c r="U34" i="13"/>
  <c r="U39" i="13" s="1"/>
  <c r="K31" i="13"/>
  <c r="K40" i="13" s="1"/>
  <c r="F24" i="13"/>
  <c r="F59" i="13" s="1"/>
  <c r="U35" i="13"/>
  <c r="H35" i="13"/>
  <c r="H73" i="13" s="1"/>
  <c r="H9" i="13"/>
  <c r="H26" i="13"/>
  <c r="H61" i="13" s="1"/>
  <c r="F10" i="13"/>
  <c r="H24" i="13"/>
  <c r="H59" i="13" s="1"/>
  <c r="I31" i="13"/>
  <c r="I40" i="13" s="1"/>
  <c r="H10" i="13"/>
  <c r="H41" i="13" s="1"/>
  <c r="H19" i="13"/>
  <c r="H54" i="13" s="1"/>
  <c r="E59" i="13"/>
  <c r="P25" i="13"/>
  <c r="N34" i="13"/>
  <c r="N39" i="13" s="1"/>
  <c r="W53" i="13"/>
  <c r="T61" i="13"/>
  <c r="L34" i="13"/>
  <c r="L39" i="13" s="1"/>
  <c r="F34" i="13"/>
  <c r="F39" i="13" s="1"/>
  <c r="Z30" i="13"/>
  <c r="W46" i="13"/>
  <c r="F30" i="13"/>
  <c r="H55" i="13"/>
  <c r="H50" i="13"/>
  <c r="L45" i="13"/>
  <c r="K57" i="13"/>
  <c r="U47" i="13"/>
  <c r="Y54" i="13"/>
  <c r="W61" i="13"/>
  <c r="R46" i="13"/>
  <c r="N49" i="13"/>
  <c r="W49" i="13"/>
  <c r="I57" i="13"/>
  <c r="R53" i="13"/>
  <c r="O69" i="13"/>
  <c r="N67" i="13"/>
  <c r="W67" i="13"/>
  <c r="S60" i="13"/>
  <c r="X61" i="13"/>
  <c r="H46" i="13"/>
  <c r="S46" i="13"/>
  <c r="O49" i="13"/>
  <c r="X49" i="13"/>
  <c r="O57" i="13"/>
  <c r="H53" i="13"/>
  <c r="S53" i="13"/>
  <c r="Y69" i="13"/>
  <c r="O67" i="13"/>
  <c r="X67" i="13"/>
  <c r="I54" i="13"/>
  <c r="I47" i="13"/>
  <c r="O64" i="13"/>
  <c r="O54" i="13"/>
  <c r="O47" i="13"/>
  <c r="T64" i="13"/>
  <c r="T47" i="13"/>
  <c r="Y61" i="13"/>
  <c r="T46" i="13"/>
  <c r="E49" i="13"/>
  <c r="Q49" i="13"/>
  <c r="Y49" i="13"/>
  <c r="T57" i="13"/>
  <c r="T53" i="13"/>
  <c r="R69" i="13"/>
  <c r="Y67" i="13"/>
  <c r="O68" i="13"/>
  <c r="H40" i="13"/>
  <c r="N57" i="13"/>
  <c r="N40" i="13"/>
  <c r="S57" i="13"/>
  <c r="S40" i="13"/>
  <c r="S42" i="13"/>
  <c r="T60" i="13"/>
  <c r="W40" i="13"/>
  <c r="S54" i="13"/>
  <c r="S47" i="13"/>
  <c r="W64" i="13"/>
  <c r="W47" i="13"/>
  <c r="S61" i="13"/>
  <c r="L46" i="13"/>
  <c r="V46" i="13"/>
  <c r="H49" i="13"/>
  <c r="S49" i="13"/>
  <c r="V53" i="13"/>
  <c r="I69" i="13"/>
  <c r="T69" i="13"/>
  <c r="S67" i="13"/>
  <c r="R68" i="13"/>
  <c r="X60" i="13"/>
  <c r="L57" i="13"/>
  <c r="R42" i="13"/>
  <c r="V57" i="13"/>
  <c r="I61" i="13"/>
  <c r="N46" i="13"/>
  <c r="I49" i="13"/>
  <c r="N53" i="13"/>
  <c r="K69" i="13"/>
  <c r="H67" i="13"/>
  <c r="O60" i="13"/>
  <c r="V47" i="13"/>
  <c r="G16" i="13"/>
  <c r="M14" i="13"/>
  <c r="J27" i="13"/>
  <c r="L51" i="13"/>
  <c r="V51" i="13"/>
  <c r="K63" i="13"/>
  <c r="O51" i="13"/>
  <c r="X51" i="13"/>
  <c r="T65" i="13"/>
  <c r="S59" i="13"/>
  <c r="N63" i="13"/>
  <c r="W63" i="13"/>
  <c r="Q51" i="13"/>
  <c r="Y51" i="13"/>
  <c r="K65" i="13"/>
  <c r="I59" i="13"/>
  <c r="T59" i="13"/>
  <c r="O63" i="13"/>
  <c r="F51" i="13"/>
  <c r="R51" i="13"/>
  <c r="V65" i="13"/>
  <c r="K59" i="13"/>
  <c r="Y63" i="13"/>
  <c r="H51" i="13"/>
  <c r="S51" i="13"/>
  <c r="N65" i="13"/>
  <c r="W65" i="13"/>
  <c r="V59" i="13"/>
  <c r="I51" i="13"/>
  <c r="T51" i="13"/>
  <c r="O65" i="13"/>
  <c r="N59" i="13"/>
  <c r="W59" i="13"/>
  <c r="S63" i="13"/>
  <c r="K51" i="13"/>
  <c r="U51" i="13"/>
  <c r="O59" i="13"/>
  <c r="T63" i="13"/>
  <c r="F18" i="13"/>
  <c r="F52" i="13" s="1"/>
  <c r="U22" i="13"/>
  <c r="E5" i="13"/>
  <c r="E61" i="13" s="1"/>
  <c r="U29" i="13"/>
  <c r="F33" i="13"/>
  <c r="E58" i="13"/>
  <c r="M36" i="18"/>
  <c r="U23" i="13"/>
  <c r="Q34" i="13"/>
  <c r="F11" i="13"/>
  <c r="U25" i="13"/>
  <c r="U60" i="13" s="1"/>
  <c r="U21" i="13"/>
  <c r="U11" i="13"/>
  <c r="R45" i="18"/>
  <c r="Q5" i="13"/>
  <c r="J45" i="18"/>
  <c r="W45" i="18"/>
  <c r="M45" i="18"/>
  <c r="R36" i="18"/>
  <c r="J36" i="18"/>
  <c r="G36" i="18"/>
  <c r="Q25" i="13"/>
  <c r="E9" i="13"/>
  <c r="E63" i="13" s="1"/>
  <c r="E11" i="13"/>
  <c r="E46" i="13" s="1"/>
  <c r="Q7" i="13"/>
  <c r="B36" i="18"/>
  <c r="D33" i="18"/>
  <c r="B45" i="18"/>
  <c r="D34" i="18"/>
  <c r="C45" i="18"/>
  <c r="D42" i="18"/>
  <c r="D43" i="18"/>
  <c r="G45" i="18"/>
  <c r="D40" i="18"/>
  <c r="W36" i="18"/>
  <c r="D31" i="18"/>
  <c r="N36" i="18"/>
  <c r="C28" i="18" s="1"/>
  <c r="D32" i="18"/>
  <c r="C36" i="18"/>
  <c r="N45" i="18"/>
  <c r="E28" i="18" s="1"/>
  <c r="Z11" i="13"/>
  <c r="G15" i="13"/>
  <c r="M7" i="13"/>
  <c r="M29" i="13"/>
  <c r="P30" i="13"/>
  <c r="G27" i="13"/>
  <c r="M22" i="13"/>
  <c r="M8" i="13"/>
  <c r="G17" i="13"/>
  <c r="M11" i="13"/>
  <c r="G13" i="13"/>
  <c r="M5" i="13"/>
  <c r="N60" i="13"/>
  <c r="J28" i="13"/>
  <c r="Z28" i="13"/>
  <c r="P12" i="13"/>
  <c r="J13" i="13"/>
  <c r="Z13" i="13"/>
  <c r="P16" i="13"/>
  <c r="J17" i="13"/>
  <c r="Z17" i="13"/>
  <c r="Z9" i="13"/>
  <c r="P5" i="13"/>
  <c r="Z20" i="13"/>
  <c r="P10" i="13"/>
  <c r="H47" i="13"/>
  <c r="K67" i="13"/>
  <c r="O61" i="13"/>
  <c r="P32" i="13"/>
  <c r="Z34" i="13"/>
  <c r="P27" i="13"/>
  <c r="J12" i="13"/>
  <c r="Z12" i="13"/>
  <c r="P15" i="13"/>
  <c r="J16" i="13"/>
  <c r="Z16" i="13"/>
  <c r="P18" i="13"/>
  <c r="Z21" i="13"/>
  <c r="J5" i="13"/>
  <c r="Z5" i="13"/>
  <c r="P31" i="13"/>
  <c r="P23" i="13"/>
  <c r="E51" i="13"/>
  <c r="Y66" i="13"/>
  <c r="M28" i="13"/>
  <c r="G8" i="13"/>
  <c r="M13" i="13"/>
  <c r="G14" i="13"/>
  <c r="M17" i="13"/>
  <c r="M9" i="13"/>
  <c r="M20" i="13"/>
  <c r="M24" i="13"/>
  <c r="M30" i="13"/>
  <c r="M26" i="13"/>
  <c r="P11" i="13"/>
  <c r="J32" i="13"/>
  <c r="P8" i="13"/>
  <c r="Z27" i="13"/>
  <c r="P14" i="13"/>
  <c r="J15" i="13"/>
  <c r="Z15" i="13"/>
  <c r="P22" i="13"/>
  <c r="Z18" i="13"/>
  <c r="P7" i="13"/>
  <c r="J23" i="13"/>
  <c r="Z23" i="13"/>
  <c r="M12" i="13"/>
  <c r="M16" i="13"/>
  <c r="M21" i="13"/>
  <c r="M10" i="13"/>
  <c r="Z25" i="13"/>
  <c r="P28" i="13"/>
  <c r="J8" i="13"/>
  <c r="Z8" i="13"/>
  <c r="P13" i="13"/>
  <c r="J14" i="13"/>
  <c r="Z14" i="13"/>
  <c r="P17" i="13"/>
  <c r="Z22" i="13"/>
  <c r="P9" i="13"/>
  <c r="P20" i="13"/>
  <c r="Z7" i="13"/>
  <c r="P24" i="13"/>
  <c r="J29" i="13"/>
  <c r="M27" i="13"/>
  <c r="G12" i="13"/>
  <c r="M15" i="13"/>
  <c r="M23" i="13"/>
  <c r="J25" i="13"/>
  <c r="V63" i="13"/>
  <c r="D59" i="11"/>
  <c r="D44" i="11"/>
  <c r="D66" i="11"/>
  <c r="D60" i="11"/>
  <c r="D62" i="11"/>
  <c r="D41" i="11"/>
  <c r="D68" i="11"/>
  <c r="D39" i="11"/>
  <c r="D46" i="11"/>
  <c r="D47" i="11"/>
  <c r="D48" i="11"/>
  <c r="D49" i="11"/>
  <c r="D50" i="11"/>
  <c r="D61" i="11"/>
  <c r="D52" i="11"/>
  <c r="D57" i="11"/>
  <c r="D65" i="11"/>
  <c r="D63" i="11"/>
  <c r="D45" i="11"/>
  <c r="D56" i="11"/>
  <c r="D53" i="11"/>
  <c r="D42" i="11"/>
  <c r="D38" i="11"/>
  <c r="D51" i="11"/>
  <c r="D64" i="11"/>
  <c r="D55" i="11"/>
  <c r="D40" i="11"/>
  <c r="D54" i="11"/>
  <c r="D58" i="11"/>
  <c r="D43" i="11"/>
  <c r="J73" i="13" l="1"/>
  <c r="J74" i="13" s="1"/>
  <c r="H74" i="13"/>
  <c r="Y44" i="13"/>
  <c r="Y73" i="13"/>
  <c r="Y74" i="13" s="1"/>
  <c r="X44" i="13"/>
  <c r="X73" i="13"/>
  <c r="X74" i="13" s="1"/>
  <c r="V44" i="13"/>
  <c r="V73" i="13"/>
  <c r="V74" i="13" s="1"/>
  <c r="U44" i="13"/>
  <c r="U73" i="13"/>
  <c r="U74" i="13" s="1"/>
  <c r="N44" i="13"/>
  <c r="N73" i="13"/>
  <c r="I4" i="17"/>
  <c r="K73" i="13"/>
  <c r="X70" i="13"/>
  <c r="C24" i="18"/>
  <c r="F6" i="13"/>
  <c r="E35" i="13"/>
  <c r="E6" i="13"/>
  <c r="O70" i="13"/>
  <c r="P70" i="13" s="1"/>
  <c r="O44" i="13"/>
  <c r="K70" i="13"/>
  <c r="K44" i="13"/>
  <c r="U4" i="17"/>
  <c r="W44" i="13"/>
  <c r="H70" i="13"/>
  <c r="J70" i="13" s="1"/>
  <c r="H44" i="13"/>
  <c r="J44" i="13" s="1"/>
  <c r="T70" i="13"/>
  <c r="T44" i="13"/>
  <c r="R70" i="13"/>
  <c r="R44" i="13"/>
  <c r="L70" i="13"/>
  <c r="L44" i="13"/>
  <c r="V70" i="13"/>
  <c r="P35" i="13"/>
  <c r="J24" i="18"/>
  <c r="I65" i="13"/>
  <c r="W70" i="13"/>
  <c r="B24" i="18"/>
  <c r="M4" i="17"/>
  <c r="U40" i="13"/>
  <c r="Z35" i="13"/>
  <c r="D23" i="18"/>
  <c r="W24" i="18"/>
  <c r="Y70" i="13"/>
  <c r="M24" i="18"/>
  <c r="N24" i="18"/>
  <c r="E4" i="18" s="1"/>
  <c r="M35" i="13"/>
  <c r="W42" i="13"/>
  <c r="R65" i="13"/>
  <c r="X68" i="13"/>
  <c r="K42" i="13"/>
  <c r="I67" i="13"/>
  <c r="J67" i="13" s="1"/>
  <c r="I46" i="13"/>
  <c r="N42" i="13"/>
  <c r="P42" i="13" s="1"/>
  <c r="X45" i="13"/>
  <c r="N64" i="13"/>
  <c r="P64" i="13" s="1"/>
  <c r="L66" i="13"/>
  <c r="U67" i="13"/>
  <c r="G4" i="17"/>
  <c r="J4" i="17"/>
  <c r="Q67" i="13"/>
  <c r="U5" i="17"/>
  <c r="R45" i="13"/>
  <c r="R5" i="17"/>
  <c r="F45" i="13"/>
  <c r="G45" i="13" s="1"/>
  <c r="H45" i="13"/>
  <c r="J45" i="13" s="1"/>
  <c r="V66" i="13"/>
  <c r="Z66" i="13" s="1"/>
  <c r="U45" i="13"/>
  <c r="Q4" i="17"/>
  <c r="V64" i="13"/>
  <c r="L41" i="13"/>
  <c r="M41" i="13" s="1"/>
  <c r="K66" i="13"/>
  <c r="S41" i="13"/>
  <c r="R40" i="13"/>
  <c r="Q39" i="13"/>
  <c r="U57" i="13"/>
  <c r="L42" i="13"/>
  <c r="X41" i="13"/>
  <c r="H64" i="13"/>
  <c r="J64" i="13" s="1"/>
  <c r="I42" i="13"/>
  <c r="J42" i="13" s="1"/>
  <c r="F55" i="13"/>
  <c r="V42" i="13"/>
  <c r="Z42" i="13" s="1"/>
  <c r="X58" i="13"/>
  <c r="L52" i="13"/>
  <c r="M52" i="13" s="1"/>
  <c r="X46" i="13"/>
  <c r="H60" i="13"/>
  <c r="J60" i="13" s="1"/>
  <c r="U70" i="13"/>
  <c r="X53" i="13"/>
  <c r="I52" i="13"/>
  <c r="J52" i="13" s="1"/>
  <c r="Y41" i="13"/>
  <c r="X66" i="13"/>
  <c r="L59" i="13"/>
  <c r="M59" i="13" s="1"/>
  <c r="L65" i="13"/>
  <c r="M65" i="13" s="1"/>
  <c r="H68" i="13"/>
  <c r="J68" i="13" s="1"/>
  <c r="X52" i="13"/>
  <c r="H58" i="13"/>
  <c r="J58" i="13" s="1"/>
  <c r="F42" i="13"/>
  <c r="G42" i="13" s="1"/>
  <c r="W54" i="13"/>
  <c r="I39" i="13"/>
  <c r="J39" i="13" s="1"/>
  <c r="S66" i="13"/>
  <c r="K53" i="13"/>
  <c r="R61" i="13"/>
  <c r="F46" i="13"/>
  <c r="G46" i="13" s="1"/>
  <c r="R41" i="13"/>
  <c r="Y58" i="13"/>
  <c r="Z58" i="13" s="1"/>
  <c r="U46" i="13"/>
  <c r="R57" i="13"/>
  <c r="U61" i="13"/>
  <c r="R63" i="13"/>
  <c r="P46" i="13"/>
  <c r="E66" i="13"/>
  <c r="E40" i="13"/>
  <c r="E67" i="13"/>
  <c r="E65" i="13"/>
  <c r="E68" i="13"/>
  <c r="T7" i="17"/>
  <c r="P53" i="13"/>
  <c r="M62" i="13"/>
  <c r="F5" i="13"/>
  <c r="F67" i="13" s="1"/>
  <c r="Q11" i="13"/>
  <c r="Q46" i="13" s="1"/>
  <c r="F9" i="13"/>
  <c r="G9" i="13" s="1"/>
  <c r="F29" i="13"/>
  <c r="P66" i="13"/>
  <c r="V68" i="13"/>
  <c r="Z68" i="13" s="1"/>
  <c r="P45" i="13"/>
  <c r="P29" i="13"/>
  <c r="Z55" i="13"/>
  <c r="I7" i="17"/>
  <c r="J50" i="13"/>
  <c r="V61" i="13"/>
  <c r="Z61" i="13" s="1"/>
  <c r="W4" i="17"/>
  <c r="T4" i="17"/>
  <c r="R6" i="17"/>
  <c r="I66" i="13"/>
  <c r="J66" i="13" s="1"/>
  <c r="P69" i="13"/>
  <c r="P6" i="17"/>
  <c r="U7" i="17"/>
  <c r="J6" i="17"/>
  <c r="V6" i="17"/>
  <c r="I6" i="17"/>
  <c r="L7" i="17"/>
  <c r="R7" i="17"/>
  <c r="Q6" i="17"/>
  <c r="Z57" i="13"/>
  <c r="J41" i="13"/>
  <c r="G49" i="13"/>
  <c r="G47" i="13"/>
  <c r="M45" i="13"/>
  <c r="J48" i="13"/>
  <c r="Z46" i="13"/>
  <c r="M47" i="13"/>
  <c r="M48" i="13"/>
  <c r="M50" i="13"/>
  <c r="Z49" i="13"/>
  <c r="M61" i="13"/>
  <c r="P58" i="13"/>
  <c r="Z69" i="13"/>
  <c r="M58" i="13"/>
  <c r="M19" i="13"/>
  <c r="Z29" i="13"/>
  <c r="M39" i="13"/>
  <c r="M33" i="13"/>
  <c r="M67" i="13"/>
  <c r="Z48" i="13"/>
  <c r="P62" i="13"/>
  <c r="P55" i="13"/>
  <c r="Z40" i="13"/>
  <c r="P48" i="13"/>
  <c r="P52" i="13"/>
  <c r="G52" i="13"/>
  <c r="M69" i="13"/>
  <c r="M46" i="13"/>
  <c r="P39" i="13"/>
  <c r="P50" i="13"/>
  <c r="Z52" i="13"/>
  <c r="Z45" i="13"/>
  <c r="J20" i="13"/>
  <c r="Z53" i="13"/>
  <c r="Z62" i="13"/>
  <c r="Z60" i="13"/>
  <c r="Z39" i="13"/>
  <c r="Z47" i="13"/>
  <c r="M55" i="13"/>
  <c r="J33" i="13"/>
  <c r="P51" i="13"/>
  <c r="P40" i="13"/>
  <c r="M56" i="13"/>
  <c r="G50" i="13"/>
  <c r="M54" i="13"/>
  <c r="P47" i="13"/>
  <c r="J55" i="13"/>
  <c r="J62" i="13"/>
  <c r="Z50" i="13"/>
  <c r="M49" i="13"/>
  <c r="G48" i="13"/>
  <c r="Z67" i="13"/>
  <c r="L6" i="17"/>
  <c r="N6" i="17" s="1"/>
  <c r="T40" i="13"/>
  <c r="T68" i="13"/>
  <c r="E64" i="13"/>
  <c r="M60" i="13"/>
  <c r="U20" i="13"/>
  <c r="U55" i="13" s="1"/>
  <c r="U30" i="13"/>
  <c r="U63" i="13" s="1"/>
  <c r="G8" i="17"/>
  <c r="J7" i="13"/>
  <c r="M63" i="13"/>
  <c r="E54" i="13"/>
  <c r="U32" i="13"/>
  <c r="U64" i="13" s="1"/>
  <c r="F23" i="13"/>
  <c r="F58" i="13" s="1"/>
  <c r="G58" i="13" s="1"/>
  <c r="P41" i="13"/>
  <c r="U6" i="17"/>
  <c r="G6" i="17"/>
  <c r="Z56" i="13"/>
  <c r="M25" i="13"/>
  <c r="L53" i="13"/>
  <c r="I5" i="17"/>
  <c r="Q5" i="17"/>
  <c r="O8" i="17"/>
  <c r="J5" i="17"/>
  <c r="H65" i="13"/>
  <c r="J65" i="13" s="1"/>
  <c r="F5" i="17"/>
  <c r="U18" i="13"/>
  <c r="L4" i="17"/>
  <c r="G7" i="17"/>
  <c r="G5" i="17"/>
  <c r="T5" i="17"/>
  <c r="J8" i="17"/>
  <c r="P63" i="13"/>
  <c r="G7" i="13"/>
  <c r="N68" i="13"/>
  <c r="P68" i="13" s="1"/>
  <c r="V41" i="13"/>
  <c r="T6" i="17"/>
  <c r="N56" i="13"/>
  <c r="P56" i="13" s="1"/>
  <c r="L8" i="17"/>
  <c r="L5" i="17"/>
  <c r="E55" i="13"/>
  <c r="J26" i="13"/>
  <c r="H69" i="13"/>
  <c r="J69" i="13" s="1"/>
  <c r="F4" i="17"/>
  <c r="E53" i="13"/>
  <c r="H56" i="13"/>
  <c r="J56" i="13" s="1"/>
  <c r="F8" i="17"/>
  <c r="V5" i="17"/>
  <c r="F7" i="17"/>
  <c r="U56" i="13"/>
  <c r="S8" i="17"/>
  <c r="P26" i="13"/>
  <c r="Q18" i="13"/>
  <c r="X69" i="13"/>
  <c r="V4" i="17"/>
  <c r="L64" i="13"/>
  <c r="M64" i="13" s="1"/>
  <c r="J7" i="17"/>
  <c r="S64" i="13"/>
  <c r="Q7" i="17"/>
  <c r="V7" i="17"/>
  <c r="Q33" i="13"/>
  <c r="E69" i="13"/>
  <c r="U69" i="13"/>
  <c r="P4" i="17"/>
  <c r="F21" i="13"/>
  <c r="C8" i="17"/>
  <c r="E56" i="13"/>
  <c r="Y64" i="13"/>
  <c r="W7" i="17"/>
  <c r="Y65" i="13"/>
  <c r="Z65" i="13" s="1"/>
  <c r="W5" i="17"/>
  <c r="P5" i="17"/>
  <c r="R4" i="17"/>
  <c r="P54" i="13"/>
  <c r="F19" i="13"/>
  <c r="F54" i="13" s="1"/>
  <c r="Z10" i="13"/>
  <c r="Z31" i="13"/>
  <c r="J34" i="13"/>
  <c r="I53" i="13"/>
  <c r="J53" i="13" s="1"/>
  <c r="Z24" i="13"/>
  <c r="M32" i="13"/>
  <c r="Z32" i="13"/>
  <c r="J30" i="13"/>
  <c r="U19" i="13"/>
  <c r="U54" i="13" s="1"/>
  <c r="E39" i="13"/>
  <c r="G39" i="13" s="1"/>
  <c r="J9" i="13"/>
  <c r="H57" i="13"/>
  <c r="J57" i="13" s="1"/>
  <c r="J35" i="13"/>
  <c r="P19" i="13"/>
  <c r="J19" i="13"/>
  <c r="J24" i="13"/>
  <c r="C134" i="18"/>
  <c r="Q24" i="13"/>
  <c r="Q59" i="13" s="1"/>
  <c r="E134" i="18"/>
  <c r="M31" i="13"/>
  <c r="J10" i="13"/>
  <c r="P57" i="13"/>
  <c r="P67" i="13"/>
  <c r="G30" i="13"/>
  <c r="J31" i="13"/>
  <c r="Z19" i="13"/>
  <c r="F31" i="13"/>
  <c r="J40" i="13"/>
  <c r="P34" i="13"/>
  <c r="P65" i="13"/>
  <c r="G24" i="13"/>
  <c r="F22" i="13"/>
  <c r="F57" i="13" s="1"/>
  <c r="F35" i="13"/>
  <c r="Z54" i="13"/>
  <c r="U33" i="13"/>
  <c r="U24" i="13"/>
  <c r="U59" i="13" s="1"/>
  <c r="P60" i="13"/>
  <c r="J54" i="13"/>
  <c r="Q22" i="13"/>
  <c r="Q35" i="13"/>
  <c r="Q73" i="13" s="1"/>
  <c r="Q74" i="13" s="1"/>
  <c r="Q30" i="13"/>
  <c r="Q63" i="13" s="1"/>
  <c r="Q9" i="13"/>
  <c r="F26" i="13"/>
  <c r="F60" i="13" s="1"/>
  <c r="Q32" i="13"/>
  <c r="Q26" i="13"/>
  <c r="Q61" i="13" s="1"/>
  <c r="Q23" i="13"/>
  <c r="Q19" i="13"/>
  <c r="Q54" i="13" s="1"/>
  <c r="Q20" i="13"/>
  <c r="Q55" i="13" s="1"/>
  <c r="Q31" i="13"/>
  <c r="Q40" i="13" s="1"/>
  <c r="Q29" i="13"/>
  <c r="Q10" i="13"/>
  <c r="Q45" i="13" s="1"/>
  <c r="J61" i="13"/>
  <c r="M34" i="13"/>
  <c r="Z59" i="13"/>
  <c r="M57" i="13"/>
  <c r="J47" i="13"/>
  <c r="P49" i="13"/>
  <c r="Z51" i="13"/>
  <c r="J49" i="13"/>
  <c r="Z63" i="13"/>
  <c r="G59" i="13"/>
  <c r="M40" i="13"/>
  <c r="M68" i="13"/>
  <c r="P61" i="13"/>
  <c r="M51" i="13"/>
  <c r="J46" i="13"/>
  <c r="F32" i="13"/>
  <c r="J59" i="13"/>
  <c r="J51" i="13"/>
  <c r="G51" i="13"/>
  <c r="P59" i="13"/>
  <c r="J63" i="13"/>
  <c r="D36" i="18"/>
  <c r="D45" i="18"/>
  <c r="E193" i="15"/>
  <c r="C193" i="15"/>
  <c r="C172" i="15"/>
  <c r="E172" i="15"/>
  <c r="E151" i="15"/>
  <c r="C151" i="15"/>
  <c r="M73" i="13" l="1"/>
  <c r="M74" i="13" s="1"/>
  <c r="K74" i="13"/>
  <c r="P73" i="13"/>
  <c r="P74" i="13" s="1"/>
  <c r="N74" i="13"/>
  <c r="F73" i="13"/>
  <c r="F74" i="13" s="1"/>
  <c r="D24" i="18"/>
  <c r="Z73" i="13"/>
  <c r="Z74" i="13" s="1"/>
  <c r="Z44" i="13"/>
  <c r="P44" i="13"/>
  <c r="E70" i="13"/>
  <c r="E73" i="13"/>
  <c r="M70" i="13"/>
  <c r="G6" i="13"/>
  <c r="E44" i="13"/>
  <c r="F70" i="13"/>
  <c r="F44" i="13"/>
  <c r="M44" i="13"/>
  <c r="Q70" i="13"/>
  <c r="Q44" i="13"/>
  <c r="Z70" i="13"/>
  <c r="N4" i="17"/>
  <c r="M53" i="13"/>
  <c r="M42" i="13"/>
  <c r="Z64" i="13"/>
  <c r="M66" i="13"/>
  <c r="U65" i="13"/>
  <c r="F40" i="13"/>
  <c r="G40" i="13" s="1"/>
  <c r="Z41" i="13"/>
  <c r="F66" i="13"/>
  <c r="G66" i="13" s="1"/>
  <c r="U41" i="13"/>
  <c r="F68" i="13"/>
  <c r="G68" i="13" s="1"/>
  <c r="F41" i="13"/>
  <c r="Q58" i="13"/>
  <c r="Q68" i="13"/>
  <c r="Q42" i="13"/>
  <c r="Q53" i="13"/>
  <c r="Q52" i="13"/>
  <c r="Q66" i="13"/>
  <c r="F65" i="13"/>
  <c r="G65" i="13" s="1"/>
  <c r="U53" i="13"/>
  <c r="U52" i="13"/>
  <c r="F53" i="13"/>
  <c r="G53" i="13" s="1"/>
  <c r="U68" i="13"/>
  <c r="U42" i="13"/>
  <c r="U66" i="13"/>
  <c r="Q57" i="13"/>
  <c r="Q56" i="13"/>
  <c r="G55" i="13"/>
  <c r="F63" i="13"/>
  <c r="G63" i="13" s="1"/>
  <c r="Q60" i="13"/>
  <c r="U58" i="13"/>
  <c r="G10" i="13"/>
  <c r="G67" i="13"/>
  <c r="E62" i="13"/>
  <c r="G62" i="13" s="1"/>
  <c r="G28" i="13"/>
  <c r="G5" i="13"/>
  <c r="F69" i="13"/>
  <c r="G69" i="13" s="1"/>
  <c r="G11" i="13"/>
  <c r="C4" i="17"/>
  <c r="S4" i="17"/>
  <c r="D7" i="17"/>
  <c r="D4" i="17"/>
  <c r="D6" i="17"/>
  <c r="G33" i="13"/>
  <c r="G54" i="13"/>
  <c r="G23" i="13"/>
  <c r="S7" i="17"/>
  <c r="G18" i="13"/>
  <c r="D5" i="17"/>
  <c r="Q64" i="13"/>
  <c r="O7" i="17"/>
  <c r="C7" i="17"/>
  <c r="S6" i="17"/>
  <c r="C6" i="17"/>
  <c r="Q65" i="13"/>
  <c r="O5" i="17"/>
  <c r="Q41" i="13"/>
  <c r="O6" i="17"/>
  <c r="G25" i="13"/>
  <c r="E60" i="13"/>
  <c r="G60" i="13" s="1"/>
  <c r="C5" i="17"/>
  <c r="S5" i="17"/>
  <c r="Q69" i="13"/>
  <c r="O4" i="17"/>
  <c r="G20" i="13"/>
  <c r="F56" i="13"/>
  <c r="G56" i="13" s="1"/>
  <c r="D8" i="17"/>
  <c r="G21" i="13"/>
  <c r="G19" i="13"/>
  <c r="G34" i="13"/>
  <c r="G31" i="13"/>
  <c r="G35" i="13"/>
  <c r="F61" i="13"/>
  <c r="G61" i="13" s="1"/>
  <c r="G26" i="13"/>
  <c r="E41" i="13"/>
  <c r="G29" i="13"/>
  <c r="F64" i="13"/>
  <c r="G64" i="13" s="1"/>
  <c r="G32" i="13"/>
  <c r="E57" i="13"/>
  <c r="G57" i="13" s="1"/>
  <c r="G22" i="13"/>
  <c r="C130" i="15"/>
  <c r="E130" i="15"/>
  <c r="E109" i="15"/>
  <c r="C109" i="15"/>
  <c r="B70" i="15"/>
  <c r="C70" i="15"/>
  <c r="B71" i="15"/>
  <c r="C71" i="15"/>
  <c r="B72" i="15"/>
  <c r="C72" i="15"/>
  <c r="B73" i="15"/>
  <c r="C73" i="15"/>
  <c r="V75" i="15"/>
  <c r="U75" i="15"/>
  <c r="T75" i="15"/>
  <c r="S75" i="15"/>
  <c r="Q75" i="15"/>
  <c r="P75" i="15"/>
  <c r="O75" i="15"/>
  <c r="L75" i="15"/>
  <c r="K75" i="15"/>
  <c r="I75" i="15"/>
  <c r="H75" i="15"/>
  <c r="F75" i="15"/>
  <c r="E75" i="15"/>
  <c r="W73" i="15"/>
  <c r="R73" i="15"/>
  <c r="N73" i="15"/>
  <c r="M73" i="15"/>
  <c r="J73" i="15"/>
  <c r="G73" i="15"/>
  <c r="W72" i="15"/>
  <c r="R72" i="15"/>
  <c r="N72" i="15"/>
  <c r="M72" i="15"/>
  <c r="J72" i="15"/>
  <c r="G72" i="15"/>
  <c r="W71" i="15"/>
  <c r="R71" i="15"/>
  <c r="N71" i="15"/>
  <c r="M71" i="15"/>
  <c r="J71" i="15"/>
  <c r="G71" i="15"/>
  <c r="W70" i="15"/>
  <c r="R70" i="15"/>
  <c r="N70" i="15"/>
  <c r="M70" i="15"/>
  <c r="J70" i="15"/>
  <c r="G70" i="15"/>
  <c r="W59" i="15"/>
  <c r="V63" i="15"/>
  <c r="U63" i="15"/>
  <c r="T63" i="15"/>
  <c r="S63" i="15"/>
  <c r="Q63" i="15"/>
  <c r="P63" i="15"/>
  <c r="O63" i="15"/>
  <c r="L63" i="15"/>
  <c r="K63" i="15"/>
  <c r="I63" i="15"/>
  <c r="H63" i="15"/>
  <c r="F63" i="15"/>
  <c r="E63" i="15"/>
  <c r="W62" i="15"/>
  <c r="W61" i="15"/>
  <c r="R61" i="15"/>
  <c r="N61" i="15"/>
  <c r="M61" i="15"/>
  <c r="J61" i="15"/>
  <c r="G61" i="15"/>
  <c r="C61" i="15"/>
  <c r="B61" i="15"/>
  <c r="W60" i="15"/>
  <c r="R60" i="15"/>
  <c r="N60" i="15"/>
  <c r="M60" i="15"/>
  <c r="J60" i="15"/>
  <c r="G60" i="15"/>
  <c r="C60" i="15"/>
  <c r="B60" i="15"/>
  <c r="R59" i="15"/>
  <c r="N59" i="15"/>
  <c r="M59" i="15"/>
  <c r="J59" i="15"/>
  <c r="G59" i="15"/>
  <c r="C59" i="15"/>
  <c r="B59" i="15"/>
  <c r="W58" i="15"/>
  <c r="R58" i="15"/>
  <c r="N58" i="15"/>
  <c r="M58" i="15"/>
  <c r="J58" i="15"/>
  <c r="G58" i="15"/>
  <c r="C58" i="15"/>
  <c r="B58" i="15"/>
  <c r="V54" i="15"/>
  <c r="U54" i="15"/>
  <c r="T54" i="15"/>
  <c r="S54" i="15"/>
  <c r="Q54" i="15"/>
  <c r="P54" i="15"/>
  <c r="O54" i="15"/>
  <c r="L54" i="15"/>
  <c r="K54" i="15"/>
  <c r="I54" i="15"/>
  <c r="H54" i="15"/>
  <c r="F54" i="15"/>
  <c r="E54" i="15"/>
  <c r="W52" i="15"/>
  <c r="R52" i="15"/>
  <c r="N52" i="15"/>
  <c r="M52" i="15"/>
  <c r="J52" i="15"/>
  <c r="G52" i="15"/>
  <c r="C52" i="15"/>
  <c r="B52" i="15"/>
  <c r="W51" i="15"/>
  <c r="R51" i="15"/>
  <c r="N51" i="15"/>
  <c r="M51" i="15"/>
  <c r="J51" i="15"/>
  <c r="G51" i="15"/>
  <c r="C51" i="15"/>
  <c r="B51" i="15"/>
  <c r="W50" i="15"/>
  <c r="R50" i="15"/>
  <c r="N50" i="15"/>
  <c r="M50" i="15"/>
  <c r="J50" i="15"/>
  <c r="G50" i="15"/>
  <c r="C50" i="15"/>
  <c r="B50" i="15"/>
  <c r="W49" i="15"/>
  <c r="R49" i="15"/>
  <c r="N49" i="15"/>
  <c r="M49" i="15"/>
  <c r="J49" i="15"/>
  <c r="G49" i="15"/>
  <c r="C49" i="15"/>
  <c r="B49" i="15"/>
  <c r="E74" i="13" l="1"/>
  <c r="G73" i="13"/>
  <c r="G74" i="13" s="1"/>
  <c r="G70" i="13"/>
  <c r="G44" i="13"/>
  <c r="G41" i="13"/>
  <c r="M75" i="15"/>
  <c r="G75" i="15"/>
  <c r="J63" i="15"/>
  <c r="M54" i="15"/>
  <c r="R63" i="15"/>
  <c r="G63" i="15"/>
  <c r="D71" i="15"/>
  <c r="E88" i="15"/>
  <c r="C88" i="15"/>
  <c r="E67" i="15"/>
  <c r="D73" i="15"/>
  <c r="D72" i="15"/>
  <c r="R75" i="15"/>
  <c r="B75" i="15"/>
  <c r="W75" i="15"/>
  <c r="J75" i="15"/>
  <c r="C75" i="15"/>
  <c r="N75" i="15"/>
  <c r="C67" i="15" s="1"/>
  <c r="D70" i="15"/>
  <c r="D60" i="15"/>
  <c r="W63" i="15"/>
  <c r="C63" i="15"/>
  <c r="M63" i="15"/>
  <c r="D52" i="15"/>
  <c r="G54" i="15"/>
  <c r="J54" i="15"/>
  <c r="D51" i="15"/>
  <c r="R54" i="15"/>
  <c r="D50" i="15"/>
  <c r="C54" i="15"/>
  <c r="B54" i="15"/>
  <c r="W54" i="15"/>
  <c r="N54" i="15"/>
  <c r="C46" i="15" s="1"/>
  <c r="D59" i="15"/>
  <c r="D58" i="15"/>
  <c r="D61" i="15"/>
  <c r="N63" i="15"/>
  <c r="E46" i="15" s="1"/>
  <c r="B63" i="15"/>
  <c r="D63" i="15" s="1"/>
  <c r="D49" i="15"/>
  <c r="Q25" i="11"/>
  <c r="U25" i="11"/>
  <c r="W32" i="15"/>
  <c r="B28" i="15"/>
  <c r="C28" i="15"/>
  <c r="B29" i="15"/>
  <c r="C29" i="15"/>
  <c r="B30" i="15"/>
  <c r="C30" i="15"/>
  <c r="B31" i="15"/>
  <c r="C31" i="15"/>
  <c r="V42" i="15"/>
  <c r="U42" i="15"/>
  <c r="T42" i="15"/>
  <c r="S42" i="15"/>
  <c r="Q42" i="15"/>
  <c r="P42" i="15"/>
  <c r="O42" i="15"/>
  <c r="L42" i="15"/>
  <c r="K42" i="15"/>
  <c r="I42" i="15"/>
  <c r="H42" i="15"/>
  <c r="F42" i="15"/>
  <c r="E42" i="15"/>
  <c r="W41" i="15"/>
  <c r="W40" i="15"/>
  <c r="R40" i="15"/>
  <c r="U21" i="11" s="1"/>
  <c r="N40" i="15"/>
  <c r="M40" i="15"/>
  <c r="J40" i="15"/>
  <c r="G40" i="15"/>
  <c r="C40" i="15"/>
  <c r="F21" i="11" s="1"/>
  <c r="B40" i="15"/>
  <c r="E21" i="11" s="1"/>
  <c r="W39" i="15"/>
  <c r="R39" i="15"/>
  <c r="U18" i="11" s="1"/>
  <c r="N39" i="15"/>
  <c r="M39" i="15"/>
  <c r="J39" i="15"/>
  <c r="G39" i="15"/>
  <c r="C39" i="15"/>
  <c r="B39" i="15"/>
  <c r="W38" i="15"/>
  <c r="R38" i="15"/>
  <c r="U11" i="11" s="1"/>
  <c r="N38" i="15"/>
  <c r="Q11" i="11" s="1"/>
  <c r="M38" i="15"/>
  <c r="J38" i="15"/>
  <c r="G38" i="15"/>
  <c r="C38" i="15"/>
  <c r="F11" i="11" s="1"/>
  <c r="B38" i="15"/>
  <c r="W37" i="15"/>
  <c r="R37" i="15"/>
  <c r="U34" i="11" s="1"/>
  <c r="N37" i="15"/>
  <c r="M37" i="15"/>
  <c r="J37" i="15"/>
  <c r="G37" i="15"/>
  <c r="C37" i="15"/>
  <c r="C42" i="15" s="1"/>
  <c r="B37" i="15"/>
  <c r="V33" i="15"/>
  <c r="U33" i="15"/>
  <c r="T33" i="15"/>
  <c r="S33" i="15"/>
  <c r="Q33" i="15"/>
  <c r="P33" i="15"/>
  <c r="O33" i="15"/>
  <c r="L33" i="15"/>
  <c r="K33" i="15"/>
  <c r="I33" i="15"/>
  <c r="H33" i="15"/>
  <c r="F33" i="15"/>
  <c r="E33" i="15"/>
  <c r="W31" i="15"/>
  <c r="N31" i="15"/>
  <c r="M31" i="15"/>
  <c r="J31" i="15"/>
  <c r="G31" i="15"/>
  <c r="W30" i="15"/>
  <c r="N30" i="15"/>
  <c r="Q20" i="11" s="1"/>
  <c r="M30" i="15"/>
  <c r="J30" i="15"/>
  <c r="G30" i="15"/>
  <c r="W29" i="15"/>
  <c r="N29" i="15"/>
  <c r="M29" i="15"/>
  <c r="J29" i="15"/>
  <c r="G29" i="15"/>
  <c r="W28" i="15"/>
  <c r="N28" i="15"/>
  <c r="M28" i="15"/>
  <c r="J28" i="15"/>
  <c r="G28" i="15"/>
  <c r="M7" i="15"/>
  <c r="J7" i="15"/>
  <c r="J8" i="15"/>
  <c r="J9" i="15"/>
  <c r="J10" i="15"/>
  <c r="G8" i="15"/>
  <c r="G9" i="15"/>
  <c r="G10" i="15"/>
  <c r="G7" i="15"/>
  <c r="V21" i="15"/>
  <c r="U21" i="15"/>
  <c r="T21" i="15"/>
  <c r="S21" i="15"/>
  <c r="Q21" i="15"/>
  <c r="P21" i="15"/>
  <c r="O21" i="15"/>
  <c r="L21" i="15"/>
  <c r="K21" i="15"/>
  <c r="M21" i="15" s="1"/>
  <c r="I21" i="15"/>
  <c r="H21" i="15"/>
  <c r="F21" i="15"/>
  <c r="E21" i="15"/>
  <c r="P12" i="15"/>
  <c r="Q12" i="15"/>
  <c r="S12" i="15"/>
  <c r="T12" i="15"/>
  <c r="U12" i="15"/>
  <c r="V12" i="15"/>
  <c r="O12" i="15"/>
  <c r="L12" i="15"/>
  <c r="K12" i="15"/>
  <c r="I12" i="15"/>
  <c r="H12" i="15"/>
  <c r="F12" i="15"/>
  <c r="E12" i="15"/>
  <c r="F28" i="11"/>
  <c r="H21" i="11"/>
  <c r="I21" i="11"/>
  <c r="K21" i="11"/>
  <c r="L21" i="11"/>
  <c r="N21" i="11"/>
  <c r="O21" i="11"/>
  <c r="Q21" i="11"/>
  <c r="R21" i="11"/>
  <c r="S21" i="11"/>
  <c r="T21" i="11"/>
  <c r="V21" i="11"/>
  <c r="W21" i="11"/>
  <c r="X21" i="11"/>
  <c r="Y21" i="11"/>
  <c r="H11" i="11"/>
  <c r="I11" i="11"/>
  <c r="K11" i="11"/>
  <c r="L11" i="11"/>
  <c r="N11" i="11"/>
  <c r="O11" i="11"/>
  <c r="R11" i="11"/>
  <c r="S11" i="11"/>
  <c r="T11" i="11"/>
  <c r="V11" i="11"/>
  <c r="W11" i="11"/>
  <c r="X11" i="11"/>
  <c r="Y11" i="11"/>
  <c r="E34" i="11"/>
  <c r="H34" i="11"/>
  <c r="I34" i="11"/>
  <c r="K34" i="11"/>
  <c r="L34" i="11"/>
  <c r="N34" i="11"/>
  <c r="O34" i="11"/>
  <c r="Q34" i="11"/>
  <c r="R34" i="11"/>
  <c r="S34" i="11"/>
  <c r="T34" i="11"/>
  <c r="V34" i="11"/>
  <c r="W34" i="11"/>
  <c r="X34" i="11"/>
  <c r="Y34" i="11"/>
  <c r="E28" i="11"/>
  <c r="H28" i="11"/>
  <c r="I28" i="11"/>
  <c r="K28" i="11"/>
  <c r="L28" i="11"/>
  <c r="N28" i="11"/>
  <c r="O28" i="11"/>
  <c r="R28" i="11"/>
  <c r="S28" i="11"/>
  <c r="T28" i="11"/>
  <c r="V28" i="11"/>
  <c r="W28" i="11"/>
  <c r="X28" i="11"/>
  <c r="Y28" i="11"/>
  <c r="E5" i="11"/>
  <c r="F5" i="11"/>
  <c r="H5" i="11"/>
  <c r="I5" i="11"/>
  <c r="K5" i="11"/>
  <c r="L5" i="11"/>
  <c r="N5" i="11"/>
  <c r="O5" i="11"/>
  <c r="R5" i="11"/>
  <c r="S5" i="11"/>
  <c r="T5" i="11"/>
  <c r="V5" i="11"/>
  <c r="W5" i="11"/>
  <c r="X5" i="11"/>
  <c r="Y5" i="11"/>
  <c r="E4" i="11"/>
  <c r="F4" i="11"/>
  <c r="H4" i="11"/>
  <c r="I4" i="11"/>
  <c r="K4" i="11"/>
  <c r="L4" i="11"/>
  <c r="N4" i="11"/>
  <c r="O4" i="11"/>
  <c r="R4" i="11"/>
  <c r="S4" i="11"/>
  <c r="T4" i="11"/>
  <c r="V4" i="11"/>
  <c r="W4" i="11"/>
  <c r="X4" i="11"/>
  <c r="Y4" i="11"/>
  <c r="E27" i="11"/>
  <c r="H27" i="11"/>
  <c r="I27" i="11"/>
  <c r="K27" i="11"/>
  <c r="L27" i="11"/>
  <c r="N27" i="11"/>
  <c r="O27" i="11"/>
  <c r="R27" i="11"/>
  <c r="S27" i="11"/>
  <c r="T27" i="11"/>
  <c r="V27" i="11"/>
  <c r="W27" i="11"/>
  <c r="X27" i="11"/>
  <c r="Y27" i="11"/>
  <c r="E12" i="11"/>
  <c r="F12" i="11"/>
  <c r="H12" i="11"/>
  <c r="I12" i="11"/>
  <c r="K12" i="11"/>
  <c r="L12" i="11"/>
  <c r="N12" i="11"/>
  <c r="O12" i="11"/>
  <c r="Q12" i="11"/>
  <c r="R12" i="11"/>
  <c r="S12" i="11"/>
  <c r="T12" i="11"/>
  <c r="U12" i="11"/>
  <c r="V12" i="11"/>
  <c r="W12" i="11"/>
  <c r="X12" i="11"/>
  <c r="Y12" i="11"/>
  <c r="E13" i="11"/>
  <c r="F13" i="11"/>
  <c r="H13" i="11"/>
  <c r="I13" i="11"/>
  <c r="K13" i="11"/>
  <c r="L13" i="11"/>
  <c r="N13" i="11"/>
  <c r="O13" i="11"/>
  <c r="Q13" i="11"/>
  <c r="R13" i="11"/>
  <c r="S13" i="11"/>
  <c r="T13" i="11"/>
  <c r="U13" i="11"/>
  <c r="V13" i="11"/>
  <c r="W13" i="11"/>
  <c r="X13" i="11"/>
  <c r="Y13" i="11"/>
  <c r="E14" i="11"/>
  <c r="F14" i="11"/>
  <c r="H14" i="11"/>
  <c r="I14" i="11"/>
  <c r="K14" i="11"/>
  <c r="L14" i="11"/>
  <c r="N14" i="11"/>
  <c r="O14" i="11"/>
  <c r="Q14" i="11"/>
  <c r="R14" i="11"/>
  <c r="S14" i="11"/>
  <c r="T14" i="11"/>
  <c r="U14" i="11"/>
  <c r="V14" i="11"/>
  <c r="W14" i="11"/>
  <c r="X14" i="11"/>
  <c r="Y14" i="11"/>
  <c r="E15" i="11"/>
  <c r="F15" i="11"/>
  <c r="H15" i="11"/>
  <c r="I15" i="11"/>
  <c r="K15" i="11"/>
  <c r="L15" i="11"/>
  <c r="N15" i="11"/>
  <c r="O15" i="11"/>
  <c r="Q15" i="11"/>
  <c r="R15" i="11"/>
  <c r="S15" i="11"/>
  <c r="T15" i="11"/>
  <c r="U15" i="11"/>
  <c r="V15" i="11"/>
  <c r="W15" i="11"/>
  <c r="X15" i="11"/>
  <c r="Y15" i="11"/>
  <c r="E16" i="11"/>
  <c r="F16" i="11"/>
  <c r="H16" i="11"/>
  <c r="I16" i="11"/>
  <c r="K16" i="11"/>
  <c r="L16" i="11"/>
  <c r="N16" i="11"/>
  <c r="O16" i="11"/>
  <c r="Q16" i="11"/>
  <c r="R16" i="11"/>
  <c r="S16" i="11"/>
  <c r="T16" i="11"/>
  <c r="U16" i="11"/>
  <c r="V16" i="11"/>
  <c r="W16" i="11"/>
  <c r="X16" i="11"/>
  <c r="Y16" i="11"/>
  <c r="E26" i="11"/>
  <c r="F26" i="11"/>
  <c r="H26" i="11"/>
  <c r="I26" i="11"/>
  <c r="K26" i="11"/>
  <c r="L26" i="11"/>
  <c r="N26" i="11"/>
  <c r="O26" i="11"/>
  <c r="R26" i="11"/>
  <c r="S26" i="11"/>
  <c r="T26" i="11"/>
  <c r="V26" i="11"/>
  <c r="W26" i="11"/>
  <c r="X26" i="11"/>
  <c r="Y26" i="11"/>
  <c r="E20" i="11"/>
  <c r="F20" i="11"/>
  <c r="H20" i="11"/>
  <c r="I20" i="11"/>
  <c r="K20" i="11"/>
  <c r="L20" i="11"/>
  <c r="N20" i="11"/>
  <c r="O20" i="11"/>
  <c r="R20" i="11"/>
  <c r="S20" i="11"/>
  <c r="T20" i="11"/>
  <c r="U20" i="11"/>
  <c r="V20" i="11"/>
  <c r="W20" i="11"/>
  <c r="X20" i="11"/>
  <c r="Y20" i="11"/>
  <c r="E24" i="11"/>
  <c r="F24" i="11"/>
  <c r="H24" i="11"/>
  <c r="I24" i="11"/>
  <c r="K24" i="11"/>
  <c r="L24" i="11"/>
  <c r="N24" i="11"/>
  <c r="O24" i="11"/>
  <c r="Q24" i="11"/>
  <c r="R24" i="11"/>
  <c r="S24" i="11"/>
  <c r="T24" i="11"/>
  <c r="U24" i="11"/>
  <c r="V24" i="11"/>
  <c r="W24" i="11"/>
  <c r="X24" i="11"/>
  <c r="Y24" i="11"/>
  <c r="E25" i="11"/>
  <c r="F25" i="11"/>
  <c r="H25" i="11"/>
  <c r="I25" i="11"/>
  <c r="K25" i="11"/>
  <c r="L25" i="11"/>
  <c r="N25" i="11"/>
  <c r="O25" i="11"/>
  <c r="R25" i="11"/>
  <c r="S25" i="11"/>
  <c r="T25" i="11"/>
  <c r="V25" i="11"/>
  <c r="W25" i="11"/>
  <c r="X25" i="11"/>
  <c r="Y25" i="11"/>
  <c r="H9" i="11"/>
  <c r="I9" i="11"/>
  <c r="K9" i="11"/>
  <c r="L9" i="11"/>
  <c r="N9" i="11"/>
  <c r="O9" i="11"/>
  <c r="R9" i="11"/>
  <c r="S9" i="11"/>
  <c r="T9" i="11"/>
  <c r="V9" i="11"/>
  <c r="W9" i="11"/>
  <c r="X9" i="11"/>
  <c r="Y9" i="11"/>
  <c r="H31" i="11"/>
  <c r="I31" i="11"/>
  <c r="K31" i="11"/>
  <c r="L31" i="11"/>
  <c r="N31" i="11"/>
  <c r="O31" i="11"/>
  <c r="R31" i="11"/>
  <c r="S31" i="11"/>
  <c r="T31" i="11"/>
  <c r="V31" i="11"/>
  <c r="W31" i="11"/>
  <c r="X31" i="11"/>
  <c r="Y31" i="11"/>
  <c r="H23" i="11"/>
  <c r="H24" i="7" s="1"/>
  <c r="I23" i="11"/>
  <c r="I24" i="7" s="1"/>
  <c r="K23" i="11"/>
  <c r="K24" i="7" s="1"/>
  <c r="L23" i="11"/>
  <c r="L24" i="7" s="1"/>
  <c r="N23" i="11"/>
  <c r="N24" i="7" s="1"/>
  <c r="O23" i="11"/>
  <c r="O24" i="7" s="1"/>
  <c r="R23" i="11"/>
  <c r="S23" i="11"/>
  <c r="T23" i="11"/>
  <c r="T24" i="7" s="1"/>
  <c r="V23" i="11"/>
  <c r="W23" i="11"/>
  <c r="X23" i="11"/>
  <c r="X24" i="7" s="1"/>
  <c r="Y23" i="11"/>
  <c r="H6" i="11"/>
  <c r="I6" i="11"/>
  <c r="K6" i="11"/>
  <c r="L6" i="11"/>
  <c r="N6" i="11"/>
  <c r="O6" i="11"/>
  <c r="R6" i="11"/>
  <c r="S6" i="11"/>
  <c r="T6" i="11"/>
  <c r="V6" i="11"/>
  <c r="W6" i="11"/>
  <c r="X6" i="11"/>
  <c r="Y6" i="11"/>
  <c r="H7" i="11"/>
  <c r="I7" i="11"/>
  <c r="K7" i="11"/>
  <c r="L7" i="11"/>
  <c r="N7" i="11"/>
  <c r="O7" i="11"/>
  <c r="R7" i="11"/>
  <c r="S7" i="11"/>
  <c r="T7" i="11"/>
  <c r="V7" i="11"/>
  <c r="W7" i="11"/>
  <c r="X7" i="11"/>
  <c r="Y7" i="11"/>
  <c r="E17" i="11"/>
  <c r="F17" i="11"/>
  <c r="H17" i="11"/>
  <c r="I17" i="11"/>
  <c r="K17" i="11"/>
  <c r="L17" i="11"/>
  <c r="N17" i="11"/>
  <c r="O17" i="11"/>
  <c r="Q17" i="11"/>
  <c r="R17" i="11"/>
  <c r="S17" i="11"/>
  <c r="T17" i="11"/>
  <c r="U17" i="11"/>
  <c r="V17" i="11"/>
  <c r="W17" i="11"/>
  <c r="X17" i="11"/>
  <c r="Y17" i="11"/>
  <c r="E19" i="11"/>
  <c r="F19" i="11"/>
  <c r="H19" i="11"/>
  <c r="I19" i="11"/>
  <c r="K19" i="11"/>
  <c r="L19" i="11"/>
  <c r="N19" i="11"/>
  <c r="O19" i="11"/>
  <c r="Q19" i="11"/>
  <c r="R19" i="11"/>
  <c r="S19" i="11"/>
  <c r="T19" i="11"/>
  <c r="U19" i="11"/>
  <c r="V19" i="11"/>
  <c r="W19" i="11"/>
  <c r="X19" i="11"/>
  <c r="Y19" i="11"/>
  <c r="H30" i="11"/>
  <c r="I30" i="11"/>
  <c r="K30" i="11"/>
  <c r="L30" i="11"/>
  <c r="N30" i="11"/>
  <c r="O30" i="11"/>
  <c r="R30" i="11"/>
  <c r="S30" i="11"/>
  <c r="T30" i="11"/>
  <c r="V30" i="11"/>
  <c r="W30" i="11"/>
  <c r="X30" i="11"/>
  <c r="Y30" i="11"/>
  <c r="E29" i="11"/>
  <c r="F29" i="11"/>
  <c r="H29" i="11"/>
  <c r="I29" i="11"/>
  <c r="K29" i="11"/>
  <c r="L29" i="11"/>
  <c r="N29" i="11"/>
  <c r="O29" i="11"/>
  <c r="Q29" i="11"/>
  <c r="R29" i="11"/>
  <c r="S29" i="11"/>
  <c r="T29" i="11"/>
  <c r="U29" i="11"/>
  <c r="V29" i="11"/>
  <c r="V7" i="7" s="1"/>
  <c r="W29" i="11"/>
  <c r="X29" i="11"/>
  <c r="Y29" i="11"/>
  <c r="H10" i="11"/>
  <c r="I10" i="11"/>
  <c r="I28" i="7" s="1"/>
  <c r="K10" i="11"/>
  <c r="L10" i="11"/>
  <c r="N10" i="11"/>
  <c r="O10" i="11"/>
  <c r="R10" i="11"/>
  <c r="S10" i="11"/>
  <c r="T10" i="11"/>
  <c r="V10" i="11"/>
  <c r="W10" i="11"/>
  <c r="X10" i="11"/>
  <c r="Y10" i="11"/>
  <c r="H32" i="11"/>
  <c r="I32" i="11"/>
  <c r="K32" i="11"/>
  <c r="L32" i="11"/>
  <c r="N32" i="11"/>
  <c r="O32" i="11"/>
  <c r="R32" i="11"/>
  <c r="S32" i="11"/>
  <c r="T32" i="11"/>
  <c r="V32" i="11"/>
  <c r="W32" i="11"/>
  <c r="X32" i="11"/>
  <c r="Y32" i="11"/>
  <c r="H22" i="11"/>
  <c r="I22" i="11"/>
  <c r="K22" i="11"/>
  <c r="L22" i="11"/>
  <c r="N22" i="11"/>
  <c r="O22" i="11"/>
  <c r="R22" i="11"/>
  <c r="S22" i="11"/>
  <c r="T22" i="11"/>
  <c r="V22" i="11"/>
  <c r="W22" i="11"/>
  <c r="X22" i="11"/>
  <c r="Y22" i="11"/>
  <c r="H8" i="11"/>
  <c r="I8" i="11"/>
  <c r="K8" i="11"/>
  <c r="L8" i="11"/>
  <c r="N8" i="11"/>
  <c r="N8" i="7" s="1"/>
  <c r="O8" i="11"/>
  <c r="O8" i="7" s="1"/>
  <c r="R8" i="11"/>
  <c r="S8" i="11"/>
  <c r="S8" i="7" s="1"/>
  <c r="T8" i="11"/>
  <c r="T8" i="7" s="1"/>
  <c r="V8" i="11"/>
  <c r="W8" i="11"/>
  <c r="W8" i="7" s="1"/>
  <c r="X8" i="11"/>
  <c r="Y8" i="11"/>
  <c r="Y8" i="7" s="1"/>
  <c r="F18" i="11"/>
  <c r="H18" i="11"/>
  <c r="I18" i="11"/>
  <c r="K18" i="11"/>
  <c r="L18" i="11"/>
  <c r="N18" i="11"/>
  <c r="O18" i="11"/>
  <c r="Q18" i="11"/>
  <c r="R18" i="11"/>
  <c r="S18" i="11"/>
  <c r="T18" i="11"/>
  <c r="V18" i="11"/>
  <c r="W18" i="11"/>
  <c r="X18" i="11"/>
  <c r="Y18" i="11"/>
  <c r="E18" i="11"/>
  <c r="U31" i="11"/>
  <c r="U23" i="11"/>
  <c r="Q31" i="11"/>
  <c r="Q23" i="11"/>
  <c r="Q24" i="7" s="1"/>
  <c r="Q7" i="11"/>
  <c r="M8" i="15"/>
  <c r="M9" i="15"/>
  <c r="M10" i="15"/>
  <c r="M12" i="15"/>
  <c r="W7" i="15"/>
  <c r="W8" i="15"/>
  <c r="W9" i="15"/>
  <c r="W10" i="15"/>
  <c r="R7" i="15"/>
  <c r="R8" i="15"/>
  <c r="U32" i="11" s="1"/>
  <c r="R9" i="15"/>
  <c r="U10" i="11" s="1"/>
  <c r="R10" i="15"/>
  <c r="U30" i="11" s="1"/>
  <c r="N7" i="15"/>
  <c r="N8" i="15"/>
  <c r="Q32" i="11" s="1"/>
  <c r="N9" i="15"/>
  <c r="Q10" i="11" s="1"/>
  <c r="N10" i="15"/>
  <c r="Q22" i="11" s="1"/>
  <c r="F32" i="11"/>
  <c r="F10" i="11"/>
  <c r="F30" i="11"/>
  <c r="E32" i="11"/>
  <c r="E10" i="11"/>
  <c r="E30" i="11"/>
  <c r="C35" i="5"/>
  <c r="U24" i="7" l="1"/>
  <c r="H7" i="7"/>
  <c r="N7" i="7"/>
  <c r="Y24" i="7"/>
  <c r="K28" i="7"/>
  <c r="R21" i="15"/>
  <c r="G21" i="15"/>
  <c r="N21" i="15"/>
  <c r="E4" i="15" s="1"/>
  <c r="W21" i="15"/>
  <c r="L28" i="7"/>
  <c r="L61" i="7" s="1"/>
  <c r="W24" i="7"/>
  <c r="S32" i="7"/>
  <c r="S65" i="7" s="1"/>
  <c r="V24" i="7"/>
  <c r="V57" i="7" s="1"/>
  <c r="U7" i="11"/>
  <c r="U26" i="11"/>
  <c r="U60" i="11" s="1"/>
  <c r="P8" i="7"/>
  <c r="F32" i="7"/>
  <c r="F65" i="7" s="1"/>
  <c r="Q32" i="7"/>
  <c r="Q65" i="7" s="1"/>
  <c r="Q26" i="11"/>
  <c r="E28" i="7"/>
  <c r="V34" i="7"/>
  <c r="V8" i="7"/>
  <c r="Z8" i="7" s="1"/>
  <c r="I34" i="7"/>
  <c r="I8" i="7"/>
  <c r="I67" i="7" s="1"/>
  <c r="H28" i="7"/>
  <c r="H61" i="7" s="1"/>
  <c r="S24" i="7"/>
  <c r="S57" i="7" s="1"/>
  <c r="R32" i="7"/>
  <c r="R65" i="7" s="1"/>
  <c r="E32" i="7"/>
  <c r="E65" i="7" s="1"/>
  <c r="H34" i="7"/>
  <c r="H8" i="7"/>
  <c r="H67" i="7" s="1"/>
  <c r="O32" i="7"/>
  <c r="O65" i="7" s="1"/>
  <c r="Y32" i="7"/>
  <c r="Y65" i="7" s="1"/>
  <c r="N32" i="7"/>
  <c r="N65" i="7" s="1"/>
  <c r="R34" i="7"/>
  <c r="R8" i="7"/>
  <c r="X32" i="7"/>
  <c r="X65" i="7" s="1"/>
  <c r="L32" i="7"/>
  <c r="L65" i="7" s="1"/>
  <c r="K34" i="7"/>
  <c r="K8" i="7"/>
  <c r="K67" i="7" s="1"/>
  <c r="W32" i="7"/>
  <c r="W65" i="7" s="1"/>
  <c r="K32" i="7"/>
  <c r="K65" i="7" s="1"/>
  <c r="V32" i="7"/>
  <c r="I32" i="7"/>
  <c r="I65" i="7" s="1"/>
  <c r="X34" i="7"/>
  <c r="X8" i="7"/>
  <c r="L34" i="7"/>
  <c r="L8" i="7"/>
  <c r="L67" i="7" s="1"/>
  <c r="H32" i="7"/>
  <c r="H65" i="7" s="1"/>
  <c r="U32" i="7"/>
  <c r="U65" i="7" s="1"/>
  <c r="H10" i="7"/>
  <c r="R29" i="7"/>
  <c r="R62" i="7" s="1"/>
  <c r="E29" i="7"/>
  <c r="E62" i="7" s="1"/>
  <c r="W7" i="7"/>
  <c r="N34" i="7"/>
  <c r="K7" i="7"/>
  <c r="F10" i="7"/>
  <c r="Q29" i="7"/>
  <c r="Q62" i="7" s="1"/>
  <c r="F4" i="7"/>
  <c r="L33" i="7"/>
  <c r="L66" i="7" s="1"/>
  <c r="E10" i="7"/>
  <c r="Y29" i="7"/>
  <c r="Y62" i="7" s="1"/>
  <c r="O29" i="7"/>
  <c r="O62" i="7" s="1"/>
  <c r="L4" i="7"/>
  <c r="K33" i="7"/>
  <c r="X29" i="7"/>
  <c r="X62" i="7" s="1"/>
  <c r="N29" i="7"/>
  <c r="N62" i="7" s="1"/>
  <c r="K4" i="7"/>
  <c r="I33" i="7"/>
  <c r="W29" i="7"/>
  <c r="W62" i="7" s="1"/>
  <c r="L29" i="7"/>
  <c r="L62" i="7" s="1"/>
  <c r="I4" i="7"/>
  <c r="L7" i="7"/>
  <c r="H33" i="7"/>
  <c r="L10" i="7"/>
  <c r="V29" i="7"/>
  <c r="V62" i="7" s="1"/>
  <c r="K29" i="7"/>
  <c r="K62" i="7" s="1"/>
  <c r="H4" i="7"/>
  <c r="K10" i="7"/>
  <c r="T29" i="7"/>
  <c r="T62" i="7" s="1"/>
  <c r="I29" i="7"/>
  <c r="I62" i="7" s="1"/>
  <c r="U29" i="7"/>
  <c r="U62" i="7" s="1"/>
  <c r="I10" i="7"/>
  <c r="S29" i="7"/>
  <c r="S62" i="7" s="1"/>
  <c r="H29" i="7"/>
  <c r="H62" i="7" s="1"/>
  <c r="D75" i="15"/>
  <c r="F34" i="11"/>
  <c r="F29" i="7" s="1"/>
  <c r="F62" i="7" s="1"/>
  <c r="Q6" i="11"/>
  <c r="Q6" i="7" s="1"/>
  <c r="F27" i="11"/>
  <c r="Q27" i="11"/>
  <c r="Q27" i="7" s="1"/>
  <c r="U27" i="11"/>
  <c r="U61" i="11" s="1"/>
  <c r="U5" i="11"/>
  <c r="U4" i="11"/>
  <c r="U12" i="7" s="1"/>
  <c r="U28" i="11"/>
  <c r="U62" i="11" s="1"/>
  <c r="Q4" i="11"/>
  <c r="Q68" i="11" s="1"/>
  <c r="Q5" i="11"/>
  <c r="Q41" i="11" s="1"/>
  <c r="Q28" i="11"/>
  <c r="Q62" i="11" s="1"/>
  <c r="U8" i="11"/>
  <c r="Q9" i="11"/>
  <c r="Q43" i="11" s="1"/>
  <c r="Q30" i="11"/>
  <c r="Q63" i="11" s="1"/>
  <c r="U9" i="11"/>
  <c r="U11" i="7" s="1"/>
  <c r="F9" i="11"/>
  <c r="F9" i="7" s="1"/>
  <c r="E9" i="11"/>
  <c r="E9" i="7" s="1"/>
  <c r="E8" i="11"/>
  <c r="E8" i="7" s="1"/>
  <c r="J12" i="15"/>
  <c r="N12" i="15"/>
  <c r="C4" i="15" s="1"/>
  <c r="J42" i="15"/>
  <c r="G12" i="15"/>
  <c r="E23" i="11"/>
  <c r="E24" i="7" s="1"/>
  <c r="E57" i="7" s="1"/>
  <c r="W44" i="11"/>
  <c r="W19" i="7"/>
  <c r="W52" i="7" s="1"/>
  <c r="U54" i="11"/>
  <c r="S44" i="11"/>
  <c r="S19" i="7"/>
  <c r="S52" i="7" s="1"/>
  <c r="H44" i="11"/>
  <c r="H19" i="7"/>
  <c r="X58" i="11"/>
  <c r="X23" i="7"/>
  <c r="X56" i="7" s="1"/>
  <c r="L58" i="11"/>
  <c r="L23" i="7"/>
  <c r="L56" i="7" s="1"/>
  <c r="T43" i="11"/>
  <c r="T6" i="7"/>
  <c r="H43" i="11"/>
  <c r="H6" i="7"/>
  <c r="O54" i="11"/>
  <c r="O28" i="7"/>
  <c r="O61" i="7" s="1"/>
  <c r="X38" i="11"/>
  <c r="X5" i="7"/>
  <c r="O38" i="11"/>
  <c r="O5" i="7"/>
  <c r="Y55" i="11"/>
  <c r="Y20" i="7"/>
  <c r="Y53" i="7" s="1"/>
  <c r="Q55" i="11"/>
  <c r="Q20" i="7"/>
  <c r="Q53" i="7" s="1"/>
  <c r="E20" i="7"/>
  <c r="R51" i="11"/>
  <c r="R18" i="7"/>
  <c r="R51" i="7" s="1"/>
  <c r="F51" i="11"/>
  <c r="F18" i="7"/>
  <c r="F51" i="7" s="1"/>
  <c r="R56" i="11"/>
  <c r="R27" i="7"/>
  <c r="X42" i="11"/>
  <c r="X30" i="7"/>
  <c r="L42" i="11"/>
  <c r="L30" i="7"/>
  <c r="T57" i="7"/>
  <c r="H57" i="7"/>
  <c r="J24" i="7"/>
  <c r="O45" i="11"/>
  <c r="O33" i="7"/>
  <c r="W57" i="11"/>
  <c r="W11" i="7"/>
  <c r="N57" i="11"/>
  <c r="N11" i="7"/>
  <c r="V65" i="7"/>
  <c r="U25" i="7"/>
  <c r="K61" i="11"/>
  <c r="K25" i="7"/>
  <c r="V52" i="11"/>
  <c r="V21" i="7"/>
  <c r="K52" i="11"/>
  <c r="K21" i="7"/>
  <c r="V63" i="11"/>
  <c r="V10" i="7"/>
  <c r="V50" i="11"/>
  <c r="V17" i="7"/>
  <c r="L50" i="11"/>
  <c r="L17" i="7"/>
  <c r="L50" i="7" s="1"/>
  <c r="W49" i="11"/>
  <c r="W16" i="7"/>
  <c r="W49" i="7" s="1"/>
  <c r="N49" i="11"/>
  <c r="N16" i="7"/>
  <c r="X48" i="11"/>
  <c r="X15" i="7"/>
  <c r="X48" i="7" s="1"/>
  <c r="O48" i="11"/>
  <c r="O15" i="7"/>
  <c r="O48" i="7" s="1"/>
  <c r="Y47" i="11"/>
  <c r="Y14" i="7"/>
  <c r="Y47" i="7" s="1"/>
  <c r="Q47" i="11"/>
  <c r="Q14" i="7"/>
  <c r="Q47" i="7" s="1"/>
  <c r="E47" i="11"/>
  <c r="E14" i="7"/>
  <c r="R46" i="11"/>
  <c r="R13" i="7"/>
  <c r="R46" i="7" s="1"/>
  <c r="F46" i="11"/>
  <c r="F13" i="7"/>
  <c r="F46" i="7" s="1"/>
  <c r="S39" i="11"/>
  <c r="S31" i="7"/>
  <c r="H39" i="11"/>
  <c r="H31" i="7"/>
  <c r="T68" i="11"/>
  <c r="T12" i="7"/>
  <c r="I68" i="11"/>
  <c r="I12" i="7"/>
  <c r="K41" i="11"/>
  <c r="K9" i="7"/>
  <c r="V62" i="11"/>
  <c r="V26" i="7"/>
  <c r="L62" i="11"/>
  <c r="L26" i="7"/>
  <c r="W66" i="11"/>
  <c r="W4" i="7"/>
  <c r="T60" i="11"/>
  <c r="T22" i="7"/>
  <c r="T55" i="7" s="1"/>
  <c r="I60" i="11"/>
  <c r="I22" i="7"/>
  <c r="I55" i="7" s="1"/>
  <c r="L44" i="11"/>
  <c r="L19" i="7"/>
  <c r="L52" i="7" s="1"/>
  <c r="T44" i="11"/>
  <c r="T19" i="7"/>
  <c r="T52" i="7" s="1"/>
  <c r="R44" i="11"/>
  <c r="R19" i="7"/>
  <c r="R52" i="7" s="1"/>
  <c r="F44" i="11"/>
  <c r="F19" i="7"/>
  <c r="F52" i="7" s="1"/>
  <c r="M18" i="17"/>
  <c r="O34" i="7"/>
  <c r="W58" i="11"/>
  <c r="W23" i="7"/>
  <c r="W56" i="7" s="1"/>
  <c r="K58" i="11"/>
  <c r="K23" i="7"/>
  <c r="S43" i="11"/>
  <c r="S6" i="7"/>
  <c r="Y54" i="11"/>
  <c r="Y28" i="7"/>
  <c r="Y61" i="7" s="1"/>
  <c r="N54" i="11"/>
  <c r="N28" i="7"/>
  <c r="N61" i="7" s="1"/>
  <c r="W38" i="11"/>
  <c r="W5" i="7"/>
  <c r="W39" i="7" s="1"/>
  <c r="N38" i="11"/>
  <c r="N5" i="7"/>
  <c r="N39" i="7" s="1"/>
  <c r="X55" i="11"/>
  <c r="X20" i="7"/>
  <c r="X53" i="7" s="1"/>
  <c r="O55" i="11"/>
  <c r="O20" i="7"/>
  <c r="O53" i="7" s="1"/>
  <c r="Y51" i="11"/>
  <c r="Y18" i="7"/>
  <c r="Y51" i="7" s="1"/>
  <c r="Q51" i="11"/>
  <c r="Q18" i="7"/>
  <c r="Q51" i="7" s="1"/>
  <c r="E51" i="11"/>
  <c r="E18" i="7"/>
  <c r="O56" i="11"/>
  <c r="O27" i="7"/>
  <c r="W42" i="11"/>
  <c r="W30" i="7"/>
  <c r="K42" i="11"/>
  <c r="K30" i="7"/>
  <c r="Y45" i="11"/>
  <c r="Y33" i="7"/>
  <c r="N45" i="11"/>
  <c r="N33" i="7"/>
  <c r="V57" i="11"/>
  <c r="V11" i="7"/>
  <c r="L57" i="11"/>
  <c r="L11" i="7"/>
  <c r="L44" i="7" s="1"/>
  <c r="R15" i="17"/>
  <c r="T32" i="7"/>
  <c r="T65" i="7" s="1"/>
  <c r="T61" i="11"/>
  <c r="T25" i="7"/>
  <c r="I61" i="11"/>
  <c r="I25" i="7"/>
  <c r="U52" i="11"/>
  <c r="U21" i="7"/>
  <c r="U54" i="7" s="1"/>
  <c r="I52" i="11"/>
  <c r="I21" i="7"/>
  <c r="I54" i="7" s="1"/>
  <c r="T63" i="11"/>
  <c r="T10" i="7"/>
  <c r="U50" i="11"/>
  <c r="U17" i="7"/>
  <c r="U50" i="7" s="1"/>
  <c r="K50" i="11"/>
  <c r="K17" i="7"/>
  <c r="V49" i="11"/>
  <c r="V16" i="7"/>
  <c r="L49" i="11"/>
  <c r="L16" i="7"/>
  <c r="L49" i="7" s="1"/>
  <c r="W48" i="11"/>
  <c r="W15" i="7"/>
  <c r="W48" i="7" s="1"/>
  <c r="N48" i="11"/>
  <c r="N15" i="7"/>
  <c r="X47" i="11"/>
  <c r="X14" i="7"/>
  <c r="X47" i="7" s="1"/>
  <c r="O47" i="11"/>
  <c r="O14" i="7"/>
  <c r="O47" i="7" s="1"/>
  <c r="Y46" i="11"/>
  <c r="Y13" i="7"/>
  <c r="Y46" i="7" s="1"/>
  <c r="Q46" i="11"/>
  <c r="Q13" i="7"/>
  <c r="Q46" i="7" s="1"/>
  <c r="E46" i="11"/>
  <c r="E13" i="7"/>
  <c r="R39" i="11"/>
  <c r="R31" i="7"/>
  <c r="S68" i="11"/>
  <c r="S12" i="7"/>
  <c r="H68" i="11"/>
  <c r="H12" i="7"/>
  <c r="H45" i="7" s="1"/>
  <c r="T41" i="11"/>
  <c r="T9" i="7"/>
  <c r="I41" i="11"/>
  <c r="I9" i="7"/>
  <c r="I66" i="7" s="1"/>
  <c r="K62" i="11"/>
  <c r="K26" i="7"/>
  <c r="K61" i="7"/>
  <c r="V66" i="11"/>
  <c r="V4" i="7"/>
  <c r="S60" i="11"/>
  <c r="S22" i="7"/>
  <c r="S55" i="7" s="1"/>
  <c r="H60" i="11"/>
  <c r="H22" i="7"/>
  <c r="Q52" i="11"/>
  <c r="Q21" i="7"/>
  <c r="Q54" i="7" s="1"/>
  <c r="E44" i="11"/>
  <c r="E19" i="7"/>
  <c r="Q19" i="7"/>
  <c r="Q52" i="7" s="1"/>
  <c r="W18" i="17"/>
  <c r="Y34" i="7"/>
  <c r="V58" i="11"/>
  <c r="V23" i="7"/>
  <c r="I58" i="11"/>
  <c r="I23" i="7"/>
  <c r="I56" i="7" s="1"/>
  <c r="R43" i="11"/>
  <c r="R6" i="7"/>
  <c r="X54" i="11"/>
  <c r="X28" i="7"/>
  <c r="X61" i="7" s="1"/>
  <c r="S17" i="17"/>
  <c r="V38" i="11"/>
  <c r="V5" i="7"/>
  <c r="V39" i="7" s="1"/>
  <c r="L38" i="11"/>
  <c r="L5" i="7"/>
  <c r="L39" i="7" s="1"/>
  <c r="W55" i="11"/>
  <c r="W20" i="7"/>
  <c r="W53" i="7" s="1"/>
  <c r="N55" i="11"/>
  <c r="N20" i="7"/>
  <c r="X51" i="11"/>
  <c r="X18" i="7"/>
  <c r="X51" i="7" s="1"/>
  <c r="O51" i="11"/>
  <c r="O18" i="7"/>
  <c r="O51" i="7" s="1"/>
  <c r="Y56" i="11"/>
  <c r="Y27" i="7"/>
  <c r="N56" i="11"/>
  <c r="N27" i="7"/>
  <c r="V42" i="11"/>
  <c r="V30" i="7"/>
  <c r="I42" i="11"/>
  <c r="I30" i="7"/>
  <c r="P16" i="17"/>
  <c r="R24" i="7"/>
  <c r="X45" i="11"/>
  <c r="X33" i="7"/>
  <c r="U57" i="11"/>
  <c r="K57" i="11"/>
  <c r="K11" i="7"/>
  <c r="K44" i="7" s="1"/>
  <c r="S61" i="11"/>
  <c r="S25" i="7"/>
  <c r="H61" i="11"/>
  <c r="H25" i="7"/>
  <c r="T52" i="11"/>
  <c r="T21" i="7"/>
  <c r="T54" i="7" s="1"/>
  <c r="H52" i="11"/>
  <c r="H21" i="7"/>
  <c r="S63" i="11"/>
  <c r="S10" i="7"/>
  <c r="T50" i="11"/>
  <c r="T17" i="7"/>
  <c r="T50" i="7" s="1"/>
  <c r="I50" i="11"/>
  <c r="I17" i="7"/>
  <c r="I50" i="7" s="1"/>
  <c r="U49" i="11"/>
  <c r="U16" i="7"/>
  <c r="U49" i="7" s="1"/>
  <c r="K49" i="11"/>
  <c r="K16" i="7"/>
  <c r="V48" i="11"/>
  <c r="V15" i="7"/>
  <c r="L48" i="11"/>
  <c r="L15" i="7"/>
  <c r="L48" i="7" s="1"/>
  <c r="W47" i="11"/>
  <c r="W14" i="7"/>
  <c r="W47" i="7" s="1"/>
  <c r="N47" i="11"/>
  <c r="N14" i="7"/>
  <c r="X46" i="11"/>
  <c r="X13" i="7"/>
  <c r="X46" i="7" s="1"/>
  <c r="O46" i="11"/>
  <c r="O13" i="7"/>
  <c r="O46" i="7" s="1"/>
  <c r="Y39" i="11"/>
  <c r="Y31" i="7"/>
  <c r="Q31" i="7"/>
  <c r="E39" i="11"/>
  <c r="R68" i="11"/>
  <c r="R12" i="7"/>
  <c r="F12" i="7"/>
  <c r="S41" i="11"/>
  <c r="S9" i="7"/>
  <c r="H41" i="11"/>
  <c r="H9" i="7"/>
  <c r="T62" i="11"/>
  <c r="T26" i="7"/>
  <c r="I62" i="11"/>
  <c r="I26" i="7"/>
  <c r="I61" i="7"/>
  <c r="T66" i="11"/>
  <c r="T4" i="7"/>
  <c r="R60" i="11"/>
  <c r="R22" i="7"/>
  <c r="R55" i="7" s="1"/>
  <c r="F60" i="11"/>
  <c r="Q58" i="11"/>
  <c r="Q23" i="7"/>
  <c r="Q56" i="7" s="1"/>
  <c r="U57" i="7"/>
  <c r="Y44" i="11"/>
  <c r="Y19" i="7"/>
  <c r="Y52" i="7" s="1"/>
  <c r="O44" i="11"/>
  <c r="O19" i="7"/>
  <c r="O52" i="7" s="1"/>
  <c r="T58" i="11"/>
  <c r="T23" i="7"/>
  <c r="T56" i="7" s="1"/>
  <c r="H58" i="11"/>
  <c r="H23" i="7"/>
  <c r="O43" i="11"/>
  <c r="O6" i="7"/>
  <c r="W54" i="11"/>
  <c r="W28" i="7"/>
  <c r="R17" i="17"/>
  <c r="T7" i="7"/>
  <c r="G17" i="17"/>
  <c r="I7" i="7"/>
  <c r="K38" i="11"/>
  <c r="K5" i="7"/>
  <c r="K39" i="7" s="1"/>
  <c r="V55" i="11"/>
  <c r="V20" i="7"/>
  <c r="L55" i="11"/>
  <c r="L20" i="7"/>
  <c r="L53" i="7" s="1"/>
  <c r="W51" i="11"/>
  <c r="W18" i="7"/>
  <c r="W51" i="7" s="1"/>
  <c r="N51" i="11"/>
  <c r="N18" i="7"/>
  <c r="X56" i="11"/>
  <c r="X27" i="7"/>
  <c r="L56" i="11"/>
  <c r="L27" i="7"/>
  <c r="T42" i="11"/>
  <c r="T30" i="7"/>
  <c r="H42" i="11"/>
  <c r="H30" i="7"/>
  <c r="O57" i="7"/>
  <c r="W45" i="11"/>
  <c r="W33" i="7"/>
  <c r="T57" i="11"/>
  <c r="T11" i="7"/>
  <c r="I57" i="11"/>
  <c r="I11" i="7"/>
  <c r="I44" i="7" s="1"/>
  <c r="R61" i="11"/>
  <c r="R25" i="7"/>
  <c r="F25" i="7"/>
  <c r="S52" i="11"/>
  <c r="S21" i="7"/>
  <c r="S54" i="7" s="1"/>
  <c r="F52" i="11"/>
  <c r="F21" i="7"/>
  <c r="F54" i="7" s="1"/>
  <c r="R63" i="11"/>
  <c r="R10" i="7"/>
  <c r="S50" i="11"/>
  <c r="S17" i="7"/>
  <c r="S50" i="7" s="1"/>
  <c r="H50" i="11"/>
  <c r="H17" i="7"/>
  <c r="T49" i="11"/>
  <c r="T16" i="7"/>
  <c r="T49" i="7" s="1"/>
  <c r="I49" i="11"/>
  <c r="I16" i="7"/>
  <c r="I49" i="7" s="1"/>
  <c r="U48" i="11"/>
  <c r="U15" i="7"/>
  <c r="U48" i="7" s="1"/>
  <c r="K48" i="11"/>
  <c r="K15" i="7"/>
  <c r="V47" i="11"/>
  <c r="V14" i="7"/>
  <c r="L47" i="11"/>
  <c r="L14" i="7"/>
  <c r="L47" i="7" s="1"/>
  <c r="W46" i="11"/>
  <c r="W13" i="7"/>
  <c r="W46" i="7" s="1"/>
  <c r="N46" i="11"/>
  <c r="N13" i="7"/>
  <c r="X39" i="11"/>
  <c r="X31" i="7"/>
  <c r="O39" i="11"/>
  <c r="O31" i="7"/>
  <c r="Y68" i="11"/>
  <c r="Y12" i="7"/>
  <c r="E68" i="11"/>
  <c r="E12" i="7"/>
  <c r="R41" i="11"/>
  <c r="R9" i="7"/>
  <c r="S62" i="11"/>
  <c r="S26" i="7"/>
  <c r="S59" i="7" s="1"/>
  <c r="H62" i="11"/>
  <c r="H26" i="7"/>
  <c r="S66" i="11"/>
  <c r="S4" i="7"/>
  <c r="Q60" i="11"/>
  <c r="Q22" i="7"/>
  <c r="Q55" i="7" s="1"/>
  <c r="Q54" i="11"/>
  <c r="U45" i="11"/>
  <c r="U33" i="7"/>
  <c r="X44" i="11"/>
  <c r="X19" i="7"/>
  <c r="X52" i="7" s="1"/>
  <c r="N44" i="11"/>
  <c r="N19" i="7"/>
  <c r="U18" i="17"/>
  <c r="W34" i="7"/>
  <c r="S58" i="11"/>
  <c r="S23" i="7"/>
  <c r="S56" i="7" s="1"/>
  <c r="Y43" i="11"/>
  <c r="Y6" i="7"/>
  <c r="N43" i="11"/>
  <c r="N6" i="7"/>
  <c r="V54" i="11"/>
  <c r="V28" i="7"/>
  <c r="V61" i="7" s="1"/>
  <c r="Q17" i="17"/>
  <c r="S7" i="7"/>
  <c r="T38" i="11"/>
  <c r="T5" i="7"/>
  <c r="I38" i="11"/>
  <c r="I5" i="7"/>
  <c r="U20" i="7"/>
  <c r="U53" i="7" s="1"/>
  <c r="K55" i="11"/>
  <c r="K20" i="7"/>
  <c r="V51" i="11"/>
  <c r="V18" i="7"/>
  <c r="L51" i="11"/>
  <c r="L18" i="7"/>
  <c r="L51" i="7" s="1"/>
  <c r="W56" i="11"/>
  <c r="W27" i="7"/>
  <c r="K56" i="11"/>
  <c r="K27" i="7"/>
  <c r="I7" i="16" s="1"/>
  <c r="S42" i="11"/>
  <c r="S30" i="7"/>
  <c r="Y57" i="7"/>
  <c r="N57" i="7"/>
  <c r="P24" i="7"/>
  <c r="V45" i="11"/>
  <c r="V33" i="7"/>
  <c r="S57" i="11"/>
  <c r="S11" i="7"/>
  <c r="H57" i="11"/>
  <c r="H11" i="7"/>
  <c r="H44" i="7" s="1"/>
  <c r="Y61" i="11"/>
  <c r="Y25" i="7"/>
  <c r="Q25" i="7"/>
  <c r="E25" i="7"/>
  <c r="R52" i="11"/>
  <c r="R21" i="7"/>
  <c r="R54" i="7" s="1"/>
  <c r="E52" i="11"/>
  <c r="E21" i="7"/>
  <c r="Q10" i="7"/>
  <c r="R50" i="11"/>
  <c r="R17" i="7"/>
  <c r="R50" i="7" s="1"/>
  <c r="F50" i="11"/>
  <c r="F17" i="7"/>
  <c r="F50" i="7" s="1"/>
  <c r="S49" i="11"/>
  <c r="S16" i="7"/>
  <c r="S49" i="7" s="1"/>
  <c r="H49" i="11"/>
  <c r="H16" i="7"/>
  <c r="T48" i="11"/>
  <c r="T15" i="7"/>
  <c r="T48" i="7" s="1"/>
  <c r="I48" i="11"/>
  <c r="I15" i="7"/>
  <c r="I48" i="7" s="1"/>
  <c r="U47" i="11"/>
  <c r="U14" i="7"/>
  <c r="U47" i="7" s="1"/>
  <c r="K47" i="11"/>
  <c r="K14" i="7"/>
  <c r="V46" i="11"/>
  <c r="V13" i="7"/>
  <c r="L46" i="11"/>
  <c r="L13" i="7"/>
  <c r="L46" i="7" s="1"/>
  <c r="W39" i="11"/>
  <c r="W31" i="7"/>
  <c r="N39" i="11"/>
  <c r="N31" i="7"/>
  <c r="X68" i="11"/>
  <c r="X12" i="7"/>
  <c r="O68" i="11"/>
  <c r="O12" i="7"/>
  <c r="Y41" i="11"/>
  <c r="Y9" i="7"/>
  <c r="R62" i="11"/>
  <c r="R26" i="7"/>
  <c r="F62" i="11"/>
  <c r="R66" i="11"/>
  <c r="R4" i="7"/>
  <c r="Y60" i="11"/>
  <c r="Y22" i="7"/>
  <c r="Y55" i="7" s="1"/>
  <c r="O60" i="11"/>
  <c r="O22" i="7"/>
  <c r="O55" i="7" s="1"/>
  <c r="Q66" i="11"/>
  <c r="Q56" i="11"/>
  <c r="R58" i="11"/>
  <c r="R23" i="7"/>
  <c r="R56" i="7" s="1"/>
  <c r="X43" i="11"/>
  <c r="X6" i="7"/>
  <c r="L43" i="11"/>
  <c r="L6" i="7"/>
  <c r="T54" i="11"/>
  <c r="T28" i="7"/>
  <c r="P17" i="17"/>
  <c r="R7" i="7"/>
  <c r="D17" i="17"/>
  <c r="S38" i="11"/>
  <c r="S5" i="7"/>
  <c r="H38" i="11"/>
  <c r="H5" i="7"/>
  <c r="H39" i="7" s="1"/>
  <c r="T55" i="11"/>
  <c r="T20" i="7"/>
  <c r="T53" i="7" s="1"/>
  <c r="I55" i="11"/>
  <c r="I20" i="7"/>
  <c r="I53" i="7" s="1"/>
  <c r="U51" i="11"/>
  <c r="U18" i="7"/>
  <c r="U51" i="7" s="1"/>
  <c r="K51" i="11"/>
  <c r="K18" i="7"/>
  <c r="V56" i="11"/>
  <c r="V27" i="7"/>
  <c r="I56" i="11"/>
  <c r="I27" i="7"/>
  <c r="R42" i="11"/>
  <c r="R30" i="7"/>
  <c r="X57" i="7"/>
  <c r="L57" i="7"/>
  <c r="T45" i="11"/>
  <c r="T33" i="7"/>
  <c r="R57" i="11"/>
  <c r="R11" i="7"/>
  <c r="X61" i="11"/>
  <c r="X25" i="7"/>
  <c r="O61" i="11"/>
  <c r="O25" i="7"/>
  <c r="Y52" i="11"/>
  <c r="Y21" i="7"/>
  <c r="Y54" i="7" s="1"/>
  <c r="O52" i="11"/>
  <c r="O21" i="7"/>
  <c r="O54" i="7" s="1"/>
  <c r="Y63" i="11"/>
  <c r="Y10" i="7"/>
  <c r="O63" i="11"/>
  <c r="O10" i="7"/>
  <c r="Y50" i="11"/>
  <c r="Y17" i="7"/>
  <c r="Y50" i="7" s="1"/>
  <c r="Q50" i="11"/>
  <c r="Q17" i="7"/>
  <c r="Q50" i="7" s="1"/>
  <c r="E50" i="11"/>
  <c r="E17" i="7"/>
  <c r="R49" i="11"/>
  <c r="R16" i="7"/>
  <c r="R49" i="7" s="1"/>
  <c r="F49" i="11"/>
  <c r="F16" i="7"/>
  <c r="F49" i="7" s="1"/>
  <c r="S48" i="11"/>
  <c r="S15" i="7"/>
  <c r="S48" i="7" s="1"/>
  <c r="H48" i="11"/>
  <c r="H15" i="7"/>
  <c r="T47" i="11"/>
  <c r="T14" i="7"/>
  <c r="T47" i="7" s="1"/>
  <c r="I47" i="11"/>
  <c r="I14" i="7"/>
  <c r="I47" i="7" s="1"/>
  <c r="U46" i="11"/>
  <c r="U13" i="7"/>
  <c r="U46" i="7" s="1"/>
  <c r="K46" i="11"/>
  <c r="K13" i="7"/>
  <c r="V39" i="11"/>
  <c r="V31" i="7"/>
  <c r="L39" i="11"/>
  <c r="L31" i="7"/>
  <c r="W68" i="11"/>
  <c r="W12" i="7"/>
  <c r="N68" i="11"/>
  <c r="N12" i="7"/>
  <c r="X41" i="11"/>
  <c r="X9" i="7"/>
  <c r="O41" i="11"/>
  <c r="O9" i="7"/>
  <c r="Y62" i="11"/>
  <c r="Y26" i="7"/>
  <c r="E26" i="7"/>
  <c r="E61" i="7"/>
  <c r="O66" i="11"/>
  <c r="O4" i="7"/>
  <c r="X60" i="11"/>
  <c r="X22" i="7"/>
  <c r="X55" i="7" s="1"/>
  <c r="N60" i="11"/>
  <c r="N22" i="7"/>
  <c r="U66" i="11"/>
  <c r="U4" i="7"/>
  <c r="U44" i="11"/>
  <c r="U19" i="7"/>
  <c r="U52" i="7" s="1"/>
  <c r="Q57" i="7"/>
  <c r="V44" i="11"/>
  <c r="V19" i="7"/>
  <c r="K44" i="11"/>
  <c r="K19" i="7"/>
  <c r="R18" i="17"/>
  <c r="T34" i="7"/>
  <c r="F8" i="16"/>
  <c r="O58" i="11"/>
  <c r="O23" i="7"/>
  <c r="O56" i="7" s="1"/>
  <c r="W43" i="11"/>
  <c r="W6" i="7"/>
  <c r="K43" i="11"/>
  <c r="K6" i="7"/>
  <c r="I8" i="16" s="1"/>
  <c r="S54" i="11"/>
  <c r="S28" i="7"/>
  <c r="W17" i="17"/>
  <c r="Y7" i="7"/>
  <c r="O17" i="17"/>
  <c r="Q7" i="7"/>
  <c r="R38" i="11"/>
  <c r="R5" i="7"/>
  <c r="F38" i="11"/>
  <c r="F5" i="7"/>
  <c r="S55" i="11"/>
  <c r="S20" i="7"/>
  <c r="S53" i="7" s="1"/>
  <c r="H55" i="11"/>
  <c r="H20" i="7"/>
  <c r="T51" i="11"/>
  <c r="T18" i="7"/>
  <c r="T51" i="7" s="1"/>
  <c r="I51" i="11"/>
  <c r="I18" i="7"/>
  <c r="I51" i="7" s="1"/>
  <c r="T56" i="11"/>
  <c r="T27" i="7"/>
  <c r="H56" i="11"/>
  <c r="H27" i="7"/>
  <c r="F7" i="16" s="1"/>
  <c r="O42" i="11"/>
  <c r="O30" i="7"/>
  <c r="W57" i="7"/>
  <c r="K57" i="7"/>
  <c r="M24" i="7"/>
  <c r="S45" i="11"/>
  <c r="S33" i="7"/>
  <c r="Y57" i="11"/>
  <c r="Y11" i="7"/>
  <c r="Q57" i="11"/>
  <c r="W61" i="11"/>
  <c r="W25" i="7"/>
  <c r="N61" i="11"/>
  <c r="N25" i="7"/>
  <c r="X52" i="11"/>
  <c r="X21" i="7"/>
  <c r="X54" i="7" s="1"/>
  <c r="N52" i="11"/>
  <c r="N21" i="7"/>
  <c r="X63" i="11"/>
  <c r="X10" i="7"/>
  <c r="N63" i="11"/>
  <c r="N10" i="7"/>
  <c r="X50" i="11"/>
  <c r="X17" i="7"/>
  <c r="X50" i="7" s="1"/>
  <c r="O50" i="11"/>
  <c r="O17" i="7"/>
  <c r="O50" i="7" s="1"/>
  <c r="Y49" i="11"/>
  <c r="Y16" i="7"/>
  <c r="Y49" i="7" s="1"/>
  <c r="Q49" i="11"/>
  <c r="Q16" i="7"/>
  <c r="Q49" i="7" s="1"/>
  <c r="E49" i="11"/>
  <c r="E16" i="7"/>
  <c r="R48" i="11"/>
  <c r="R15" i="7"/>
  <c r="R48" i="7" s="1"/>
  <c r="F48" i="11"/>
  <c r="F15" i="7"/>
  <c r="F48" i="7" s="1"/>
  <c r="S47" i="11"/>
  <c r="S14" i="7"/>
  <c r="S47" i="7" s="1"/>
  <c r="H47" i="11"/>
  <c r="H14" i="7"/>
  <c r="T46" i="11"/>
  <c r="T13" i="7"/>
  <c r="T46" i="7" s="1"/>
  <c r="I46" i="11"/>
  <c r="I13" i="7"/>
  <c r="I46" i="7" s="1"/>
  <c r="K39" i="11"/>
  <c r="K31" i="7"/>
  <c r="V68" i="11"/>
  <c r="V12" i="7"/>
  <c r="L68" i="11"/>
  <c r="L12" i="7"/>
  <c r="W41" i="11"/>
  <c r="W9" i="7"/>
  <c r="N41" i="11"/>
  <c r="N9" i="7"/>
  <c r="X62" i="11"/>
  <c r="X26" i="7"/>
  <c r="X59" i="7" s="1"/>
  <c r="O62" i="11"/>
  <c r="O26" i="7"/>
  <c r="O59" i="7" s="1"/>
  <c r="Y66" i="11"/>
  <c r="Y4" i="7"/>
  <c r="N66" i="11"/>
  <c r="N4" i="7"/>
  <c r="W60" i="11"/>
  <c r="W22" i="7"/>
  <c r="W55" i="7" s="1"/>
  <c r="L60" i="11"/>
  <c r="L22" i="7"/>
  <c r="L55" i="7" s="1"/>
  <c r="U63" i="11"/>
  <c r="U10" i="7"/>
  <c r="Q45" i="11"/>
  <c r="Q33" i="7"/>
  <c r="I44" i="11"/>
  <c r="I19" i="7"/>
  <c r="I52" i="7" s="1"/>
  <c r="Q18" i="17"/>
  <c r="S34" i="7"/>
  <c r="Y58" i="11"/>
  <c r="Y23" i="7"/>
  <c r="Y56" i="7" s="1"/>
  <c r="N58" i="11"/>
  <c r="N23" i="7"/>
  <c r="V43" i="11"/>
  <c r="V6" i="7"/>
  <c r="I43" i="11"/>
  <c r="I6" i="7"/>
  <c r="R54" i="11"/>
  <c r="R28" i="7"/>
  <c r="V17" i="17"/>
  <c r="X7" i="7"/>
  <c r="M17" i="17"/>
  <c r="O7" i="7"/>
  <c r="P7" i="7" s="1"/>
  <c r="Y38" i="11"/>
  <c r="Y5" i="7"/>
  <c r="E5" i="7"/>
  <c r="E39" i="7" s="1"/>
  <c r="R55" i="11"/>
  <c r="R20" i="7"/>
  <c r="R53" i="7" s="1"/>
  <c r="F20" i="7"/>
  <c r="F53" i="7" s="1"/>
  <c r="S51" i="11"/>
  <c r="S18" i="7"/>
  <c r="S51" i="7" s="1"/>
  <c r="H51" i="11"/>
  <c r="H18" i="7"/>
  <c r="S56" i="11"/>
  <c r="S27" i="7"/>
  <c r="Y42" i="11"/>
  <c r="Y30" i="7"/>
  <c r="N42" i="11"/>
  <c r="N30" i="7"/>
  <c r="I57" i="7"/>
  <c r="R45" i="11"/>
  <c r="R33" i="7"/>
  <c r="X57" i="11"/>
  <c r="X11" i="7"/>
  <c r="O57" i="11"/>
  <c r="O11" i="7"/>
  <c r="V61" i="11"/>
  <c r="V25" i="7"/>
  <c r="L61" i="11"/>
  <c r="L25" i="7"/>
  <c r="W52" i="11"/>
  <c r="W21" i="7"/>
  <c r="W54" i="7" s="1"/>
  <c r="L52" i="11"/>
  <c r="L21" i="7"/>
  <c r="L54" i="7" s="1"/>
  <c r="W63" i="11"/>
  <c r="W10" i="7"/>
  <c r="W50" i="11"/>
  <c r="W17" i="7"/>
  <c r="W50" i="7" s="1"/>
  <c r="N50" i="11"/>
  <c r="N17" i="7"/>
  <c r="X49" i="11"/>
  <c r="X16" i="7"/>
  <c r="X49" i="7" s="1"/>
  <c r="O49" i="11"/>
  <c r="O16" i="7"/>
  <c r="O49" i="7" s="1"/>
  <c r="Y48" i="11"/>
  <c r="Y15" i="7"/>
  <c r="Y48" i="7" s="1"/>
  <c r="Q48" i="11"/>
  <c r="Q15" i="7"/>
  <c r="Q48" i="7" s="1"/>
  <c r="E48" i="11"/>
  <c r="E15" i="7"/>
  <c r="R47" i="11"/>
  <c r="R14" i="7"/>
  <c r="R47" i="7" s="1"/>
  <c r="F47" i="11"/>
  <c r="F14" i="7"/>
  <c r="F47" i="7" s="1"/>
  <c r="S46" i="11"/>
  <c r="S13" i="7"/>
  <c r="S46" i="7" s="1"/>
  <c r="H46" i="11"/>
  <c r="H13" i="7"/>
  <c r="T39" i="11"/>
  <c r="T31" i="7"/>
  <c r="I39" i="11"/>
  <c r="I31" i="7"/>
  <c r="K68" i="11"/>
  <c r="K12" i="7"/>
  <c r="K45" i="7" s="1"/>
  <c r="V41" i="11"/>
  <c r="V9" i="7"/>
  <c r="L41" i="11"/>
  <c r="L9" i="7"/>
  <c r="W62" i="11"/>
  <c r="W26" i="7"/>
  <c r="W59" i="7" s="1"/>
  <c r="N62" i="11"/>
  <c r="N26" i="7"/>
  <c r="N67" i="7" s="1"/>
  <c r="X66" i="11"/>
  <c r="X4" i="7"/>
  <c r="V60" i="11"/>
  <c r="V22" i="7"/>
  <c r="K60" i="11"/>
  <c r="K22" i="7"/>
  <c r="E60" i="11"/>
  <c r="D29" i="15"/>
  <c r="R12" i="15"/>
  <c r="C12" i="15"/>
  <c r="D54" i="15"/>
  <c r="L18" i="17"/>
  <c r="I17" i="17"/>
  <c r="H65" i="11"/>
  <c r="L59" i="11"/>
  <c r="S14" i="17"/>
  <c r="V18" i="17"/>
  <c r="L40" i="11"/>
  <c r="J18" i="17"/>
  <c r="M16" i="17"/>
  <c r="Q15" i="17"/>
  <c r="D15" i="17"/>
  <c r="K59" i="11"/>
  <c r="S15" i="17"/>
  <c r="K40" i="11"/>
  <c r="H7" i="17"/>
  <c r="F17" i="17"/>
  <c r="W16" i="17"/>
  <c r="L16" i="17"/>
  <c r="P15" i="17"/>
  <c r="I59" i="11"/>
  <c r="E53" i="11"/>
  <c r="O15" i="17"/>
  <c r="I40" i="11"/>
  <c r="G18" i="17"/>
  <c r="V16" i="17"/>
  <c r="L53" i="11"/>
  <c r="J16" i="17"/>
  <c r="M15" i="17"/>
  <c r="H59" i="11"/>
  <c r="O16" i="17"/>
  <c r="H40" i="11"/>
  <c r="C17" i="17"/>
  <c r="E7" i="17"/>
  <c r="U16" i="17"/>
  <c r="K53" i="11"/>
  <c r="W15" i="17"/>
  <c r="F59" i="11"/>
  <c r="I53" i="11"/>
  <c r="G16" i="17"/>
  <c r="V15" i="17"/>
  <c r="L65" i="11"/>
  <c r="J15" i="17"/>
  <c r="E59" i="11"/>
  <c r="P18" i="17"/>
  <c r="U17" i="17"/>
  <c r="R16" i="17"/>
  <c r="H53" i="11"/>
  <c r="U15" i="17"/>
  <c r="K65" i="11"/>
  <c r="J17" i="17"/>
  <c r="Q16" i="17"/>
  <c r="I65" i="11"/>
  <c r="G15" i="17"/>
  <c r="W59" i="11"/>
  <c r="U7" i="12"/>
  <c r="U53" i="11"/>
  <c r="O53" i="11"/>
  <c r="M6" i="12"/>
  <c r="S65" i="11"/>
  <c r="Q4" i="12"/>
  <c r="Q17" i="12" s="1"/>
  <c r="V59" i="11"/>
  <c r="T7" i="12"/>
  <c r="T64" i="11"/>
  <c r="R5" i="12"/>
  <c r="R16" i="12" s="1"/>
  <c r="W40" i="11"/>
  <c r="U8" i="12"/>
  <c r="U18" i="12" s="1"/>
  <c r="T59" i="11"/>
  <c r="R7" i="12"/>
  <c r="Y40" i="11"/>
  <c r="W8" i="12"/>
  <c r="W18" i="12" s="1"/>
  <c r="S64" i="11"/>
  <c r="Q5" i="12"/>
  <c r="Q16" i="12" s="1"/>
  <c r="N53" i="11"/>
  <c r="L6" i="12"/>
  <c r="R65" i="11"/>
  <c r="P4" i="12"/>
  <c r="P17" i="12" s="1"/>
  <c r="V40" i="11"/>
  <c r="T8" i="12"/>
  <c r="T18" i="12" s="1"/>
  <c r="R64" i="11"/>
  <c r="P5" i="12"/>
  <c r="P16" i="12" s="1"/>
  <c r="X53" i="11"/>
  <c r="V6" i="12"/>
  <c r="O65" i="11"/>
  <c r="M4" i="12"/>
  <c r="M17" i="12" s="1"/>
  <c r="S59" i="11"/>
  <c r="Q7" i="12"/>
  <c r="U64" i="11"/>
  <c r="S5" i="12"/>
  <c r="S16" i="12" s="1"/>
  <c r="R53" i="11"/>
  <c r="P6" i="12"/>
  <c r="T65" i="11"/>
  <c r="R4" i="12"/>
  <c r="R17" i="12" s="1"/>
  <c r="X40" i="11"/>
  <c r="V8" i="12"/>
  <c r="V18" i="12" s="1"/>
  <c r="Y53" i="11"/>
  <c r="W6" i="12"/>
  <c r="Q53" i="11"/>
  <c r="T40" i="11"/>
  <c r="R8" i="12"/>
  <c r="R18" i="12" s="1"/>
  <c r="Y64" i="11"/>
  <c r="W5" i="12"/>
  <c r="W16" i="12" s="1"/>
  <c r="Q64" i="11"/>
  <c r="O5" i="12"/>
  <c r="O16" i="12" s="1"/>
  <c r="W53" i="11"/>
  <c r="U6" i="12"/>
  <c r="Y65" i="11"/>
  <c r="W4" i="12"/>
  <c r="W17" i="12" s="1"/>
  <c r="N65" i="11"/>
  <c r="L4" i="12"/>
  <c r="R59" i="11"/>
  <c r="P7" i="12"/>
  <c r="N40" i="11"/>
  <c r="L8" i="12"/>
  <c r="L18" i="12" s="1"/>
  <c r="O64" i="11"/>
  <c r="M5" i="12"/>
  <c r="M16" i="12" s="1"/>
  <c r="X65" i="11"/>
  <c r="V4" i="12"/>
  <c r="V17" i="12" s="1"/>
  <c r="Q59" i="11"/>
  <c r="O7" i="12"/>
  <c r="S40" i="11"/>
  <c r="Q8" i="12"/>
  <c r="Q18" i="12" s="1"/>
  <c r="X64" i="11"/>
  <c r="V5" i="12"/>
  <c r="V16" i="12" s="1"/>
  <c r="V53" i="11"/>
  <c r="T6" i="12"/>
  <c r="R40" i="11"/>
  <c r="P8" i="12"/>
  <c r="P18" i="12" s="1"/>
  <c r="W64" i="11"/>
  <c r="U5" i="12"/>
  <c r="U16" i="12" s="1"/>
  <c r="N64" i="11"/>
  <c r="L5" i="12"/>
  <c r="L16" i="12" s="1"/>
  <c r="T53" i="11"/>
  <c r="R6" i="12"/>
  <c r="W65" i="11"/>
  <c r="U4" i="12"/>
  <c r="U17" i="12" s="1"/>
  <c r="Y59" i="11"/>
  <c r="W7" i="12"/>
  <c r="O59" i="11"/>
  <c r="M7" i="12"/>
  <c r="U59" i="11"/>
  <c r="S7" i="12"/>
  <c r="O40" i="11"/>
  <c r="M8" i="12"/>
  <c r="M18" i="12" s="1"/>
  <c r="V64" i="11"/>
  <c r="T5" i="12"/>
  <c r="T16" i="12" s="1"/>
  <c r="S53" i="11"/>
  <c r="Q6" i="12"/>
  <c r="V65" i="11"/>
  <c r="T4" i="12"/>
  <c r="T17" i="12" s="1"/>
  <c r="X59" i="11"/>
  <c r="V7" i="12"/>
  <c r="N59" i="11"/>
  <c r="L7" i="12"/>
  <c r="L45" i="11"/>
  <c r="J6" i="12"/>
  <c r="K63" i="11"/>
  <c r="I4" i="12"/>
  <c r="I17" i="12" s="1"/>
  <c r="K66" i="11"/>
  <c r="I7" i="12"/>
  <c r="K54" i="11"/>
  <c r="I8" i="12"/>
  <c r="I18" i="12" s="1"/>
  <c r="I64" i="11"/>
  <c r="G5" i="12"/>
  <c r="G16" i="12" s="1"/>
  <c r="K45" i="11"/>
  <c r="I6" i="12"/>
  <c r="I63" i="11"/>
  <c r="G4" i="12"/>
  <c r="G17" i="12" s="1"/>
  <c r="I66" i="11"/>
  <c r="G7" i="12"/>
  <c r="L54" i="11"/>
  <c r="J8" i="12"/>
  <c r="J18" i="12" s="1"/>
  <c r="I54" i="11"/>
  <c r="G8" i="12"/>
  <c r="G18" i="12" s="1"/>
  <c r="H64" i="11"/>
  <c r="F5" i="12"/>
  <c r="I45" i="11"/>
  <c r="G6" i="12"/>
  <c r="H63" i="11"/>
  <c r="F4" i="12"/>
  <c r="F17" i="12" s="1"/>
  <c r="H66" i="11"/>
  <c r="F7" i="12"/>
  <c r="K64" i="11"/>
  <c r="I5" i="12"/>
  <c r="I16" i="12" s="1"/>
  <c r="H54" i="11"/>
  <c r="F8" i="12"/>
  <c r="F18" i="12" s="1"/>
  <c r="F64" i="11"/>
  <c r="H45" i="11"/>
  <c r="F6" i="12"/>
  <c r="F66" i="11"/>
  <c r="E64" i="11"/>
  <c r="F54" i="11"/>
  <c r="E54" i="11"/>
  <c r="L64" i="11"/>
  <c r="J5" i="12"/>
  <c r="J16" i="12" s="1"/>
  <c r="L63" i="11"/>
  <c r="J4" i="12"/>
  <c r="J17" i="12" s="1"/>
  <c r="L66" i="11"/>
  <c r="J7" i="12"/>
  <c r="Z9" i="11"/>
  <c r="Z25" i="11"/>
  <c r="Z20" i="11"/>
  <c r="Z5" i="11"/>
  <c r="Z21" i="11"/>
  <c r="Z29" i="11"/>
  <c r="Z34" i="11"/>
  <c r="Z8" i="11"/>
  <c r="Z18" i="11"/>
  <c r="Z4" i="11"/>
  <c r="Z30" i="11"/>
  <c r="Z26" i="11"/>
  <c r="F8" i="11"/>
  <c r="Z11" i="11"/>
  <c r="B12" i="15"/>
  <c r="W12" i="15"/>
  <c r="Q8" i="11"/>
  <c r="Q42" i="11" s="1"/>
  <c r="Z22" i="11"/>
  <c r="Z6" i="11"/>
  <c r="Z19" i="11"/>
  <c r="Z16" i="11"/>
  <c r="Z28" i="11"/>
  <c r="Z10" i="11"/>
  <c r="Z17" i="11"/>
  <c r="Z31" i="11"/>
  <c r="Z15" i="11"/>
  <c r="Z7" i="11"/>
  <c r="Z14" i="11"/>
  <c r="Z13" i="11"/>
  <c r="Z32" i="11"/>
  <c r="Z23" i="11"/>
  <c r="Z12" i="11"/>
  <c r="Z24" i="11"/>
  <c r="Z27" i="11"/>
  <c r="N42" i="15"/>
  <c r="E25" i="15" s="1"/>
  <c r="W42" i="15"/>
  <c r="E11" i="11"/>
  <c r="E4" i="7" s="1"/>
  <c r="R42" i="15"/>
  <c r="M42" i="15"/>
  <c r="D30" i="15"/>
  <c r="C33" i="15"/>
  <c r="G33" i="15"/>
  <c r="M33" i="15"/>
  <c r="M24" i="11"/>
  <c r="M31" i="11"/>
  <c r="M9" i="11"/>
  <c r="P25" i="11"/>
  <c r="M26" i="11"/>
  <c r="P16" i="11"/>
  <c r="M13" i="11"/>
  <c r="P12" i="11"/>
  <c r="M5" i="11"/>
  <c r="P28" i="11"/>
  <c r="M21" i="11"/>
  <c r="M25" i="11"/>
  <c r="M16" i="11"/>
  <c r="M12" i="11"/>
  <c r="M28" i="11"/>
  <c r="P31" i="11"/>
  <c r="P9" i="11"/>
  <c r="P26" i="11"/>
  <c r="P13" i="11"/>
  <c r="P8" i="11"/>
  <c r="M7" i="11"/>
  <c r="P23" i="11"/>
  <c r="M8" i="11"/>
  <c r="M23" i="11"/>
  <c r="M15" i="11"/>
  <c r="P5" i="11"/>
  <c r="P21" i="11"/>
  <c r="P17" i="11"/>
  <c r="P7" i="11"/>
  <c r="J8" i="11"/>
  <c r="J23" i="11"/>
  <c r="J25" i="11"/>
  <c r="J16" i="11"/>
  <c r="G42" i="15"/>
  <c r="B42" i="15"/>
  <c r="D42" i="15" s="1"/>
  <c r="D38" i="15"/>
  <c r="D39" i="15"/>
  <c r="D40" i="15"/>
  <c r="D37" i="15"/>
  <c r="U22" i="11"/>
  <c r="U56" i="11" s="1"/>
  <c r="D31" i="15"/>
  <c r="F22" i="11"/>
  <c r="F55" i="11" s="1"/>
  <c r="J20" i="11"/>
  <c r="J14" i="11"/>
  <c r="J4" i="11"/>
  <c r="J11" i="11"/>
  <c r="N33" i="15"/>
  <c r="C25" i="15" s="1"/>
  <c r="D28" i="15"/>
  <c r="B33" i="15"/>
  <c r="J7" i="11"/>
  <c r="J31" i="11"/>
  <c r="J9" i="11"/>
  <c r="J26" i="11"/>
  <c r="J13" i="11"/>
  <c r="J5" i="11"/>
  <c r="J21" i="11"/>
  <c r="P24" i="11"/>
  <c r="P15" i="11"/>
  <c r="P27" i="11"/>
  <c r="P34" i="11"/>
  <c r="R33" i="15"/>
  <c r="W33" i="15"/>
  <c r="P32" i="11"/>
  <c r="P20" i="11"/>
  <c r="P14" i="11"/>
  <c r="M20" i="11"/>
  <c r="M14" i="11"/>
  <c r="M4" i="11"/>
  <c r="M11" i="11"/>
  <c r="M32" i="11"/>
  <c r="J33" i="15"/>
  <c r="J24" i="11"/>
  <c r="J15" i="11"/>
  <c r="J27" i="11"/>
  <c r="J34" i="11"/>
  <c r="M18" i="11"/>
  <c r="J12" i="11"/>
  <c r="M27" i="11"/>
  <c r="P4" i="11"/>
  <c r="J28" i="11"/>
  <c r="M34" i="11"/>
  <c r="P11" i="11"/>
  <c r="M30" i="11"/>
  <c r="P18" i="11"/>
  <c r="P22" i="11"/>
  <c r="M19" i="11"/>
  <c r="M22" i="11"/>
  <c r="P10" i="11"/>
  <c r="P29" i="11"/>
  <c r="M17" i="11"/>
  <c r="G18" i="11"/>
  <c r="M10" i="11"/>
  <c r="M29" i="11"/>
  <c r="P30" i="11"/>
  <c r="P6" i="11"/>
  <c r="J10" i="11"/>
  <c r="P19" i="11"/>
  <c r="M6" i="11"/>
  <c r="J29" i="11"/>
  <c r="G17" i="11"/>
  <c r="G16" i="11"/>
  <c r="G28" i="11"/>
  <c r="G29" i="11"/>
  <c r="J30" i="11"/>
  <c r="J6" i="11"/>
  <c r="J32" i="11"/>
  <c r="G32" i="11"/>
  <c r="G30" i="11"/>
  <c r="J19" i="11"/>
  <c r="J18" i="11"/>
  <c r="J22" i="11"/>
  <c r="G19" i="11"/>
  <c r="J17" i="11"/>
  <c r="G25" i="11"/>
  <c r="G12" i="11"/>
  <c r="G10" i="11"/>
  <c r="G24" i="11"/>
  <c r="G15" i="11"/>
  <c r="G20" i="11"/>
  <c r="G14" i="11"/>
  <c r="G4" i="11"/>
  <c r="G26" i="11"/>
  <c r="G13" i="11"/>
  <c r="G5" i="11"/>
  <c r="G21" i="11"/>
  <c r="U6" i="11"/>
  <c r="U40" i="11" s="1"/>
  <c r="J21" i="15"/>
  <c r="C21" i="15"/>
  <c r="B21" i="15"/>
  <c r="E7" i="11"/>
  <c r="E43" i="11" s="1"/>
  <c r="D10" i="15"/>
  <c r="E22" i="11"/>
  <c r="E55" i="11" s="1"/>
  <c r="D9" i="15"/>
  <c r="D8" i="15"/>
  <c r="E31" i="11"/>
  <c r="E33" i="7" s="1"/>
  <c r="F31" i="11"/>
  <c r="F39" i="11" s="1"/>
  <c r="D7" i="15"/>
  <c r="M34" i="7" l="1"/>
  <c r="T63" i="7"/>
  <c r="V67" i="7"/>
  <c r="H17" i="17"/>
  <c r="Z24" i="7"/>
  <c r="Z34" i="7"/>
  <c r="S45" i="7"/>
  <c r="L68" i="7"/>
  <c r="O60" i="7"/>
  <c r="M65" i="7"/>
  <c r="R40" i="7"/>
  <c r="I63" i="7"/>
  <c r="J33" i="7"/>
  <c r="Q14" i="12"/>
  <c r="M32" i="7"/>
  <c r="M10" i="7"/>
  <c r="M28" i="7"/>
  <c r="O43" i="7"/>
  <c r="G32" i="7"/>
  <c r="G65" i="7"/>
  <c r="P14" i="12"/>
  <c r="P34" i="7"/>
  <c r="H66" i="7"/>
  <c r="J66" i="7" s="1"/>
  <c r="J28" i="7"/>
  <c r="P62" i="7"/>
  <c r="I14" i="12"/>
  <c r="J14" i="12"/>
  <c r="J10" i="7"/>
  <c r="P15" i="12"/>
  <c r="U27" i="7"/>
  <c r="U60" i="7" s="1"/>
  <c r="T44" i="7"/>
  <c r="L43" i="7"/>
  <c r="M7" i="7"/>
  <c r="R43" i="7"/>
  <c r="S42" i="7"/>
  <c r="P29" i="7"/>
  <c r="D21" i="15"/>
  <c r="G15" i="12"/>
  <c r="M4" i="7"/>
  <c r="T43" i="7"/>
  <c r="J8" i="7"/>
  <c r="R15" i="12"/>
  <c r="L63" i="7"/>
  <c r="W64" i="7"/>
  <c r="Y40" i="7"/>
  <c r="Q28" i="7"/>
  <c r="Q61" i="7" s="1"/>
  <c r="Z65" i="7"/>
  <c r="Q15" i="12"/>
  <c r="Z32" i="7"/>
  <c r="F14" i="12"/>
  <c r="J34" i="7"/>
  <c r="F15" i="12"/>
  <c r="R14" i="12"/>
  <c r="M33" i="7"/>
  <c r="G10" i="7"/>
  <c r="G14" i="12"/>
  <c r="W15" i="12"/>
  <c r="V15" i="12"/>
  <c r="W14" i="12"/>
  <c r="W19" i="12" s="1"/>
  <c r="U15" i="12"/>
  <c r="W68" i="7"/>
  <c r="U14" i="12"/>
  <c r="U19" i="12" s="1"/>
  <c r="T14" i="12"/>
  <c r="T19" i="12" s="1"/>
  <c r="T15" i="12"/>
  <c r="U9" i="7"/>
  <c r="U42" i="7" s="1"/>
  <c r="U39" i="11"/>
  <c r="U38" i="11"/>
  <c r="U22" i="7"/>
  <c r="U55" i="7" s="1"/>
  <c r="U43" i="11"/>
  <c r="U28" i="7"/>
  <c r="U61" i="7" s="1"/>
  <c r="P32" i="7"/>
  <c r="M15" i="12"/>
  <c r="P65" i="7"/>
  <c r="L14" i="12"/>
  <c r="O64" i="7"/>
  <c r="Q38" i="11"/>
  <c r="O66" i="7"/>
  <c r="Q4" i="7"/>
  <c r="Q38" i="7" s="1"/>
  <c r="M14" i="12"/>
  <c r="M19" i="12" s="1"/>
  <c r="K66" i="7"/>
  <c r="M66" i="7" s="1"/>
  <c r="I15" i="12"/>
  <c r="M62" i="7"/>
  <c r="Q39" i="11"/>
  <c r="J15" i="12"/>
  <c r="F68" i="11"/>
  <c r="G68" i="11" s="1"/>
  <c r="I68" i="7"/>
  <c r="J4" i="7"/>
  <c r="E41" i="11"/>
  <c r="G62" i="7"/>
  <c r="X60" i="7"/>
  <c r="Y66" i="7"/>
  <c r="E31" i="7"/>
  <c r="E64" i="7" s="1"/>
  <c r="E22" i="7"/>
  <c r="E55" i="7" s="1"/>
  <c r="W41" i="7"/>
  <c r="F31" i="7"/>
  <c r="F64" i="7" s="1"/>
  <c r="F34" i="7"/>
  <c r="F8" i="7"/>
  <c r="G8" i="7" s="1"/>
  <c r="E62" i="11"/>
  <c r="G62" i="11" s="1"/>
  <c r="U55" i="11"/>
  <c r="Q30" i="7"/>
  <c r="Q63" i="7" s="1"/>
  <c r="U34" i="7"/>
  <c r="U68" i="7" s="1"/>
  <c r="U8" i="7"/>
  <c r="W44" i="7"/>
  <c r="F22" i="7"/>
  <c r="F55" i="7" s="1"/>
  <c r="O38" i="7"/>
  <c r="T38" i="7"/>
  <c r="U5" i="7"/>
  <c r="U39" i="7" s="1"/>
  <c r="J32" i="7"/>
  <c r="M8" i="7"/>
  <c r="Q61" i="11"/>
  <c r="Q8" i="7"/>
  <c r="J65" i="7"/>
  <c r="U6" i="7"/>
  <c r="Z63" i="11"/>
  <c r="F28" i="7"/>
  <c r="G34" i="11"/>
  <c r="T42" i="7"/>
  <c r="Q5" i="7"/>
  <c r="Q39" i="7" s="1"/>
  <c r="Z47" i="11"/>
  <c r="J62" i="7"/>
  <c r="Z62" i="7"/>
  <c r="Y43" i="7"/>
  <c r="S44" i="7"/>
  <c r="G29" i="7"/>
  <c r="R60" i="7"/>
  <c r="W63" i="7"/>
  <c r="L41" i="7"/>
  <c r="J29" i="7"/>
  <c r="G27" i="11"/>
  <c r="U7" i="7"/>
  <c r="U41" i="7" s="1"/>
  <c r="M29" i="7"/>
  <c r="Q26" i="7"/>
  <c r="Q59" i="7" s="1"/>
  <c r="F26" i="7"/>
  <c r="F59" i="7" s="1"/>
  <c r="Z29" i="7"/>
  <c r="Q11" i="7"/>
  <c r="Q44" i="7" s="1"/>
  <c r="E34" i="7"/>
  <c r="E68" i="7" s="1"/>
  <c r="I42" i="7"/>
  <c r="X63" i="7"/>
  <c r="R44" i="7"/>
  <c r="S38" i="7"/>
  <c r="J44" i="7"/>
  <c r="H60" i="7"/>
  <c r="L64" i="7"/>
  <c r="X41" i="7"/>
  <c r="Y41" i="7"/>
  <c r="R63" i="7"/>
  <c r="T66" i="7"/>
  <c r="W43" i="7"/>
  <c r="K60" i="7"/>
  <c r="S63" i="7"/>
  <c r="Q40" i="7"/>
  <c r="I60" i="7"/>
  <c r="Y38" i="7"/>
  <c r="E66" i="7"/>
  <c r="W42" i="7"/>
  <c r="O63" i="7"/>
  <c r="L42" i="7"/>
  <c r="X43" i="7"/>
  <c r="X40" i="7"/>
  <c r="T68" i="7"/>
  <c r="L60" i="7"/>
  <c r="W45" i="7"/>
  <c r="Y63" i="7"/>
  <c r="O42" i="7"/>
  <c r="I41" i="7"/>
  <c r="X42" i="7"/>
  <c r="R41" i="7"/>
  <c r="S41" i="7"/>
  <c r="T41" i="7"/>
  <c r="O41" i="7"/>
  <c r="M44" i="7"/>
  <c r="T59" i="7"/>
  <c r="R38" i="7"/>
  <c r="S40" i="7"/>
  <c r="R59" i="7"/>
  <c r="Y68" i="7"/>
  <c r="I43" i="7"/>
  <c r="L40" i="7"/>
  <c r="X44" i="7"/>
  <c r="W60" i="7"/>
  <c r="W38" i="7"/>
  <c r="U38" i="7"/>
  <c r="Y45" i="7"/>
  <c r="O45" i="7"/>
  <c r="S60" i="7"/>
  <c r="X67" i="7"/>
  <c r="T60" i="7"/>
  <c r="W61" i="7"/>
  <c r="R42" i="7"/>
  <c r="I45" i="7"/>
  <c r="J45" i="7" s="1"/>
  <c r="R68" i="7"/>
  <c r="U66" i="7"/>
  <c r="Y64" i="7"/>
  <c r="U45" i="7"/>
  <c r="R66" i="7"/>
  <c r="O68" i="7"/>
  <c r="X45" i="7"/>
  <c r="L38" i="7"/>
  <c r="L59" i="7"/>
  <c r="U44" i="7"/>
  <c r="Y60" i="7"/>
  <c r="T45" i="7"/>
  <c r="X68" i="7"/>
  <c r="X38" i="7"/>
  <c r="R61" i="7"/>
  <c r="I40" i="7"/>
  <c r="S64" i="7"/>
  <c r="I64" i="7"/>
  <c r="Y44" i="7"/>
  <c r="O44" i="7"/>
  <c r="E67" i="7"/>
  <c r="Q43" i="7"/>
  <c r="X66" i="7"/>
  <c r="Y59" i="7"/>
  <c r="R64" i="7"/>
  <c r="T61" i="7"/>
  <c r="Y42" i="7"/>
  <c r="L45" i="7"/>
  <c r="M45" i="7" s="1"/>
  <c r="X64" i="7"/>
  <c r="W66" i="7"/>
  <c r="R45" i="7"/>
  <c r="S43" i="7"/>
  <c r="T40" i="7"/>
  <c r="S61" i="7"/>
  <c r="I38" i="7"/>
  <c r="I59" i="7"/>
  <c r="S66" i="7"/>
  <c r="T64" i="7"/>
  <c r="W40" i="7"/>
  <c r="S68" i="7"/>
  <c r="O40" i="7"/>
  <c r="R67" i="7"/>
  <c r="L15" i="12"/>
  <c r="N6" i="12"/>
  <c r="U31" i="7"/>
  <c r="M65" i="11"/>
  <c r="U41" i="11"/>
  <c r="J44" i="11"/>
  <c r="J43" i="11"/>
  <c r="P45" i="11"/>
  <c r="P49" i="11"/>
  <c r="Q44" i="11"/>
  <c r="M42" i="11"/>
  <c r="P38" i="11"/>
  <c r="Z54" i="11"/>
  <c r="U68" i="11"/>
  <c r="U65" i="11"/>
  <c r="E57" i="11"/>
  <c r="T7" i="16"/>
  <c r="E11" i="7"/>
  <c r="M61" i="11"/>
  <c r="Z40" i="11"/>
  <c r="U7" i="16"/>
  <c r="U17" i="16" s="1"/>
  <c r="Q12" i="7"/>
  <c r="Q41" i="7" s="1"/>
  <c r="M62" i="11"/>
  <c r="M40" i="11"/>
  <c r="J68" i="11"/>
  <c r="J61" i="11"/>
  <c r="S4" i="12"/>
  <c r="S17" i="12" s="1"/>
  <c r="U26" i="7"/>
  <c r="U59" i="7" s="1"/>
  <c r="F11" i="7"/>
  <c r="G9" i="11"/>
  <c r="G55" i="11"/>
  <c r="O4" i="12"/>
  <c r="O17" i="12" s="1"/>
  <c r="P43" i="11"/>
  <c r="Q9" i="7"/>
  <c r="Q64" i="7" s="1"/>
  <c r="M56" i="11"/>
  <c r="M55" i="11"/>
  <c r="P39" i="11"/>
  <c r="M47" i="11"/>
  <c r="J49" i="11"/>
  <c r="Q65" i="11"/>
  <c r="G60" i="11"/>
  <c r="E61" i="11"/>
  <c r="Z46" i="11"/>
  <c r="G7" i="16"/>
  <c r="G17" i="16" s="1"/>
  <c r="M57" i="11"/>
  <c r="C5" i="12"/>
  <c r="C16" i="12" s="1"/>
  <c r="D7" i="12"/>
  <c r="M5" i="16"/>
  <c r="M15" i="16" s="1"/>
  <c r="F5" i="16"/>
  <c r="F15" i="16" s="1"/>
  <c r="E63" i="11"/>
  <c r="O6" i="12"/>
  <c r="O15" i="12" s="1"/>
  <c r="G64" i="11"/>
  <c r="L5" i="16"/>
  <c r="L15" i="16" s="1"/>
  <c r="F63" i="11"/>
  <c r="Z58" i="11"/>
  <c r="Z49" i="11"/>
  <c r="Z41" i="11"/>
  <c r="G52" i="11"/>
  <c r="F61" i="11"/>
  <c r="E38" i="11"/>
  <c r="G38" i="11" s="1"/>
  <c r="P55" i="11"/>
  <c r="P52" i="11"/>
  <c r="J41" i="11"/>
  <c r="G39" i="11"/>
  <c r="P60" i="11"/>
  <c r="M51" i="11"/>
  <c r="J38" i="11"/>
  <c r="M43" i="11"/>
  <c r="M44" i="11"/>
  <c r="P42" i="11"/>
  <c r="J42" i="11"/>
  <c r="P51" i="11"/>
  <c r="M38" i="11"/>
  <c r="P46" i="11"/>
  <c r="M48" i="11"/>
  <c r="J50" i="11"/>
  <c r="J62" i="11"/>
  <c r="M67" i="7"/>
  <c r="J40" i="11"/>
  <c r="Z56" i="11"/>
  <c r="M58" i="11"/>
  <c r="Z45" i="11"/>
  <c r="Z68" i="11"/>
  <c r="Z50" i="11"/>
  <c r="Z52" i="11"/>
  <c r="Z62" i="11"/>
  <c r="M50" i="11"/>
  <c r="Z66" i="11"/>
  <c r="P57" i="11"/>
  <c r="M41" i="11"/>
  <c r="G47" i="11"/>
  <c r="J57" i="7"/>
  <c r="M52" i="11"/>
  <c r="Z39" i="11"/>
  <c r="Z55" i="11"/>
  <c r="P54" i="11"/>
  <c r="J56" i="11"/>
  <c r="J55" i="11"/>
  <c r="J52" i="11"/>
  <c r="J48" i="11"/>
  <c r="J57" i="11"/>
  <c r="Z51" i="11"/>
  <c r="P56" i="11"/>
  <c r="J60" i="11"/>
  <c r="Z61" i="11"/>
  <c r="G51" i="11"/>
  <c r="M46" i="11"/>
  <c r="Z60" i="11"/>
  <c r="J53" i="11"/>
  <c r="J47" i="11"/>
  <c r="J58" i="11"/>
  <c r="Z44" i="11"/>
  <c r="P47" i="11"/>
  <c r="M49" i="11"/>
  <c r="Z57" i="11"/>
  <c r="P68" i="11"/>
  <c r="G50" i="11"/>
  <c r="G44" i="11"/>
  <c r="P48" i="11"/>
  <c r="P63" i="11"/>
  <c r="P61" i="11"/>
  <c r="P44" i="11"/>
  <c r="P41" i="11"/>
  <c r="M39" i="11"/>
  <c r="G46" i="11"/>
  <c r="G49" i="11"/>
  <c r="J65" i="11"/>
  <c r="J39" i="11"/>
  <c r="E17" i="17"/>
  <c r="P62" i="11"/>
  <c r="J46" i="11"/>
  <c r="J51" i="11"/>
  <c r="P58" i="11"/>
  <c r="P66" i="11"/>
  <c r="Z43" i="11"/>
  <c r="Z48" i="11"/>
  <c r="Z42" i="11"/>
  <c r="Z38" i="11"/>
  <c r="Z57" i="7"/>
  <c r="M39" i="7"/>
  <c r="M60" i="11"/>
  <c r="D12" i="15"/>
  <c r="P50" i="11"/>
  <c r="M57" i="7"/>
  <c r="P64" i="11"/>
  <c r="Z53" i="11"/>
  <c r="P57" i="7"/>
  <c r="J63" i="11"/>
  <c r="V5" i="16"/>
  <c r="V15" i="16" s="1"/>
  <c r="Q5" i="16"/>
  <c r="Q15" i="16" s="1"/>
  <c r="M68" i="11"/>
  <c r="G48" i="11"/>
  <c r="L6" i="16"/>
  <c r="L16" i="16" s="1"/>
  <c r="P40" i="11"/>
  <c r="V8" i="16"/>
  <c r="V18" i="16" s="1"/>
  <c r="T6" i="16"/>
  <c r="T16" i="16" s="1"/>
  <c r="F17" i="16"/>
  <c r="I18" i="16"/>
  <c r="P26" i="7"/>
  <c r="N59" i="7"/>
  <c r="P59" i="7" s="1"/>
  <c r="K41" i="7"/>
  <c r="M12" i="7"/>
  <c r="H46" i="7"/>
  <c r="J46" i="7" s="1"/>
  <c r="J13" i="7"/>
  <c r="E48" i="7"/>
  <c r="G48" i="7" s="1"/>
  <c r="G15" i="7"/>
  <c r="R8" i="16"/>
  <c r="R18" i="16" s="1"/>
  <c r="T67" i="7"/>
  <c r="J67" i="7"/>
  <c r="N63" i="7"/>
  <c r="P31" i="7"/>
  <c r="K47" i="7"/>
  <c r="M47" i="7" s="1"/>
  <c r="M14" i="7"/>
  <c r="H49" i="7"/>
  <c r="J49" i="7" s="1"/>
  <c r="J16" i="7"/>
  <c r="E58" i="7"/>
  <c r="G25" i="7"/>
  <c r="W7" i="16"/>
  <c r="W17" i="16" s="1"/>
  <c r="Z28" i="7"/>
  <c r="V44" i="7"/>
  <c r="H59" i="7"/>
  <c r="J26" i="7"/>
  <c r="G12" i="7"/>
  <c r="V47" i="7"/>
  <c r="Z47" i="7" s="1"/>
  <c r="Z14" i="7"/>
  <c r="G6" i="16"/>
  <c r="G16" i="16" s="1"/>
  <c r="I39" i="7"/>
  <c r="J39" i="7" s="1"/>
  <c r="Q4" i="16"/>
  <c r="Q14" i="16" s="1"/>
  <c r="S58" i="7"/>
  <c r="P7" i="16"/>
  <c r="P17" i="16" s="1"/>
  <c r="R57" i="7"/>
  <c r="N48" i="7"/>
  <c r="P48" i="7" s="1"/>
  <c r="P15" i="7"/>
  <c r="K50" i="7"/>
  <c r="M50" i="7" s="1"/>
  <c r="M17" i="7"/>
  <c r="J6" i="16"/>
  <c r="J16" i="16" s="1"/>
  <c r="M61" i="7"/>
  <c r="K64" i="7"/>
  <c r="M9" i="7"/>
  <c r="J31" i="7"/>
  <c r="H63" i="7"/>
  <c r="E47" i="7"/>
  <c r="G47" i="7" s="1"/>
  <c r="G14" i="7"/>
  <c r="Z17" i="7"/>
  <c r="V50" i="7"/>
  <c r="Z50" i="7" s="1"/>
  <c r="V54" i="7"/>
  <c r="Z54" i="7" s="1"/>
  <c r="Z21" i="7"/>
  <c r="N38" i="7"/>
  <c r="P11" i="7"/>
  <c r="H52" i="7"/>
  <c r="J52" i="7" s="1"/>
  <c r="J19" i="7"/>
  <c r="E58" i="11"/>
  <c r="E23" i="7"/>
  <c r="C8" i="16" s="1"/>
  <c r="U42" i="11"/>
  <c r="U30" i="7"/>
  <c r="U43" i="7" s="1"/>
  <c r="G4" i="7"/>
  <c r="Z65" i="11"/>
  <c r="O39" i="7"/>
  <c r="P39" i="7" s="1"/>
  <c r="M6" i="16"/>
  <c r="M16" i="16" s="1"/>
  <c r="V68" i="7"/>
  <c r="Z6" i="7"/>
  <c r="V41" i="7"/>
  <c r="Z12" i="7"/>
  <c r="N54" i="7"/>
  <c r="P54" i="7" s="1"/>
  <c r="P21" i="7"/>
  <c r="I17" i="16"/>
  <c r="N41" i="7"/>
  <c r="P12" i="7"/>
  <c r="K46" i="7"/>
  <c r="M46" i="7" s="1"/>
  <c r="M13" i="7"/>
  <c r="H48" i="7"/>
  <c r="J48" i="7" s="1"/>
  <c r="J15" i="7"/>
  <c r="E50" i="7"/>
  <c r="G50" i="7" s="1"/>
  <c r="G17" i="7"/>
  <c r="X58" i="7"/>
  <c r="V4" i="16"/>
  <c r="V14" i="16" s="1"/>
  <c r="F39" i="7"/>
  <c r="G39" i="7" s="1"/>
  <c r="P5" i="16"/>
  <c r="V51" i="7"/>
  <c r="Z51" i="7" s="1"/>
  <c r="Z18" i="7"/>
  <c r="V56" i="7"/>
  <c r="Z56" i="7" s="1"/>
  <c r="Z23" i="7"/>
  <c r="J5" i="16"/>
  <c r="U58" i="11"/>
  <c r="U23" i="7"/>
  <c r="N50" i="7"/>
  <c r="P50" i="7" s="1"/>
  <c r="P17" i="7"/>
  <c r="M19" i="7"/>
  <c r="K52" i="7"/>
  <c r="M52" i="7" s="1"/>
  <c r="Q58" i="7"/>
  <c r="V45" i="7"/>
  <c r="Z33" i="7"/>
  <c r="N68" i="7"/>
  <c r="P6" i="7"/>
  <c r="P13" i="7"/>
  <c r="N46" i="7"/>
  <c r="P46" i="7" s="1"/>
  <c r="K48" i="7"/>
  <c r="M48" i="7" s="1"/>
  <c r="M15" i="7"/>
  <c r="H50" i="7"/>
  <c r="J50" i="7" s="1"/>
  <c r="J17" i="7"/>
  <c r="Z20" i="7"/>
  <c r="V53" i="7"/>
  <c r="Z53" i="7" s="1"/>
  <c r="T39" i="7"/>
  <c r="R6" i="16"/>
  <c r="R16" i="16" s="1"/>
  <c r="J23" i="7"/>
  <c r="H56" i="7"/>
  <c r="J56" i="7" s="1"/>
  <c r="H54" i="7"/>
  <c r="J54" i="7" s="1"/>
  <c r="J21" i="7"/>
  <c r="K38" i="7"/>
  <c r="M11" i="7"/>
  <c r="E52" i="7"/>
  <c r="G52" i="7" s="1"/>
  <c r="G19" i="7"/>
  <c r="J22" i="7"/>
  <c r="H55" i="7"/>
  <c r="J55" i="7" s="1"/>
  <c r="I5" i="16"/>
  <c r="I58" i="7"/>
  <c r="G4" i="16"/>
  <c r="G14" i="16" s="1"/>
  <c r="E51" i="7"/>
  <c r="G51" i="7" s="1"/>
  <c r="G18" i="7"/>
  <c r="N49" i="7"/>
  <c r="P49" i="7" s="1"/>
  <c r="P16" i="7"/>
  <c r="I4" i="16"/>
  <c r="K58" i="7"/>
  <c r="M25" i="7"/>
  <c r="R7" i="16"/>
  <c r="R17" i="16" s="1"/>
  <c r="F58" i="11"/>
  <c r="E56" i="11"/>
  <c r="E27" i="7"/>
  <c r="E60" i="7" s="1"/>
  <c r="T17" i="16"/>
  <c r="H51" i="7"/>
  <c r="J51" i="7" s="1"/>
  <c r="J18" i="7"/>
  <c r="G5" i="7"/>
  <c r="V6" i="16"/>
  <c r="V16" i="16" s="1"/>
  <c r="X39" i="7"/>
  <c r="P23" i="7"/>
  <c r="N56" i="7"/>
  <c r="P56" i="7" s="1"/>
  <c r="P61" i="7"/>
  <c r="N64" i="7"/>
  <c r="P9" i="7"/>
  <c r="K63" i="7"/>
  <c r="M31" i="7"/>
  <c r="H47" i="7"/>
  <c r="J47" i="7" s="1"/>
  <c r="J14" i="7"/>
  <c r="E49" i="7"/>
  <c r="G49" i="7" s="1"/>
  <c r="G16" i="7"/>
  <c r="Y39" i="7"/>
  <c r="Z39" i="7" s="1"/>
  <c r="W6" i="16"/>
  <c r="W16" i="16" s="1"/>
  <c r="J7" i="16"/>
  <c r="J17" i="16" s="1"/>
  <c r="V42" i="7"/>
  <c r="Z27" i="7"/>
  <c r="P6" i="16"/>
  <c r="P16" i="16" s="1"/>
  <c r="R39" i="7"/>
  <c r="T8" i="16"/>
  <c r="K42" i="7"/>
  <c r="M27" i="7"/>
  <c r="M20" i="7"/>
  <c r="K53" i="7"/>
  <c r="M53" i="7" s="1"/>
  <c r="J7" i="7"/>
  <c r="W67" i="7"/>
  <c r="U8" i="16"/>
  <c r="U18" i="16" s="1"/>
  <c r="M7" i="16"/>
  <c r="M17" i="16" s="1"/>
  <c r="Q7" i="16"/>
  <c r="Q17" i="16" s="1"/>
  <c r="Z7" i="7"/>
  <c r="K56" i="7"/>
  <c r="M56" i="7" s="1"/>
  <c r="M23" i="7"/>
  <c r="U5" i="16"/>
  <c r="U6" i="16"/>
  <c r="U16" i="16" s="1"/>
  <c r="J4" i="16"/>
  <c r="J14" i="16" s="1"/>
  <c r="L58" i="7"/>
  <c r="V52" i="7"/>
  <c r="Z52" i="7" s="1"/>
  <c r="Z19" i="7"/>
  <c r="P22" i="7"/>
  <c r="N55" i="7"/>
  <c r="P55" i="7" s="1"/>
  <c r="E54" i="7"/>
  <c r="G54" i="7" s="1"/>
  <c r="G21" i="7"/>
  <c r="W4" i="16"/>
  <c r="W14" i="16" s="1"/>
  <c r="Y58" i="7"/>
  <c r="F58" i="7"/>
  <c r="H43" i="7"/>
  <c r="J30" i="7"/>
  <c r="N51" i="7"/>
  <c r="P51" i="7" s="1"/>
  <c r="P18" i="7"/>
  <c r="K40" i="7"/>
  <c r="M5" i="7"/>
  <c r="J9" i="7"/>
  <c r="H64" i="7"/>
  <c r="V48" i="7"/>
  <c r="Z48" i="7" s="1"/>
  <c r="Z15" i="7"/>
  <c r="V43" i="7"/>
  <c r="Z30" i="7"/>
  <c r="Z5" i="7"/>
  <c r="V40" i="7"/>
  <c r="L8" i="16"/>
  <c r="Z61" i="7"/>
  <c r="R4" i="16"/>
  <c r="R14" i="16" s="1"/>
  <c r="T58" i="7"/>
  <c r="Z11" i="7"/>
  <c r="V38" i="7"/>
  <c r="K43" i="7"/>
  <c r="M30" i="7"/>
  <c r="N40" i="7"/>
  <c r="P5" i="7"/>
  <c r="V66" i="7"/>
  <c r="Z10" i="7"/>
  <c r="U58" i="7"/>
  <c r="O18" i="17"/>
  <c r="Q34" i="7"/>
  <c r="O6" i="16" s="1"/>
  <c r="O16" i="16" s="1"/>
  <c r="K55" i="7"/>
  <c r="M55" i="7" s="1"/>
  <c r="M22" i="7"/>
  <c r="P30" i="7"/>
  <c r="N43" i="7"/>
  <c r="W5" i="16"/>
  <c r="N66" i="7"/>
  <c r="P10" i="7"/>
  <c r="L4" i="16"/>
  <c r="N58" i="7"/>
  <c r="P25" i="7"/>
  <c r="V7" i="16"/>
  <c r="V17" i="16" s="1"/>
  <c r="K51" i="7"/>
  <c r="M51" i="7" s="1"/>
  <c r="M18" i="7"/>
  <c r="J5" i="7"/>
  <c r="H40" i="7"/>
  <c r="L7" i="16"/>
  <c r="F6" i="16"/>
  <c r="N52" i="7"/>
  <c r="P52" i="7" s="1"/>
  <c r="P19" i="7"/>
  <c r="J61" i="7"/>
  <c r="G5" i="16"/>
  <c r="T5" i="16"/>
  <c r="P28" i="7"/>
  <c r="N44" i="7"/>
  <c r="E53" i="7"/>
  <c r="G53" i="7" s="1"/>
  <c r="G20" i="7"/>
  <c r="V64" i="7"/>
  <c r="Z9" i="7"/>
  <c r="T4" i="16"/>
  <c r="Z25" i="7"/>
  <c r="V58" i="7"/>
  <c r="J27" i="7"/>
  <c r="H42" i="7"/>
  <c r="H53" i="7"/>
  <c r="J53" i="7" s="1"/>
  <c r="J20" i="7"/>
  <c r="G9" i="7"/>
  <c r="V46" i="7"/>
  <c r="Z46" i="7" s="1"/>
  <c r="Z13" i="7"/>
  <c r="H38" i="7"/>
  <c r="J11" i="7"/>
  <c r="S39" i="7"/>
  <c r="Q6" i="16"/>
  <c r="Q16" i="16" s="1"/>
  <c r="R58" i="7"/>
  <c r="P4" i="16"/>
  <c r="P14" i="16" s="1"/>
  <c r="R5" i="16"/>
  <c r="N47" i="7"/>
  <c r="P47" i="7" s="1"/>
  <c r="P14" i="7"/>
  <c r="K49" i="7"/>
  <c r="M49" i="7" s="1"/>
  <c r="M16" i="7"/>
  <c r="H58" i="7"/>
  <c r="F4" i="16"/>
  <c r="J25" i="7"/>
  <c r="N42" i="7"/>
  <c r="P27" i="7"/>
  <c r="N53" i="7"/>
  <c r="P53" i="7" s="1"/>
  <c r="P20" i="7"/>
  <c r="Y67" i="7"/>
  <c r="W8" i="16"/>
  <c r="W18" i="16" s="1"/>
  <c r="V60" i="7"/>
  <c r="Z4" i="7"/>
  <c r="K59" i="7"/>
  <c r="M26" i="7"/>
  <c r="H41" i="7"/>
  <c r="J12" i="7"/>
  <c r="E46" i="7"/>
  <c r="G46" i="7" s="1"/>
  <c r="G13" i="7"/>
  <c r="Z16" i="7"/>
  <c r="V49" i="7"/>
  <c r="Z49" i="7" s="1"/>
  <c r="P33" i="7"/>
  <c r="N45" i="7"/>
  <c r="Z26" i="7"/>
  <c r="V59" i="7"/>
  <c r="K54" i="7"/>
  <c r="M54" i="7" s="1"/>
  <c r="M21" i="7"/>
  <c r="H68" i="7"/>
  <c r="J6" i="7"/>
  <c r="P8" i="16"/>
  <c r="P18" i="16" s="1"/>
  <c r="V55" i="7"/>
  <c r="Z55" i="7" s="1"/>
  <c r="Z22" i="7"/>
  <c r="Q8" i="16"/>
  <c r="Q18" i="16" s="1"/>
  <c r="S67" i="7"/>
  <c r="N60" i="7"/>
  <c r="P60" i="7" s="1"/>
  <c r="P4" i="7"/>
  <c r="U4" i="16"/>
  <c r="U14" i="16" s="1"/>
  <c r="W58" i="7"/>
  <c r="K68" i="7"/>
  <c r="M6" i="7"/>
  <c r="F18" i="16"/>
  <c r="O7" i="16"/>
  <c r="O17" i="16" s="1"/>
  <c r="E59" i="7"/>
  <c r="V63" i="7"/>
  <c r="Z31" i="7"/>
  <c r="M4" i="16"/>
  <c r="M14" i="16" s="1"/>
  <c r="O58" i="7"/>
  <c r="G8" i="16"/>
  <c r="G18" i="16" s="1"/>
  <c r="J8" i="16"/>
  <c r="J18" i="16" s="1"/>
  <c r="S7" i="16"/>
  <c r="S17" i="16" s="1"/>
  <c r="I6" i="16"/>
  <c r="O67" i="7"/>
  <c r="P67" i="7" s="1"/>
  <c r="M8" i="16"/>
  <c r="M18" i="16" s="1"/>
  <c r="J64" i="11"/>
  <c r="J45" i="11"/>
  <c r="M45" i="11"/>
  <c r="J66" i="11"/>
  <c r="P65" i="11"/>
  <c r="N16" i="17"/>
  <c r="P53" i="11"/>
  <c r="M53" i="11"/>
  <c r="M54" i="11"/>
  <c r="N16" i="12"/>
  <c r="Z64" i="11"/>
  <c r="E4" i="17"/>
  <c r="C14" i="17"/>
  <c r="X5" i="17"/>
  <c r="T15" i="17"/>
  <c r="X15" i="17" s="1"/>
  <c r="X8" i="17"/>
  <c r="T18" i="17"/>
  <c r="X18" i="17" s="1"/>
  <c r="U14" i="17"/>
  <c r="U19" i="17" s="1"/>
  <c r="U9" i="17"/>
  <c r="F16" i="17"/>
  <c r="H16" i="17" s="1"/>
  <c r="H6" i="17"/>
  <c r="O9" i="17"/>
  <c r="O14" i="17"/>
  <c r="Q9" i="17"/>
  <c r="Q14" i="17"/>
  <c r="Q19" i="17" s="1"/>
  <c r="I9" i="17"/>
  <c r="K4" i="17"/>
  <c r="I14" i="17"/>
  <c r="F15" i="17"/>
  <c r="H15" i="17" s="1"/>
  <c r="H5" i="17"/>
  <c r="D14" i="17"/>
  <c r="T17" i="17"/>
  <c r="X17" i="17" s="1"/>
  <c r="X7" i="17"/>
  <c r="T14" i="17"/>
  <c r="X4" i="17"/>
  <c r="T9" i="17"/>
  <c r="S16" i="17"/>
  <c r="K7" i="17"/>
  <c r="L14" i="17"/>
  <c r="L9" i="17"/>
  <c r="M14" i="17"/>
  <c r="M19" i="17" s="1"/>
  <c r="M9" i="17"/>
  <c r="L17" i="17"/>
  <c r="N17" i="17" s="1"/>
  <c r="N7" i="17"/>
  <c r="P9" i="17"/>
  <c r="P14" i="17"/>
  <c r="P19" i="17" s="1"/>
  <c r="F18" i="17"/>
  <c r="H18" i="17" s="1"/>
  <c r="H8" i="17"/>
  <c r="G9" i="17"/>
  <c r="G14" i="17"/>
  <c r="G19" i="17" s="1"/>
  <c r="K17" i="17"/>
  <c r="P19" i="12"/>
  <c r="V9" i="17"/>
  <c r="V14" i="17"/>
  <c r="V19" i="17" s="1"/>
  <c r="W9" i="17"/>
  <c r="W14" i="17"/>
  <c r="W19" i="17" s="1"/>
  <c r="L15" i="17"/>
  <c r="N15" i="17" s="1"/>
  <c r="N5" i="17"/>
  <c r="K5" i="17"/>
  <c r="I15" i="17"/>
  <c r="K15" i="17" s="1"/>
  <c r="R9" i="17"/>
  <c r="R14" i="17"/>
  <c r="R19" i="17" s="1"/>
  <c r="I18" i="17"/>
  <c r="K18" i="17" s="1"/>
  <c r="K8" i="17"/>
  <c r="J9" i="17"/>
  <c r="J14" i="17"/>
  <c r="J19" i="17" s="1"/>
  <c r="D18" i="17"/>
  <c r="Q19" i="12"/>
  <c r="T16" i="17"/>
  <c r="X16" i="17" s="1"/>
  <c r="X6" i="17"/>
  <c r="I16" i="17"/>
  <c r="K16" i="17" s="1"/>
  <c r="K6" i="17"/>
  <c r="F9" i="17"/>
  <c r="H4" i="17"/>
  <c r="F14" i="17"/>
  <c r="C15" i="17"/>
  <c r="E15" i="17" s="1"/>
  <c r="E5" i="17"/>
  <c r="S18" i="17"/>
  <c r="I19" i="12"/>
  <c r="R19" i="12"/>
  <c r="K17" i="12"/>
  <c r="X17" i="12"/>
  <c r="H17" i="12"/>
  <c r="K16" i="12"/>
  <c r="H5" i="12"/>
  <c r="F16" i="12"/>
  <c r="H16" i="12" s="1"/>
  <c r="V9" i="12"/>
  <c r="V14" i="12"/>
  <c r="V19" i="12" s="1"/>
  <c r="N18" i="12"/>
  <c r="N4" i="12"/>
  <c r="L17" i="12"/>
  <c r="N17" i="12" s="1"/>
  <c r="X18" i="12"/>
  <c r="H18" i="12"/>
  <c r="K18" i="12"/>
  <c r="X16" i="12"/>
  <c r="Q9" i="12"/>
  <c r="P9" i="12"/>
  <c r="H6" i="12"/>
  <c r="H7" i="12"/>
  <c r="F9" i="12"/>
  <c r="X4" i="12"/>
  <c r="I9" i="12"/>
  <c r="J9" i="12"/>
  <c r="H4" i="12"/>
  <c r="M9" i="12"/>
  <c r="N5" i="12"/>
  <c r="G9" i="12"/>
  <c r="L9" i="12"/>
  <c r="X5" i="12"/>
  <c r="X7" i="12"/>
  <c r="W9" i="12"/>
  <c r="U9" i="12"/>
  <c r="R9" i="12"/>
  <c r="T9" i="12"/>
  <c r="X6" i="12"/>
  <c r="X8" i="12"/>
  <c r="Q40" i="11"/>
  <c r="O8" i="12"/>
  <c r="M64" i="11"/>
  <c r="H8" i="12"/>
  <c r="N7" i="12"/>
  <c r="S6" i="12"/>
  <c r="S15" i="12" s="1"/>
  <c r="J54" i="11"/>
  <c r="G54" i="11"/>
  <c r="K5" i="12"/>
  <c r="K7" i="12"/>
  <c r="S8" i="12"/>
  <c r="S18" i="12" s="1"/>
  <c r="N8" i="12"/>
  <c r="F45" i="11"/>
  <c r="C8" i="12"/>
  <c r="C18" i="12" s="1"/>
  <c r="K8" i="12"/>
  <c r="D8" i="12"/>
  <c r="D18" i="12" s="1"/>
  <c r="M66" i="11"/>
  <c r="E45" i="11"/>
  <c r="K6" i="12"/>
  <c r="K4" i="12"/>
  <c r="M63" i="11"/>
  <c r="E66" i="11"/>
  <c r="G66" i="11" s="1"/>
  <c r="C7" i="12"/>
  <c r="J59" i="11"/>
  <c r="M59" i="11"/>
  <c r="P59" i="11"/>
  <c r="G59" i="11"/>
  <c r="Z59" i="11"/>
  <c r="G11" i="11"/>
  <c r="G8" i="11"/>
  <c r="D33" i="15"/>
  <c r="G22" i="11"/>
  <c r="G31" i="11"/>
  <c r="F23" i="11"/>
  <c r="F23" i="7" s="1"/>
  <c r="F56" i="7" s="1"/>
  <c r="E6" i="11"/>
  <c r="C34" i="5"/>
  <c r="C36" i="5" s="1"/>
  <c r="Z67" i="7" l="1"/>
  <c r="Z60" i="7"/>
  <c r="P43" i="7"/>
  <c r="M68" i="7"/>
  <c r="Z43" i="7"/>
  <c r="J63" i="7"/>
  <c r="M42" i="7"/>
  <c r="X15" i="12"/>
  <c r="H14" i="12"/>
  <c r="G19" i="12"/>
  <c r="K15" i="12"/>
  <c r="Z64" i="7"/>
  <c r="Z42" i="7"/>
  <c r="Z44" i="7"/>
  <c r="K14" i="12"/>
  <c r="N15" i="12"/>
  <c r="J19" i="12"/>
  <c r="M63" i="7"/>
  <c r="P45" i="7"/>
  <c r="J38" i="7"/>
  <c r="Z45" i="7"/>
  <c r="Z40" i="7"/>
  <c r="H15" i="12"/>
  <c r="J68" i="7"/>
  <c r="F67" i="7"/>
  <c r="G67" i="7" s="1"/>
  <c r="P38" i="7"/>
  <c r="Z63" i="7"/>
  <c r="M43" i="7"/>
  <c r="M38" i="7"/>
  <c r="M64" i="7"/>
  <c r="P40" i="7"/>
  <c r="Z66" i="7"/>
  <c r="P64" i="7"/>
  <c r="P41" i="7"/>
  <c r="O4" i="16"/>
  <c r="O14" i="16" s="1"/>
  <c r="X14" i="12"/>
  <c r="N14" i="12"/>
  <c r="S4" i="16"/>
  <c r="S14" i="16" s="1"/>
  <c r="G34" i="7"/>
  <c r="Z68" i="7"/>
  <c r="S14" i="12"/>
  <c r="P66" i="7"/>
  <c r="P68" i="7"/>
  <c r="P42" i="7"/>
  <c r="F68" i="7"/>
  <c r="G68" i="7" s="1"/>
  <c r="G55" i="7"/>
  <c r="G22" i="7"/>
  <c r="M41" i="7"/>
  <c r="J42" i="7"/>
  <c r="O14" i="12"/>
  <c r="E65" i="11"/>
  <c r="C4" i="12"/>
  <c r="C14" i="12" s="1"/>
  <c r="U67" i="7"/>
  <c r="U40" i="7"/>
  <c r="G31" i="7"/>
  <c r="E6" i="7"/>
  <c r="Z41" i="7"/>
  <c r="Z38" i="7"/>
  <c r="P44" i="7"/>
  <c r="F61" i="7"/>
  <c r="G61" i="7" s="1"/>
  <c r="G28" i="7"/>
  <c r="E40" i="11"/>
  <c r="E7" i="7"/>
  <c r="G26" i="7"/>
  <c r="J59" i="7"/>
  <c r="P63" i="7"/>
  <c r="G59" i="7"/>
  <c r="U63" i="7"/>
  <c r="Q68" i="7"/>
  <c r="U64" i="7"/>
  <c r="M60" i="7"/>
  <c r="E38" i="7"/>
  <c r="E44" i="7"/>
  <c r="Q45" i="7"/>
  <c r="J41" i="7"/>
  <c r="F38" i="7"/>
  <c r="F44" i="7"/>
  <c r="J60" i="7"/>
  <c r="Q42" i="7"/>
  <c r="Z59" i="7"/>
  <c r="J40" i="7"/>
  <c r="M59" i="7"/>
  <c r="Q66" i="7"/>
  <c r="Q60" i="7"/>
  <c r="G64" i="7"/>
  <c r="M40" i="7"/>
  <c r="J43" i="7"/>
  <c r="J64" i="7"/>
  <c r="N14" i="17"/>
  <c r="G11" i="7"/>
  <c r="O5" i="16"/>
  <c r="O15" i="16" s="1"/>
  <c r="H5" i="16"/>
  <c r="S5" i="16"/>
  <c r="S15" i="16" s="1"/>
  <c r="G61" i="11"/>
  <c r="H7" i="16"/>
  <c r="H17" i="16"/>
  <c r="N5" i="16"/>
  <c r="S6" i="16"/>
  <c r="S16" i="16" s="1"/>
  <c r="G63" i="11"/>
  <c r="F24" i="7"/>
  <c r="F57" i="7" s="1"/>
  <c r="G57" i="7" s="1"/>
  <c r="F57" i="11"/>
  <c r="G57" i="11" s="1"/>
  <c r="O19" i="17"/>
  <c r="J58" i="7"/>
  <c r="G58" i="11"/>
  <c r="Z58" i="7"/>
  <c r="L9" i="16"/>
  <c r="Q9" i="16"/>
  <c r="X7" i="16"/>
  <c r="V9" i="16"/>
  <c r="V19" i="16"/>
  <c r="N16" i="16"/>
  <c r="E42" i="11"/>
  <c r="E30" i="7"/>
  <c r="C5" i="16" s="1"/>
  <c r="C15" i="16" s="1"/>
  <c r="H8" i="16"/>
  <c r="E42" i="7"/>
  <c r="P15" i="16"/>
  <c r="P19" i="16" s="1"/>
  <c r="P9" i="16"/>
  <c r="K17" i="16"/>
  <c r="E56" i="7"/>
  <c r="G56" i="7" s="1"/>
  <c r="G23" i="7"/>
  <c r="X6" i="16"/>
  <c r="I16" i="16"/>
  <c r="K16" i="16" s="1"/>
  <c r="K6" i="16"/>
  <c r="H18" i="16"/>
  <c r="X5" i="16"/>
  <c r="W9" i="16"/>
  <c r="W15" i="16"/>
  <c r="W19" i="16" s="1"/>
  <c r="N8" i="16"/>
  <c r="L18" i="16"/>
  <c r="N18" i="16" s="1"/>
  <c r="J15" i="16"/>
  <c r="J19" i="16" s="1"/>
  <c r="J9" i="16"/>
  <c r="K8" i="16"/>
  <c r="R15" i="16"/>
  <c r="R19" i="16" s="1"/>
  <c r="R9" i="16"/>
  <c r="N15" i="16"/>
  <c r="M9" i="16"/>
  <c r="K18" i="16"/>
  <c r="F16" i="16"/>
  <c r="H16" i="16" s="1"/>
  <c r="H6" i="16"/>
  <c r="M19" i="16"/>
  <c r="D8" i="16"/>
  <c r="D18" i="16" s="1"/>
  <c r="H4" i="16"/>
  <c r="F14" i="16"/>
  <c r="H14" i="16" s="1"/>
  <c r="X4" i="16"/>
  <c r="T14" i="16"/>
  <c r="X14" i="16" s="1"/>
  <c r="L17" i="16"/>
  <c r="N17" i="16" s="1"/>
  <c r="N7" i="16"/>
  <c r="X8" i="16"/>
  <c r="T18" i="16"/>
  <c r="X18" i="16" s="1"/>
  <c r="Q19" i="16"/>
  <c r="P58" i="7"/>
  <c r="F9" i="16"/>
  <c r="X17" i="16"/>
  <c r="C18" i="16"/>
  <c r="T15" i="16"/>
  <c r="T9" i="16"/>
  <c r="L14" i="16"/>
  <c r="N14" i="16" s="1"/>
  <c r="N4" i="16"/>
  <c r="O8" i="16"/>
  <c r="O18" i="16" s="1"/>
  <c r="Q67" i="7"/>
  <c r="M58" i="7"/>
  <c r="I15" i="16"/>
  <c r="I9" i="16"/>
  <c r="K5" i="16"/>
  <c r="N6" i="16"/>
  <c r="G15" i="16"/>
  <c r="G19" i="16" s="1"/>
  <c r="G9" i="16"/>
  <c r="U15" i="16"/>
  <c r="U19" i="16" s="1"/>
  <c r="U9" i="16"/>
  <c r="K4" i="16"/>
  <c r="I14" i="16"/>
  <c r="K14" i="16" s="1"/>
  <c r="U56" i="7"/>
  <c r="S8" i="16"/>
  <c r="S18" i="16" s="1"/>
  <c r="K7" i="16"/>
  <c r="G58" i="7"/>
  <c r="X16" i="16"/>
  <c r="H9" i="12"/>
  <c r="H9" i="17"/>
  <c r="N9" i="12"/>
  <c r="K19" i="12"/>
  <c r="S19" i="12"/>
  <c r="N9" i="17"/>
  <c r="K9" i="12"/>
  <c r="K9" i="17"/>
  <c r="S19" i="17"/>
  <c r="H14" i="17"/>
  <c r="F19" i="17"/>
  <c r="H19" i="17" s="1"/>
  <c r="L19" i="17"/>
  <c r="N19" i="17" s="1"/>
  <c r="C18" i="17"/>
  <c r="E18" i="17" s="1"/>
  <c r="E8" i="17"/>
  <c r="S9" i="17"/>
  <c r="K14" i="17"/>
  <c r="I19" i="17"/>
  <c r="K19" i="17" s="1"/>
  <c r="E14" i="17"/>
  <c r="F53" i="11"/>
  <c r="G53" i="11" s="1"/>
  <c r="X9" i="17"/>
  <c r="X14" i="17"/>
  <c r="X19" i="17" s="1"/>
  <c r="T19" i="17"/>
  <c r="G45" i="11"/>
  <c r="F19" i="12"/>
  <c r="H19" i="12" s="1"/>
  <c r="X19" i="12"/>
  <c r="L19" i="12"/>
  <c r="N19" i="12" s="1"/>
  <c r="E18" i="12"/>
  <c r="O9" i="12"/>
  <c r="O18" i="12"/>
  <c r="X9" i="12"/>
  <c r="S9" i="12"/>
  <c r="E7" i="12"/>
  <c r="C6" i="12"/>
  <c r="E8" i="12"/>
  <c r="G23" i="11"/>
  <c r="F7" i="11"/>
  <c r="F41" i="11" s="1"/>
  <c r="G41" i="11" s="1"/>
  <c r="O19" i="12" l="1"/>
  <c r="C17" i="12"/>
  <c r="E40" i="7"/>
  <c r="G38" i="7"/>
  <c r="C4" i="16"/>
  <c r="E41" i="7"/>
  <c r="D5" i="12"/>
  <c r="E5" i="12" s="1"/>
  <c r="F33" i="7"/>
  <c r="E45" i="7"/>
  <c r="E63" i="7"/>
  <c r="G44" i="7"/>
  <c r="G24" i="7"/>
  <c r="C7" i="16"/>
  <c r="C17" i="16" s="1"/>
  <c r="C6" i="16"/>
  <c r="C16" i="16" s="1"/>
  <c r="D16" i="12"/>
  <c r="E16" i="12" s="1"/>
  <c r="F27" i="7"/>
  <c r="F60" i="7" s="1"/>
  <c r="G60" i="7" s="1"/>
  <c r="F43" i="11"/>
  <c r="G43" i="11" s="1"/>
  <c r="N9" i="16"/>
  <c r="X9" i="16"/>
  <c r="K9" i="16"/>
  <c r="E8" i="16"/>
  <c r="T19" i="16"/>
  <c r="X19" i="16" s="1"/>
  <c r="X15" i="16"/>
  <c r="H9" i="16"/>
  <c r="S19" i="16"/>
  <c r="F19" i="16"/>
  <c r="H19" i="16" s="1"/>
  <c r="H15" i="16"/>
  <c r="E18" i="16"/>
  <c r="O9" i="16"/>
  <c r="O19" i="16"/>
  <c r="L19" i="16"/>
  <c r="N19" i="16" s="1"/>
  <c r="E43" i="7"/>
  <c r="K15" i="16"/>
  <c r="I19" i="16"/>
  <c r="K19" i="16" s="1"/>
  <c r="S9" i="16"/>
  <c r="C16" i="17"/>
  <c r="C9" i="17"/>
  <c r="C9" i="12"/>
  <c r="C15" i="12"/>
  <c r="C19" i="12" s="1"/>
  <c r="F56" i="11"/>
  <c r="G56" i="11" s="1"/>
  <c r="G7" i="11"/>
  <c r="F6" i="11"/>
  <c r="D4" i="12" s="1"/>
  <c r="D17" i="12" l="1"/>
  <c r="E17" i="12" s="1"/>
  <c r="D14" i="12"/>
  <c r="E14" i="12" s="1"/>
  <c r="E4" i="12"/>
  <c r="F6" i="7"/>
  <c r="G6" i="7" s="1"/>
  <c r="F65" i="11"/>
  <c r="G65" i="11" s="1"/>
  <c r="F66" i="7"/>
  <c r="G66" i="7" s="1"/>
  <c r="G33" i="7"/>
  <c r="F40" i="11"/>
  <c r="G40" i="11" s="1"/>
  <c r="F7" i="7"/>
  <c r="C14" i="16"/>
  <c r="F42" i="7"/>
  <c r="G42" i="7" s="1"/>
  <c r="C9" i="16"/>
  <c r="G27" i="7"/>
  <c r="F42" i="11"/>
  <c r="G42" i="11" s="1"/>
  <c r="F30" i="7"/>
  <c r="C19" i="17"/>
  <c r="D6" i="12"/>
  <c r="D15" i="12" s="1"/>
  <c r="G6" i="11"/>
  <c r="F40" i="7" l="1"/>
  <c r="G40" i="7" s="1"/>
  <c r="G7" i="7"/>
  <c r="F41" i="7"/>
  <c r="G41" i="7" s="1"/>
  <c r="D4" i="16"/>
  <c r="C19" i="16"/>
  <c r="F63" i="7"/>
  <c r="G63" i="7" s="1"/>
  <c r="D5" i="16"/>
  <c r="D6" i="16"/>
  <c r="E6" i="16" s="1"/>
  <c r="F45" i="7"/>
  <c r="G45" i="7" s="1"/>
  <c r="F43" i="7"/>
  <c r="G43" i="7" s="1"/>
  <c r="G30" i="7"/>
  <c r="D7" i="16"/>
  <c r="D16" i="17"/>
  <c r="D9" i="17"/>
  <c r="E9" i="17" s="1"/>
  <c r="E6" i="17"/>
  <c r="E15" i="12"/>
  <c r="D19" i="12"/>
  <c r="E19" i="12" s="1"/>
  <c r="E6" i="12"/>
  <c r="D9" i="12"/>
  <c r="E9" i="12" s="1"/>
  <c r="D14" i="16" l="1"/>
  <c r="E14" i="16" s="1"/>
  <c r="E4" i="16"/>
  <c r="D15" i="16"/>
  <c r="E15" i="16" s="1"/>
  <c r="E5" i="16"/>
  <c r="D16" i="16"/>
  <c r="E16" i="16" s="1"/>
  <c r="D17" i="16"/>
  <c r="D9" i="16"/>
  <c r="E9" i="16" s="1"/>
  <c r="E7" i="16"/>
  <c r="D19" i="17"/>
  <c r="E19" i="17" s="1"/>
  <c r="E16" i="17"/>
  <c r="D19" i="16" l="1"/>
  <c r="E19" i="16" s="1"/>
  <c r="E17" i="16"/>
</calcChain>
</file>

<file path=xl/sharedStrings.xml><?xml version="1.0" encoding="utf-8"?>
<sst xmlns="http://schemas.openxmlformats.org/spreadsheetml/2006/main" count="3501" uniqueCount="289">
  <si>
    <t>Total FGM</t>
  </si>
  <si>
    <t>Total FGA</t>
  </si>
  <si>
    <t>Overall FG%</t>
  </si>
  <si>
    <t>2PT FGM</t>
  </si>
  <si>
    <t>2PT FGA</t>
  </si>
  <si>
    <t>2PT FG%</t>
  </si>
  <si>
    <t>3PT FGM</t>
  </si>
  <si>
    <t>3PT FGA</t>
  </si>
  <si>
    <t>3PT FG%</t>
  </si>
  <si>
    <t>FTM</t>
  </si>
  <si>
    <t>FTA</t>
  </si>
  <si>
    <t>FT %</t>
  </si>
  <si>
    <t>TOTAL POINTS</t>
  </si>
  <si>
    <t>Dunks</t>
  </si>
  <si>
    <t>Def. Boards</t>
  </si>
  <si>
    <t>Off. Boards</t>
  </si>
  <si>
    <t>Total Boards</t>
  </si>
  <si>
    <t>Dimes</t>
  </si>
  <si>
    <t>Cookies</t>
  </si>
  <si>
    <t>Swats</t>
  </si>
  <si>
    <t>Turnovers</t>
  </si>
  <si>
    <t>Dimes:TO</t>
  </si>
  <si>
    <t>Baller</t>
  </si>
  <si>
    <t>Team</t>
  </si>
  <si>
    <t>The Best</t>
  </si>
  <si>
    <t>Name</t>
  </si>
  <si>
    <t>Yes</t>
  </si>
  <si>
    <t>No</t>
  </si>
  <si>
    <t>Mark Mino</t>
  </si>
  <si>
    <t>Tom Dio</t>
  </si>
  <si>
    <t>Max Gersten</t>
  </si>
  <si>
    <t>Devin Mac</t>
  </si>
  <si>
    <t>Zach Cohen</t>
  </si>
  <si>
    <t>Blake Seidman</t>
  </si>
  <si>
    <t>Alex Bronzo</t>
  </si>
  <si>
    <t>Silas Richelson</t>
  </si>
  <si>
    <t>Jason Riemer</t>
  </si>
  <si>
    <t>Todd Easton</t>
  </si>
  <si>
    <t>Chris Coccaro</t>
  </si>
  <si>
    <t>Jon Zaretsky</t>
  </si>
  <si>
    <t>Chris Hoolan</t>
  </si>
  <si>
    <t>Alex Vincenzi</t>
  </si>
  <si>
    <t>Tom Ahrens</t>
  </si>
  <si>
    <t>Erik Wilhelm</t>
  </si>
  <si>
    <t>Ben Arfa</t>
  </si>
  <si>
    <t>Josh Zaretsky</t>
  </si>
  <si>
    <t>Ben Pasinkoff</t>
  </si>
  <si>
    <t>Ryan Burke</t>
  </si>
  <si>
    <t>Steve Glauber</t>
  </si>
  <si>
    <t>Matt O'D</t>
  </si>
  <si>
    <t>Matt Levine</t>
  </si>
  <si>
    <t>Vinny Morrone</t>
  </si>
  <si>
    <t>Justin Fox</t>
  </si>
  <si>
    <t>Adam Perry</t>
  </si>
  <si>
    <t>James Eaton</t>
  </si>
  <si>
    <t>Eric Schulman</t>
  </si>
  <si>
    <t>Matt Sgarlatta</t>
  </si>
  <si>
    <t>Hari Miskin</t>
  </si>
  <si>
    <t>TOTAL</t>
  </si>
  <si>
    <t>Product</t>
  </si>
  <si>
    <t>#</t>
  </si>
  <si>
    <t>Price</t>
  </si>
  <si>
    <t>Total</t>
  </si>
  <si>
    <t>Tomballs</t>
  </si>
  <si>
    <t>Memory Card</t>
  </si>
  <si>
    <t>Court Marking</t>
  </si>
  <si>
    <t>Game:</t>
  </si>
  <si>
    <t>TALLY</t>
  </si>
  <si>
    <t>Away Team</t>
  </si>
  <si>
    <t>Baller 1</t>
  </si>
  <si>
    <t>Baller 2</t>
  </si>
  <si>
    <t>Baller 3</t>
  </si>
  <si>
    <t>Baller 4</t>
  </si>
  <si>
    <t>Baller 5</t>
  </si>
  <si>
    <t>Home Team</t>
  </si>
  <si>
    <t>TOTALS</t>
  </si>
  <si>
    <t>Team Totals</t>
  </si>
  <si>
    <t>The Business</t>
  </si>
  <si>
    <t>Buckets</t>
  </si>
  <si>
    <t>Nightcrawler</t>
  </si>
  <si>
    <t>The Litigator</t>
  </si>
  <si>
    <t>The Thief</t>
  </si>
  <si>
    <t>Cock Arrow</t>
  </si>
  <si>
    <t>The Horror</t>
  </si>
  <si>
    <t>The Beast</t>
  </si>
  <si>
    <t>Papa Tiger</t>
  </si>
  <si>
    <t>Time Bomb</t>
  </si>
  <si>
    <t>Sweet Baby</t>
  </si>
  <si>
    <t>Good News</t>
  </si>
  <si>
    <t>The General</t>
  </si>
  <si>
    <t>The Captain</t>
  </si>
  <si>
    <t>Starfox</t>
  </si>
  <si>
    <t>Shark Attack</t>
  </si>
  <si>
    <t>Professor X</t>
  </si>
  <si>
    <t>Motor Boat</t>
  </si>
  <si>
    <t>Up &amp; Coming</t>
  </si>
  <si>
    <t>The Flying Dutchman</t>
  </si>
  <si>
    <t>Sooooo Good</t>
  </si>
  <si>
    <t>The Mathematician</t>
  </si>
  <si>
    <t>Pearl White</t>
  </si>
  <si>
    <t>AKA</t>
  </si>
  <si>
    <t>Rosetta Stone</t>
  </si>
  <si>
    <t>Killer of Sheep</t>
  </si>
  <si>
    <t>Billy Hoyle</t>
  </si>
  <si>
    <t>E-Hawka</t>
  </si>
  <si>
    <t>TOTAL BALLERS</t>
  </si>
  <si>
    <t>Time</t>
  </si>
  <si>
    <t>Away</t>
  </si>
  <si>
    <t>Home</t>
  </si>
  <si>
    <t>Flying Dutchman</t>
  </si>
  <si>
    <t>Seed 5</t>
  </si>
  <si>
    <t>Seed 4</t>
  </si>
  <si>
    <t>Seed 4/5</t>
  </si>
  <si>
    <t>Seed 1</t>
  </si>
  <si>
    <t>Seed 3</t>
  </si>
  <si>
    <t>Seed 2</t>
  </si>
  <si>
    <t>Lower Seed</t>
  </si>
  <si>
    <t>Higher Seed</t>
  </si>
  <si>
    <t>Team 1</t>
  </si>
  <si>
    <t>Team 2</t>
  </si>
  <si>
    <t>Team 3</t>
  </si>
  <si>
    <t>Team 4</t>
  </si>
  <si>
    <t>Team 5</t>
  </si>
  <si>
    <t>10 minute games</t>
  </si>
  <si>
    <t>PLAY IN SERIES</t>
  </si>
  <si>
    <t>if necessary</t>
  </si>
  <si>
    <t>SEMIS</t>
  </si>
  <si>
    <t>FINALS</t>
  </si>
  <si>
    <t>8 minute halves</t>
  </si>
  <si>
    <t>Seed 6</t>
  </si>
  <si>
    <t>Seed 5/6</t>
  </si>
  <si>
    <t>Seed 3/4</t>
  </si>
  <si>
    <t>DNP</t>
  </si>
  <si>
    <t>FULL LIST</t>
  </si>
  <si>
    <t>vs</t>
  </si>
  <si>
    <t>Achy Blakey</t>
  </si>
  <si>
    <t>Round Robin Stats</t>
  </si>
  <si>
    <t>at</t>
  </si>
  <si>
    <t>Games Played</t>
  </si>
  <si>
    <t>AVERAGES</t>
  </si>
  <si>
    <t>AVERAGE POINTS</t>
  </si>
  <si>
    <t>Round Robin Stats -- Teams</t>
  </si>
  <si>
    <t>Playoff Stats</t>
  </si>
  <si>
    <t>Playoff Stats -- Teams</t>
  </si>
  <si>
    <t>Round Robin Games</t>
  </si>
  <si>
    <t>Playoff Games</t>
  </si>
  <si>
    <t>FIRST HALF</t>
  </si>
  <si>
    <t>SECOND HALF</t>
  </si>
  <si>
    <t>TOTAL GAME</t>
  </si>
  <si>
    <t>AWAY</t>
  </si>
  <si>
    <t>HOME</t>
  </si>
  <si>
    <t>Score</t>
  </si>
  <si>
    <t>Overall Stats</t>
  </si>
  <si>
    <t>Overall Stats -- Teams</t>
  </si>
  <si>
    <t>MVP</t>
  </si>
  <si>
    <t>First Team</t>
  </si>
  <si>
    <t>Second Team</t>
  </si>
  <si>
    <t>Defensive Player</t>
  </si>
  <si>
    <t>Most Improved</t>
  </si>
  <si>
    <t>All-Defense First Team</t>
  </si>
  <si>
    <t>All-Defense Second Team</t>
  </si>
  <si>
    <t>Biggest Impact</t>
  </si>
  <si>
    <t>Best Quotes Caught on Camera</t>
  </si>
  <si>
    <t>TomBall Records Broken/Tied</t>
  </si>
  <si>
    <t>Feast Attendance</t>
  </si>
  <si>
    <t>Muffin Tops</t>
  </si>
  <si>
    <t>Cookie Monsters</t>
  </si>
  <si>
    <t>3s Ala Mode</t>
  </si>
  <si>
    <t>Rainbow Jeters</t>
  </si>
  <si>
    <t>Column1</t>
  </si>
  <si>
    <t>Max</t>
  </si>
  <si>
    <t>Blake</t>
  </si>
  <si>
    <t>Todd</t>
  </si>
  <si>
    <t>Silas</t>
  </si>
  <si>
    <t>Hools</t>
  </si>
  <si>
    <t>Steve</t>
  </si>
  <si>
    <t>Vinny</t>
  </si>
  <si>
    <t>Sgars</t>
  </si>
  <si>
    <t>Schulm</t>
  </si>
  <si>
    <t>Adam</t>
  </si>
  <si>
    <t>HIDDEN</t>
  </si>
  <si>
    <t>SERIES</t>
  </si>
  <si>
    <t>SERIES STATS</t>
  </si>
  <si>
    <t>GAME 1</t>
  </si>
  <si>
    <t>GAME 2</t>
  </si>
  <si>
    <t>GAME 3</t>
  </si>
  <si>
    <t>The Flying Dutchman 1</t>
  </si>
  <si>
    <t>The Horror 1</t>
  </si>
  <si>
    <t>AKA 1</t>
  </si>
  <si>
    <t>The Flying Dutchman 2</t>
  </si>
  <si>
    <t>The Horror 2</t>
  </si>
  <si>
    <t>AKA 2</t>
  </si>
  <si>
    <t>The Mathematician 2</t>
  </si>
  <si>
    <t>AKA 3</t>
  </si>
  <si>
    <t>The Mathematician 3</t>
  </si>
  <si>
    <t>The Flying Dutchman 3</t>
  </si>
  <si>
    <t>The Horror 3</t>
  </si>
  <si>
    <t>Achy Blakey 1</t>
  </si>
  <si>
    <t>Papa Tiger 1</t>
  </si>
  <si>
    <t>Billy Hoyle 1</t>
  </si>
  <si>
    <t>Good News 1</t>
  </si>
  <si>
    <t>Billy Hoyle 2</t>
  </si>
  <si>
    <t>Good News 2</t>
  </si>
  <si>
    <t>Achy Blakey 2</t>
  </si>
  <si>
    <t>Papa Tiger 2</t>
  </si>
  <si>
    <t>Series Score</t>
  </si>
  <si>
    <t>Eric Salsberg</t>
  </si>
  <si>
    <t>Sally</t>
  </si>
  <si>
    <t>Bar Mitzvah Boys</t>
  </si>
  <si>
    <t>Nokia Snakes</t>
  </si>
  <si>
    <t>Sneakers</t>
  </si>
  <si>
    <t>Shirt</t>
  </si>
  <si>
    <t>Shorts</t>
  </si>
  <si>
    <t>Ankle Brace</t>
  </si>
  <si>
    <t>Tom</t>
  </si>
  <si>
    <t>Zaret</t>
  </si>
  <si>
    <t>Coccaro</t>
  </si>
  <si>
    <t>Justin</t>
  </si>
  <si>
    <t>Jeter</t>
  </si>
  <si>
    <t>Hari</t>
  </si>
  <si>
    <t>James</t>
  </si>
  <si>
    <t>BAR MITZVAH BOYS</t>
  </si>
  <si>
    <t>BMBs</t>
  </si>
  <si>
    <t>FIVE TEAMS (4 players on a team) - 10 min games, Playoffs best of 3 series OR two 6 min halves</t>
  </si>
  <si>
    <t>TWO TEAMS (5 players on a team) - 20 min games/10 min halves</t>
  </si>
  <si>
    <t>6 (if necessary)</t>
  </si>
  <si>
    <t>7 (if necessary)</t>
  </si>
  <si>
    <t>TomBall Summer Classic 2018: Y2K (or, 14 Years Old) -- SUNDAY RAIN DATE</t>
  </si>
  <si>
    <t>TOMBALL SUMMER CLASSIC 2018 AWARDS</t>
  </si>
  <si>
    <t>Other 2018 Notables</t>
  </si>
  <si>
    <t>Sally 1</t>
  </si>
  <si>
    <t>The Mathematician 1</t>
  </si>
  <si>
    <t>The Best 1</t>
  </si>
  <si>
    <t>Sally 2</t>
  </si>
  <si>
    <t>The Best 2</t>
  </si>
  <si>
    <t>The Best 3</t>
  </si>
  <si>
    <t>Achy Blakey 3</t>
  </si>
  <si>
    <t>Billy Hoyle 3</t>
  </si>
  <si>
    <t>Sally 3</t>
  </si>
  <si>
    <t>Good News 3</t>
  </si>
  <si>
    <t>GAME 4</t>
  </si>
  <si>
    <t>AKA 4</t>
  </si>
  <si>
    <t>The Mathematician 4</t>
  </si>
  <si>
    <t>The Best 4</t>
  </si>
  <si>
    <t>Achy Blakey 4</t>
  </si>
  <si>
    <t>Billy Hoyle 4</t>
  </si>
  <si>
    <t>The Flying Dutchman 4</t>
  </si>
  <si>
    <t>Sally 4</t>
  </si>
  <si>
    <t>Good News 4</t>
  </si>
  <si>
    <t>The Horror 4</t>
  </si>
  <si>
    <t>GAME 5</t>
  </si>
  <si>
    <t>The Best 5 - DNP</t>
  </si>
  <si>
    <t>The Mathematician 5</t>
  </si>
  <si>
    <t>The Horror 5</t>
  </si>
  <si>
    <t>The Flying Dutchman 5</t>
  </si>
  <si>
    <t>Sally 5</t>
  </si>
  <si>
    <t>Good News 5</t>
  </si>
  <si>
    <t>Achy Blakey 5</t>
  </si>
  <si>
    <t>Billy Hoyle 5</t>
  </si>
  <si>
    <t>AKA 5</t>
  </si>
  <si>
    <t>GAME 1 TOTALS</t>
  </si>
  <si>
    <t>GAME 2 TOTALS</t>
  </si>
  <si>
    <t>GAME 3 TOTALS</t>
  </si>
  <si>
    <t>GAME 4 TOTALS</t>
  </si>
  <si>
    <t>The Best - DNP</t>
  </si>
  <si>
    <t>The Mathematician B</t>
  </si>
  <si>
    <t>The Mathematician N</t>
  </si>
  <si>
    <t>FIRST RAIN DATE IN TOMBALL HISTORY</t>
  </si>
  <si>
    <t>Game 1</t>
  </si>
  <si>
    <t>First Half</t>
  </si>
  <si>
    <t>Second Half</t>
  </si>
  <si>
    <t>Nokia</t>
  </si>
  <si>
    <t>Final Score</t>
  </si>
  <si>
    <t>Game 2</t>
  </si>
  <si>
    <t>Game 3</t>
  </si>
  <si>
    <t>Game 4</t>
  </si>
  <si>
    <t>Game 5</t>
  </si>
  <si>
    <t>NOKIA</t>
  </si>
  <si>
    <t>FULL</t>
  </si>
  <si>
    <t>AKA &amp; Papa Tiger</t>
  </si>
  <si>
    <t>AKA scored 51 points on the road (including a BLISTERING 25 points in the 2nd half of Game 4)</t>
  </si>
  <si>
    <t>New Format this year, so everything was CRAY</t>
  </si>
  <si>
    <t>The Mathematician scored 6 points on 3-21, shooting in 4 games on the BMBs</t>
  </si>
  <si>
    <t>"DID YOU FORGET I WAS THE BODY?!" - AKA, to The Flying Dutchman, while bodying him</t>
  </si>
  <si>
    <t>"Do that again Blake and I'm gonna have to punch you in the face." - Flying Dutchman</t>
  </si>
  <si>
    <t>"The balls allowed to caress the bush." - The Thief</t>
  </si>
  <si>
    <t>"Was it Silas again?" - The Greatest, to The Thief, when asking about The Best's injury</t>
  </si>
  <si>
    <t>"It's much better playing on the fun team, it's more fun." - The Mathematician</t>
  </si>
  <si>
    <t>The Mathematician scored 9 points on 4-7 shooting, subbing in for The Best in the final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</si>
</sst>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00"/>
    <numFmt numFmtId="165" formatCode="_(&quot;$&quot;* #,##0_);_(&quot;$&quot;* \(#,##0\);_(&quot;$&quot;* &quot;-&quot;??_);_(@_)"/>
    <numFmt numFmtId="166" formatCode="0.0%"/>
    <numFmt numFmtId="167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FF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4" borderId="8" xfId="0" applyFill="1" applyBorder="1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2" fontId="0" fillId="0" borderId="0" xfId="0" applyNumberFormat="1" applyFill="1" applyBorder="1"/>
    <xf numFmtId="0" fontId="2" fillId="0" borderId="0" xfId="0" applyFont="1" applyFill="1" applyBorder="1"/>
    <xf numFmtId="0" fontId="0" fillId="0" borderId="12" xfId="0" applyBorder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NumberFormat="1" applyFont="1" applyBorder="1"/>
    <xf numFmtId="0" fontId="0" fillId="0" borderId="0" xfId="0" applyBorder="1" applyAlignment="1">
      <alignment horizontal="center"/>
    </xf>
    <xf numFmtId="0" fontId="3" fillId="0" borderId="0" xfId="0" applyFont="1" applyAlignment="1">
      <alignment vertical="top"/>
    </xf>
    <xf numFmtId="0" fontId="2" fillId="0" borderId="0" xfId="0" applyFont="1"/>
    <xf numFmtId="0" fontId="4" fillId="0" borderId="1" xfId="0" applyFont="1" applyBorder="1" applyAlignment="1">
      <alignment vertical="top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4" borderId="2" xfId="0" applyFill="1" applyBorder="1"/>
    <xf numFmtId="0" fontId="0" fillId="0" borderId="9" xfId="0" applyBorder="1"/>
    <xf numFmtId="0" fontId="0" fillId="4" borderId="1" xfId="0" applyFill="1" applyBorder="1"/>
    <xf numFmtId="0" fontId="0" fillId="4" borderId="13" xfId="0" applyFill="1" applyBorder="1"/>
    <xf numFmtId="0" fontId="0" fillId="4" borderId="6" xfId="0" applyFill="1" applyBorder="1"/>
    <xf numFmtId="0" fontId="0" fillId="0" borderId="10" xfId="0" applyBorder="1"/>
    <xf numFmtId="0" fontId="0" fillId="0" borderId="11" xfId="0" applyBorder="1"/>
    <xf numFmtId="0" fontId="0" fillId="4" borderId="11" xfId="0" applyFill="1" applyBorder="1"/>
    <xf numFmtId="0" fontId="0" fillId="4" borderId="14" xfId="0" applyFill="1" applyBorder="1"/>
    <xf numFmtId="0" fontId="0" fillId="0" borderId="15" xfId="0" applyBorder="1"/>
    <xf numFmtId="0" fontId="0" fillId="0" borderId="6" xfId="0" applyBorder="1"/>
    <xf numFmtId="0" fontId="4" fillId="0" borderId="16" xfId="0" applyFont="1" applyBorder="1" applyAlignment="1">
      <alignment vertical="top"/>
    </xf>
    <xf numFmtId="0" fontId="0" fillId="0" borderId="16" xfId="0" applyBorder="1" applyAlignment="1">
      <alignment wrapText="1"/>
    </xf>
    <xf numFmtId="0" fontId="0" fillId="0" borderId="16" xfId="0" applyBorder="1"/>
    <xf numFmtId="0" fontId="0" fillId="4" borderId="16" xfId="0" applyFill="1" applyBorder="1"/>
    <xf numFmtId="0" fontId="0" fillId="0" borderId="17" xfId="0" applyBorder="1"/>
    <xf numFmtId="0" fontId="0" fillId="0" borderId="18" xfId="0" applyBorder="1"/>
    <xf numFmtId="0" fontId="5" fillId="0" borderId="7" xfId="0" applyFont="1" applyBorder="1" applyAlignment="1">
      <alignment horizontal="center" vertical="center"/>
    </xf>
    <xf numFmtId="0" fontId="0" fillId="0" borderId="8" xfId="0" applyBorder="1" applyAlignment="1">
      <alignment wrapText="1"/>
    </xf>
    <xf numFmtId="164" fontId="0" fillId="4" borderId="19" xfId="0" applyNumberFormat="1" applyFill="1" applyBorder="1" applyAlignment="1">
      <alignment wrapText="1"/>
    </xf>
    <xf numFmtId="0" fontId="0" fillId="0" borderId="7" xfId="0" applyBorder="1"/>
    <xf numFmtId="0" fontId="0" fillId="0" borderId="8" xfId="0" applyBorder="1"/>
    <xf numFmtId="0" fontId="0" fillId="4" borderId="20" xfId="0" applyFill="1" applyBorder="1"/>
    <xf numFmtId="0" fontId="0" fillId="0" borderId="21" xfId="0" applyBorder="1" applyAlignment="1">
      <alignment wrapText="1"/>
    </xf>
    <xf numFmtId="2" fontId="0" fillId="4" borderId="20" xfId="0" applyNumberFormat="1" applyFill="1" applyBorder="1" applyAlignment="1">
      <alignment wrapText="1"/>
    </xf>
    <xf numFmtId="0" fontId="6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ont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left"/>
    </xf>
    <xf numFmtId="0" fontId="2" fillId="0" borderId="0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7" fillId="6" borderId="3" xfId="0" applyFont="1" applyFill="1" applyBorder="1"/>
    <xf numFmtId="0" fontId="7" fillId="6" borderId="4" xfId="0" applyFont="1" applyFill="1" applyBorder="1"/>
    <xf numFmtId="0" fontId="7" fillId="6" borderId="5" xfId="0" applyFont="1" applyFill="1" applyBorder="1"/>
    <xf numFmtId="20" fontId="7" fillId="6" borderId="9" xfId="0" applyNumberFormat="1" applyFont="1" applyFill="1" applyBorder="1"/>
    <xf numFmtId="20" fontId="7" fillId="6" borderId="1" xfId="0" applyNumberFormat="1" applyFont="1" applyFill="1" applyBorder="1"/>
    <xf numFmtId="0" fontId="0" fillId="0" borderId="0" xfId="0" applyFill="1" applyAlignment="1">
      <alignment horizontal="right"/>
    </xf>
    <xf numFmtId="20" fontId="7" fillId="0" borderId="0" xfId="0" applyNumberFormat="1" applyFont="1" applyFill="1" applyBorder="1"/>
    <xf numFmtId="20" fontId="7" fillId="6" borderId="3" xfId="0" applyNumberFormat="1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center"/>
    </xf>
    <xf numFmtId="20" fontId="7" fillId="6" borderId="10" xfId="0" applyNumberFormat="1" applyFont="1" applyFill="1" applyBorder="1"/>
    <xf numFmtId="0" fontId="13" fillId="0" borderId="0" xfId="0" applyFont="1"/>
    <xf numFmtId="20" fontId="7" fillId="6" borderId="22" xfId="0" applyNumberFormat="1" applyFont="1" applyFill="1" applyBorder="1"/>
    <xf numFmtId="0" fontId="0" fillId="0" borderId="23" xfId="0" applyBorder="1"/>
    <xf numFmtId="0" fontId="13" fillId="0" borderId="25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2" applyFont="1"/>
    <xf numFmtId="9" fontId="0" fillId="0" borderId="0" xfId="2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 wrapText="1"/>
    </xf>
    <xf numFmtId="9" fontId="0" fillId="0" borderId="0" xfId="2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4" fillId="0" borderId="0" xfId="0" applyFont="1" applyBorder="1" applyAlignment="1">
      <alignment vertical="top"/>
    </xf>
    <xf numFmtId="0" fontId="0" fillId="0" borderId="0" xfId="0" applyFont="1" applyBorder="1"/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/>
    </xf>
    <xf numFmtId="9" fontId="0" fillId="0" borderId="31" xfId="2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9" fontId="2" fillId="0" borderId="0" xfId="2" applyFont="1" applyFill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9" fontId="2" fillId="0" borderId="26" xfId="2" applyFont="1" applyFill="1" applyBorder="1" applyAlignment="1">
      <alignment horizontal="center"/>
    </xf>
    <xf numFmtId="9" fontId="2" fillId="0" borderId="33" xfId="2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2" fontId="2" fillId="0" borderId="0" xfId="0" applyNumberFormat="1" applyFont="1" applyFill="1" applyBorder="1" applyAlignment="1">
      <alignment horizontal="center" wrapText="1"/>
    </xf>
    <xf numFmtId="9" fontId="2" fillId="0" borderId="0" xfId="2" applyFont="1" applyFill="1" applyBorder="1" applyAlignment="1">
      <alignment horizontal="center"/>
    </xf>
    <xf numFmtId="9" fontId="2" fillId="0" borderId="26" xfId="2" applyFont="1" applyBorder="1" applyAlignment="1">
      <alignment horizontal="center" wrapText="1"/>
    </xf>
    <xf numFmtId="0" fontId="0" fillId="0" borderId="27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 wrapText="1"/>
    </xf>
    <xf numFmtId="9" fontId="0" fillId="0" borderId="28" xfId="2" applyFont="1" applyFill="1" applyBorder="1" applyAlignment="1">
      <alignment horizontal="center" vertical="center" wrapText="1"/>
    </xf>
    <xf numFmtId="9" fontId="0" fillId="0" borderId="29" xfId="2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left" vertical="center"/>
    </xf>
    <xf numFmtId="0" fontId="0" fillId="7" borderId="0" xfId="0" applyFill="1"/>
    <xf numFmtId="0" fontId="3" fillId="7" borderId="0" xfId="0" applyFont="1" applyFill="1" applyAlignment="1">
      <alignment vertical="top"/>
    </xf>
    <xf numFmtId="0" fontId="0" fillId="8" borderId="0" xfId="0" applyFill="1"/>
    <xf numFmtId="0" fontId="0" fillId="2" borderId="0" xfId="0" applyFill="1"/>
    <xf numFmtId="9" fontId="0" fillId="2" borderId="0" xfId="2" applyFont="1" applyFill="1"/>
    <xf numFmtId="9" fontId="0" fillId="8" borderId="0" xfId="2" applyFont="1" applyFill="1"/>
    <xf numFmtId="0" fontId="0" fillId="2" borderId="0" xfId="0" applyFill="1" applyBorder="1"/>
    <xf numFmtId="9" fontId="0" fillId="2" borderId="0" xfId="2" applyFont="1" applyFill="1" applyBorder="1"/>
    <xf numFmtId="0" fontId="0" fillId="0" borderId="0" xfId="0" applyBorder="1" applyAlignment="1">
      <alignment wrapText="1"/>
    </xf>
    <xf numFmtId="166" fontId="0" fillId="0" borderId="0" xfId="2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6" fontId="0" fillId="0" borderId="0" xfId="2" applyNumberFormat="1" applyFont="1" applyBorder="1" applyAlignment="1">
      <alignment horizontal="center" vertical="center"/>
    </xf>
    <xf numFmtId="166" fontId="0" fillId="0" borderId="31" xfId="2" applyNumberFormat="1" applyFont="1" applyBorder="1" applyAlignment="1">
      <alignment horizontal="center" vertical="center"/>
    </xf>
    <xf numFmtId="166" fontId="0" fillId="0" borderId="26" xfId="2" applyNumberFormat="1" applyFont="1" applyBorder="1" applyAlignment="1">
      <alignment horizontal="center" vertical="center"/>
    </xf>
    <xf numFmtId="166" fontId="0" fillId="0" borderId="33" xfId="2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31" xfId="0" applyNumberFormat="1" applyBorder="1" applyAlignment="1">
      <alignment horizontal="center" vertical="center"/>
    </xf>
    <xf numFmtId="0" fontId="0" fillId="8" borderId="0" xfId="0" applyFill="1" applyBorder="1"/>
    <xf numFmtId="9" fontId="0" fillId="8" borderId="0" xfId="2" applyFont="1" applyFill="1" applyBorder="1"/>
    <xf numFmtId="167" fontId="0" fillId="0" borderId="0" xfId="0" applyNumberFormat="1" applyAlignment="1">
      <alignment horizontal="center" vertical="center"/>
    </xf>
    <xf numFmtId="167" fontId="0" fillId="0" borderId="30" xfId="0" applyNumberFormat="1" applyBorder="1" applyAlignment="1">
      <alignment horizontal="center" vertical="center"/>
    </xf>
    <xf numFmtId="167" fontId="0" fillId="0" borderId="32" xfId="0" applyNumberFormat="1" applyBorder="1" applyAlignment="1">
      <alignment horizontal="center" vertical="center"/>
    </xf>
    <xf numFmtId="167" fontId="0" fillId="0" borderId="26" xfId="0" applyNumberFormat="1" applyBorder="1" applyAlignment="1">
      <alignment horizontal="center" vertical="center"/>
    </xf>
    <xf numFmtId="166" fontId="0" fillId="0" borderId="0" xfId="0" applyNumberFormat="1" applyFont="1" applyAlignment="1">
      <alignment horizontal="center" vertical="center"/>
    </xf>
    <xf numFmtId="166" fontId="0" fillId="0" borderId="31" xfId="0" applyNumberFormat="1" applyFont="1" applyBorder="1" applyAlignment="1">
      <alignment horizontal="center" vertical="center"/>
    </xf>
    <xf numFmtId="0" fontId="0" fillId="0" borderId="34" xfId="0" applyFill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66" fontId="0" fillId="0" borderId="26" xfId="0" applyNumberFormat="1" applyBorder="1" applyAlignment="1">
      <alignment horizontal="center" vertical="center"/>
    </xf>
    <xf numFmtId="166" fontId="0" fillId="0" borderId="33" xfId="0" applyNumberFormat="1" applyBorder="1" applyAlignment="1">
      <alignment horizontal="center" vertical="center"/>
    </xf>
    <xf numFmtId="0" fontId="6" fillId="0" borderId="12" xfId="0" applyFont="1" applyBorder="1"/>
    <xf numFmtId="0" fontId="2" fillId="0" borderId="12" xfId="0" applyFont="1" applyBorder="1"/>
    <xf numFmtId="0" fontId="15" fillId="0" borderId="0" xfId="0" applyFont="1"/>
    <xf numFmtId="0" fontId="2" fillId="4" borderId="1" xfId="0" applyFont="1" applyFill="1" applyBorder="1"/>
    <xf numFmtId="0" fontId="2" fillId="0" borderId="12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Fill="1" applyBorder="1"/>
    <xf numFmtId="0" fontId="0" fillId="0" borderId="0" xfId="0" applyBorder="1" applyAlignment="1">
      <alignment horizontal="left"/>
    </xf>
    <xf numFmtId="165" fontId="2" fillId="0" borderId="0" xfId="1" applyNumberFormat="1" applyFont="1" applyBorder="1"/>
    <xf numFmtId="0" fontId="0" fillId="0" borderId="12" xfId="0" applyFill="1" applyBorder="1"/>
    <xf numFmtId="0" fontId="0" fillId="0" borderId="12" xfId="0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35" xfId="0" applyFont="1" applyFill="1" applyBorder="1"/>
    <xf numFmtId="0" fontId="4" fillId="0" borderId="0" xfId="0" applyFont="1" applyAlignment="1">
      <alignment vertical="top"/>
    </xf>
    <xf numFmtId="0" fontId="16" fillId="0" borderId="0" xfId="0" applyFont="1" applyFill="1" applyBorder="1" applyAlignment="1">
      <alignment vertical="center"/>
    </xf>
    <xf numFmtId="0" fontId="6" fillId="10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2" fontId="0" fillId="0" borderId="0" xfId="0" applyNumberFormat="1" applyFill="1" applyAlignment="1">
      <alignment horizontal="center" vertical="center"/>
    </xf>
    <xf numFmtId="0" fontId="0" fillId="0" borderId="24" xfId="0" applyFill="1" applyBorder="1" applyAlignment="1">
      <alignment horizontal="center"/>
    </xf>
    <xf numFmtId="0" fontId="6" fillId="11" borderId="0" xfId="0" applyFont="1" applyFill="1" applyBorder="1" applyAlignment="1">
      <alignment horizontal="right" vertical="center"/>
    </xf>
    <xf numFmtId="0" fontId="6" fillId="11" borderId="0" xfId="0" applyFont="1" applyFill="1" applyBorder="1" applyAlignment="1">
      <alignment horizontal="center" vertical="center"/>
    </xf>
    <xf numFmtId="0" fontId="0" fillId="11" borderId="0" xfId="0" applyFill="1"/>
    <xf numFmtId="0" fontId="3" fillId="11" borderId="0" xfId="0" applyFont="1" applyFill="1" applyAlignment="1">
      <alignment vertical="top"/>
    </xf>
    <xf numFmtId="0" fontId="0" fillId="2" borderId="0" xfId="0" applyFill="1" applyBorder="1" applyAlignment="1">
      <alignment horizontal="left"/>
    </xf>
    <xf numFmtId="165" fontId="0" fillId="2" borderId="0" xfId="1" applyNumberFormat="1" applyFont="1" applyFill="1" applyBorder="1"/>
    <xf numFmtId="0" fontId="0" fillId="5" borderId="0" xfId="0" applyFill="1" applyBorder="1"/>
    <xf numFmtId="0" fontId="0" fillId="5" borderId="0" xfId="0" applyFill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/>
    </xf>
    <xf numFmtId="0" fontId="11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9" fillId="2" borderId="16" xfId="0" applyFont="1" applyFill="1" applyBorder="1"/>
    <xf numFmtId="0" fontId="8" fillId="13" borderId="6" xfId="0" applyFont="1" applyFill="1" applyBorder="1" applyAlignment="1">
      <alignment horizontal="center" vertical="center"/>
    </xf>
    <xf numFmtId="0" fontId="9" fillId="13" borderId="1" xfId="0" applyFont="1" applyFill="1" applyBorder="1"/>
    <xf numFmtId="0" fontId="9" fillId="13" borderId="16" xfId="0" applyFont="1" applyFill="1" applyBorder="1"/>
    <xf numFmtId="0" fontId="8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166" fontId="0" fillId="0" borderId="0" xfId="2" applyNumberFormat="1" applyFont="1" applyFill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6" fontId="0" fillId="0" borderId="0" xfId="2" applyNumberFormat="1" applyFont="1" applyFill="1" applyBorder="1" applyAlignment="1">
      <alignment horizontal="center" vertical="center"/>
    </xf>
    <xf numFmtId="166" fontId="0" fillId="0" borderId="31" xfId="2" applyNumberFormat="1" applyFont="1" applyFill="1" applyBorder="1" applyAlignment="1">
      <alignment horizontal="center" vertical="center"/>
    </xf>
    <xf numFmtId="167" fontId="0" fillId="0" borderId="0" xfId="0" applyNumberFormat="1" applyFill="1" applyAlignment="1">
      <alignment horizontal="center" vertical="center"/>
    </xf>
    <xf numFmtId="167" fontId="0" fillId="0" borderId="30" xfId="0" applyNumberFormat="1" applyFill="1" applyBorder="1" applyAlignment="1">
      <alignment horizontal="center" vertical="center"/>
    </xf>
    <xf numFmtId="167" fontId="0" fillId="0" borderId="0" xfId="0" applyNumberFormat="1" applyFill="1" applyBorder="1" applyAlignment="1">
      <alignment horizontal="center" vertical="center"/>
    </xf>
    <xf numFmtId="9" fontId="0" fillId="0" borderId="0" xfId="2" applyFont="1" applyFill="1" applyAlignment="1">
      <alignment horizontal="center"/>
    </xf>
    <xf numFmtId="2" fontId="0" fillId="0" borderId="0" xfId="2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9" fontId="0" fillId="0" borderId="0" xfId="2" applyNumberFormat="1" applyFont="1" applyFill="1" applyAlignment="1">
      <alignment horizontal="center"/>
    </xf>
    <xf numFmtId="0" fontId="0" fillId="0" borderId="30" xfId="0" applyNumberFormat="1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9" fontId="0" fillId="0" borderId="0" xfId="2" applyNumberFormat="1" applyFont="1" applyFill="1" applyBorder="1" applyAlignment="1">
      <alignment horizontal="center"/>
    </xf>
    <xf numFmtId="9" fontId="0" fillId="0" borderId="31" xfId="2" applyNumberFormat="1" applyFont="1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9" fontId="0" fillId="0" borderId="26" xfId="2" applyFont="1" applyFill="1" applyBorder="1" applyAlignment="1">
      <alignment horizontal="center"/>
    </xf>
    <xf numFmtId="9" fontId="0" fillId="0" borderId="33" xfId="2" applyFont="1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2" fontId="0" fillId="0" borderId="30" xfId="0" applyNumberFormat="1" applyFill="1" applyBorder="1" applyAlignment="1">
      <alignment horizontal="center"/>
    </xf>
    <xf numFmtId="2" fontId="0" fillId="0" borderId="32" xfId="0" applyNumberFormat="1" applyFill="1" applyBorder="1" applyAlignment="1">
      <alignment horizontal="center"/>
    </xf>
    <xf numFmtId="2" fontId="0" fillId="0" borderId="26" xfId="0" applyNumberFormat="1" applyFill="1" applyBorder="1" applyAlignment="1">
      <alignment horizontal="center"/>
    </xf>
    <xf numFmtId="0" fontId="0" fillId="11" borderId="0" xfId="0" applyFill="1" applyBorder="1"/>
    <xf numFmtId="0" fontId="0" fillId="11" borderId="0" xfId="0" applyFont="1" applyFill="1"/>
    <xf numFmtId="0" fontId="0" fillId="10" borderId="0" xfId="0" applyFont="1" applyFill="1"/>
    <xf numFmtId="0" fontId="0" fillId="10" borderId="0" xfId="0" applyFill="1"/>
    <xf numFmtId="0" fontId="0" fillId="10" borderId="0" xfId="0" applyFont="1" applyFill="1" applyBorder="1"/>
    <xf numFmtId="0" fontId="0" fillId="10" borderId="0" xfId="0" applyFill="1" applyBorder="1"/>
    <xf numFmtId="0" fontId="0" fillId="12" borderId="0" xfId="0" applyFont="1" applyFill="1"/>
    <xf numFmtId="0" fontId="0" fillId="12" borderId="0" xfId="0" applyFill="1"/>
    <xf numFmtId="0" fontId="0" fillId="12" borderId="0" xfId="0" applyFont="1" applyFill="1" applyBorder="1"/>
    <xf numFmtId="0" fontId="0" fillId="12" borderId="0" xfId="0" applyFill="1" applyBorder="1"/>
    <xf numFmtId="0" fontId="0" fillId="0" borderId="36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0" fillId="2" borderId="12" xfId="0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13" borderId="0" xfId="0" applyFill="1" applyBorder="1" applyAlignment="1">
      <alignment horizontal="center"/>
    </xf>
    <xf numFmtId="0" fontId="2" fillId="13" borderId="0" xfId="0" applyFont="1" applyFill="1" applyBorder="1" applyAlignment="1">
      <alignment horizontal="center"/>
    </xf>
    <xf numFmtId="0" fontId="0" fillId="13" borderId="12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/>
    <xf numFmtId="0" fontId="0" fillId="0" borderId="6" xfId="0" applyFill="1" applyBorder="1"/>
    <xf numFmtId="0" fontId="0" fillId="5" borderId="0" xfId="0" applyFill="1" applyBorder="1" applyAlignment="1">
      <alignment horizontal="center" wrapText="1"/>
    </xf>
    <xf numFmtId="9" fontId="0" fillId="5" borderId="0" xfId="2" applyFont="1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8" borderId="24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2" fontId="0" fillId="5" borderId="0" xfId="0" applyNumberFormat="1" applyFill="1" applyBorder="1" applyAlignment="1">
      <alignment horizontal="center"/>
    </xf>
    <xf numFmtId="9" fontId="0" fillId="5" borderId="31" xfId="2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166" fontId="0" fillId="5" borderId="0" xfId="2" applyNumberFormat="1" applyFont="1" applyFill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166" fontId="0" fillId="5" borderId="0" xfId="2" applyNumberFormat="1" applyFont="1" applyFill="1" applyBorder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167" fontId="0" fillId="5" borderId="0" xfId="0" applyNumberFormat="1" applyFill="1" applyAlignment="1">
      <alignment horizontal="center" vertical="center"/>
    </xf>
    <xf numFmtId="167" fontId="0" fillId="5" borderId="30" xfId="0" applyNumberFormat="1" applyFill="1" applyBorder="1" applyAlignment="1">
      <alignment horizontal="center" vertical="center"/>
    </xf>
    <xf numFmtId="167" fontId="0" fillId="5" borderId="0" xfId="0" applyNumberFormat="1" applyFill="1" applyBorder="1" applyAlignment="1">
      <alignment horizontal="center" vertical="center"/>
    </xf>
    <xf numFmtId="0" fontId="0" fillId="14" borderId="0" xfId="0" applyFill="1" applyAlignment="1">
      <alignment horizontal="center" vertical="center"/>
    </xf>
    <xf numFmtId="167" fontId="0" fillId="14" borderId="0" xfId="0" applyNumberFormat="1" applyFill="1" applyAlignment="1">
      <alignment horizontal="center" vertical="center"/>
    </xf>
    <xf numFmtId="0" fontId="0" fillId="5" borderId="0" xfId="0" applyFill="1" applyAlignment="1">
      <alignment horizontal="center"/>
    </xf>
    <xf numFmtId="9" fontId="0" fillId="5" borderId="0" xfId="2" applyNumberFormat="1" applyFont="1" applyFill="1" applyAlignment="1">
      <alignment horizontal="center"/>
    </xf>
    <xf numFmtId="0" fontId="0" fillId="5" borderId="30" xfId="0" applyNumberFormat="1" applyFill="1" applyBorder="1" applyAlignment="1">
      <alignment horizontal="center"/>
    </xf>
    <xf numFmtId="9" fontId="0" fillId="5" borderId="0" xfId="2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5" borderId="0" xfId="0" applyNumberFormat="1" applyFill="1" applyAlignment="1">
      <alignment horizontal="center"/>
    </xf>
    <xf numFmtId="2" fontId="0" fillId="5" borderId="0" xfId="2" applyNumberFormat="1" applyFont="1" applyFill="1" applyAlignment="1">
      <alignment horizontal="center"/>
    </xf>
    <xf numFmtId="2" fontId="0" fillId="8" borderId="0" xfId="2" applyNumberFormat="1" applyFont="1" applyFill="1" applyAlignment="1">
      <alignment horizontal="center"/>
    </xf>
    <xf numFmtId="0" fontId="0" fillId="8" borderId="0" xfId="0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0" fillId="5" borderId="30" xfId="0" applyNumberFormat="1" applyFill="1" applyBorder="1" applyAlignment="1">
      <alignment horizontal="center"/>
    </xf>
    <xf numFmtId="2" fontId="0" fillId="8" borderId="0" xfId="0" applyNumberFormat="1" applyFill="1" applyAlignment="1">
      <alignment horizontal="center"/>
    </xf>
    <xf numFmtId="0" fontId="0" fillId="5" borderId="34" xfId="0" applyFill="1" applyBorder="1" applyAlignment="1">
      <alignment horizontal="center"/>
    </xf>
    <xf numFmtId="2" fontId="0" fillId="8" borderId="0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14" fillId="9" borderId="2" xfId="0" applyFont="1" applyFill="1" applyBorder="1" applyAlignment="1">
      <alignment horizontal="center"/>
    </xf>
    <xf numFmtId="0" fontId="14" fillId="9" borderId="6" xfId="0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0" fillId="15" borderId="6" xfId="0" applyFill="1" applyBorder="1" applyAlignment="1">
      <alignment horizontal="center"/>
    </xf>
    <xf numFmtId="0" fontId="14" fillId="9" borderId="2" xfId="0" applyFont="1" applyFill="1" applyBorder="1" applyAlignment="1">
      <alignment horizontal="center" vertical="center"/>
    </xf>
    <xf numFmtId="0" fontId="14" fillId="9" borderId="6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0" fillId="15" borderId="1" xfId="0" applyFill="1" applyBorder="1"/>
  </cellXfs>
  <cellStyles count="3">
    <cellStyle name="Currency" xfId="1" builtinId="4"/>
    <cellStyle name="Normal" xfId="0" builtinId="0"/>
    <cellStyle name="Percent" xfId="2" builtinId="5"/>
  </cellStyles>
  <dxfs count="2206"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numFmt numFmtId="0" formatCode="General"/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numFmt numFmtId="0" formatCode="General"/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numFmt numFmtId="0" formatCode="General"/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numFmt numFmtId="0" formatCode="General"/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numFmt numFmtId="0" formatCode="General"/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numFmt numFmtId="0" formatCode="General"/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numFmt numFmtId="0" formatCode="General"/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numFmt numFmtId="0" formatCode="General"/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numFmt numFmtId="0" formatCode="General"/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numFmt numFmtId="0" formatCode="General"/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numFmt numFmtId="167" formatCode="0.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66" formatCode="0.0%"/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numFmt numFmtId="166" formatCode="0.0%"/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66" formatCode="0.0%"/>
      <alignment horizontal="center" vertical="center" textRotation="0" wrapText="0" indent="0" justifyLastLine="0" shrinkToFit="0" readingOrder="0"/>
    </dxf>
    <dxf>
      <numFmt numFmtId="166" formatCode="0.0%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66" formatCode="0.0%"/>
      <alignment horizontal="center" vertical="center" textRotation="0" wrapText="0" indent="0" justifyLastLine="0" shrinkToFit="0" readingOrder="0"/>
    </dxf>
    <dxf>
      <numFmt numFmtId="166" formatCode="0.0%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166" formatCode="0.0%"/>
      <alignment horizontal="center" vertical="center" textRotation="0" wrapText="0" indent="0" justifyLastLine="0" shrinkToFit="0" readingOrder="0"/>
    </dxf>
    <dxf>
      <numFmt numFmtId="166" formatCode="0.0%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numFmt numFmtId="167" formatCode="0.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66" formatCode="0.0%"/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numFmt numFmtId="166" formatCode="0.0%"/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auto="1"/>
        </bottom>
      </border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auto="1"/>
        </bottom>
      </border>
    </dxf>
    <dxf>
      <numFmt numFmtId="0" formatCode="General"/>
      <alignment horizontal="center" vertical="center" textRotation="0" wrapText="0" indent="0" justifyLastLine="0" shrinkToFit="0" readingOrder="0"/>
    </dxf>
    <dxf>
      <numFmt numFmtId="166" formatCode="0.0%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auto="1"/>
        </bottom>
      </border>
    </dxf>
    <dxf>
      <numFmt numFmtId="166" formatCode="0.0%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auto="1"/>
        </bottom>
      </border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auto="1"/>
        </bottom>
      </border>
    </dxf>
    <dxf>
      <numFmt numFmtId="0" formatCode="General"/>
      <alignment horizontal="center" vertical="center" textRotation="0" wrapText="0" indent="0" justifyLastLine="0" shrinkToFit="0" readingOrder="0"/>
    </dxf>
    <dxf>
      <numFmt numFmtId="166" formatCode="0.0%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auto="1"/>
        </bottom>
      </border>
    </dxf>
    <dxf>
      <numFmt numFmtId="166" formatCode="0.0%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auto="1"/>
        </bottom>
      </border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166" formatCode="0.0%"/>
      <alignment horizontal="center" vertical="center" textRotation="0" wrapText="0" indent="0" justifyLastLine="0" shrinkToFit="0" readingOrder="0"/>
    </dxf>
    <dxf>
      <numFmt numFmtId="166" formatCode="0.0%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numFmt numFmtId="2" formatCode="0.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numFmt numFmtId="0" formatCode="General"/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numFmt numFmtId="0" formatCode="General"/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numFmt numFmtId="0" formatCode="General"/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numFmt numFmtId="0" formatCode="General"/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numFmt numFmtId="0" formatCode="General"/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numFmt numFmtId="0" formatCode="General"/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numFmt numFmtId="0" formatCode="General"/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numFmt numFmtId="0" formatCode="General"/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numFmt numFmtId="0" formatCode="General"/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numFmt numFmtId="0" formatCode="General"/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numFmt numFmtId="0" formatCode="General"/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numFmt numFmtId="0" formatCode="General"/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numFmt numFmtId="0" formatCode="General"/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numFmt numFmtId="0" formatCode="General"/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numFmt numFmtId="0" formatCode="General"/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numFmt numFmtId="0" formatCode="General"/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numFmt numFmtId="0" formatCode="General"/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numFmt numFmtId="0" formatCode="General"/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numFmt numFmtId="0" formatCode="General"/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numFmt numFmtId="0" formatCode="General"/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numFmt numFmtId="0" formatCode="General"/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numFmt numFmtId="0" formatCode="General"/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numFmt numFmtId="0" formatCode="General"/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3" formatCode="0%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numFmt numFmtId="0" formatCode="General"/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numFmt numFmtId="167" formatCode="0.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numFmt numFmtId="167" formatCode="0.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66" formatCode="0.0%"/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numFmt numFmtId="166" formatCode="0.0%"/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auto="1"/>
        </bottom>
      </border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auto="1"/>
        </bottom>
      </border>
    </dxf>
    <dxf>
      <numFmt numFmtId="0" formatCode="General"/>
      <alignment horizontal="center" vertical="center" textRotation="0" wrapText="0" indent="0" justifyLastLine="0" shrinkToFit="0" readingOrder="0"/>
    </dxf>
    <dxf>
      <numFmt numFmtId="166" formatCode="0.0%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auto="1"/>
        </bottom>
      </border>
    </dxf>
    <dxf>
      <numFmt numFmtId="166" formatCode="0.0%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auto="1"/>
        </bottom>
      </border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auto="1"/>
        </bottom>
      </border>
    </dxf>
    <dxf>
      <numFmt numFmtId="0" formatCode="General"/>
      <alignment horizontal="center" vertical="center" textRotation="0" wrapText="0" indent="0" justifyLastLine="0" shrinkToFit="0" readingOrder="0"/>
    </dxf>
    <dxf>
      <numFmt numFmtId="166" formatCode="0.0%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auto="1"/>
        </bottom>
      </border>
    </dxf>
    <dxf>
      <numFmt numFmtId="166" formatCode="0.0%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auto="1"/>
        </bottom>
      </border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166" formatCode="0.0%"/>
      <alignment horizontal="center" vertical="center" textRotation="0" wrapText="0" indent="0" justifyLastLine="0" shrinkToFit="0" readingOrder="0"/>
    </dxf>
    <dxf>
      <numFmt numFmtId="166" formatCode="0.0%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numFmt numFmtId="13" formatCode="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A1F8DC1-28BD-41FA-9EFD-8FC608161852}" name="Table11" displayName="Table11" ref="A1:C32" totalsRowShown="0">
  <autoFilter ref="A1:C32" xr:uid="{8B54BBD4-B4C5-4DEA-9691-8849FD99CFC5}"/>
  <sortState ref="A2:C32">
    <sortCondition ref="C1:C32"/>
  </sortState>
  <tableColumns count="3">
    <tableColumn id="1" xr3:uid="{1CCC7A08-F8D5-4552-B367-FF6072606789}" name="Name" dataDxfId="2205"/>
    <tableColumn id="2" xr3:uid="{B83ECDE1-5796-459A-83DF-D57A16A0F195}" name="Baller"/>
    <tableColumn id="3" xr3:uid="{B1684185-F77C-4C20-AAA0-B4933D886B43}" name="Team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4DAA937B-44E8-E145-90BB-4D4EC2E9ABC5}" name="LITI_Q1_TOT85" displayName="LITI_Q1_TOT85" ref="A137:W143" totalsRowShown="0" headerRowDxfId="1955" headerRowBorderDxfId="1954" tableBorderDxfId="1953">
  <autoFilter ref="A137:W143" xr:uid="{422A466A-7DE1-D04E-9604-D5930C8DE48E}"/>
  <tableColumns count="23">
    <tableColumn id="1" xr3:uid="{DDD20B3D-F17B-5242-8893-6EEE547AB342}" name="Column1" dataDxfId="1952"/>
    <tableColumn id="2" xr3:uid="{BD70DD87-B821-6344-BA91-F6602CCEFB30}" name="Total FGM" dataDxfId="1951">
      <calculatedColumnFormula>LITI_Q1_TOT85[[#This Row],[2PT FGM]]+LITI_Q1_TOT85[[#This Row],[3PT FGM]]</calculatedColumnFormula>
    </tableColumn>
    <tableColumn id="3" xr3:uid="{9E73B5D3-F025-524F-ADE6-EB45A3599CD0}" name="Total FGA" dataDxfId="1950"/>
    <tableColumn id="4" xr3:uid="{F0DF0AAD-9048-0C43-8486-273603AFD217}" name="Overall FG%" dataDxfId="1949" dataCellStyle="Percent">
      <calculatedColumnFormula>LITI_Q1_TOT85[[#This Row],[Total FGM]]/LITI_Q1_TOT85[[#This Row],[Total FGA]]</calculatedColumnFormula>
    </tableColumn>
    <tableColumn id="5" xr3:uid="{7FEDEBC0-EC48-584A-B3A1-D84A34F8CCA3}" name="2PT FGM" dataDxfId="1948"/>
    <tableColumn id="6" xr3:uid="{AA83679E-F34B-6044-BAC0-6E1B95B47291}" name="2PT FGA" dataDxfId="1947"/>
    <tableColumn id="7" xr3:uid="{B0A3EAB5-55AE-C147-9294-130B0C5E3E12}" name="2PT FG%" dataDxfId="1946" dataCellStyle="Percent">
      <calculatedColumnFormula>LITI_Q1_TOT85[[#This Row],[Total FGM]]/LITI_Q1_TOT85[[#This Row],[Total FGA]]</calculatedColumnFormula>
    </tableColumn>
    <tableColumn id="8" xr3:uid="{B8D87217-2159-E249-80CD-9FE5B971546E}" name="3PT FGM" dataDxfId="1945"/>
    <tableColumn id="9" xr3:uid="{EEEEF72D-32FC-9B41-A290-ADA86B12368B}" name="3PT FGA" dataDxfId="1944"/>
    <tableColumn id="10" xr3:uid="{B30934A9-22D6-7C49-AFD1-B7C8770911B0}" name="3PT FG%" dataDxfId="1943" dataCellStyle="Percent">
      <calculatedColumnFormula>LITI_Q1_TOT85[[#This Row],[3PT FGM]]/LITI_Q1_TOT85[[#This Row],[3PT FGA]]</calculatedColumnFormula>
    </tableColumn>
    <tableColumn id="11" xr3:uid="{5F41A69D-34AB-FF4A-87B6-64180DC8ECCE}" name="FTM" dataDxfId="1942"/>
    <tableColumn id="12" xr3:uid="{FDB94B4D-EB11-4549-A48A-4D7424FB7C15}" name="FTA" dataDxfId="1941"/>
    <tableColumn id="13" xr3:uid="{AAC81F58-118D-6E4B-8001-94AD759ACA9E}" name="FT %" dataDxfId="1940" dataCellStyle="Percent">
      <calculatedColumnFormula>LITI_Q1_TOT85[[#This Row],[FTM]]/LITI_Q1_TOT85[[#This Row],[FTA]]</calculatedColumnFormula>
    </tableColumn>
    <tableColumn id="14" xr3:uid="{583CEF9D-98B8-A748-B0FC-CFE569AD05B3}" name="TOTAL POINTS" dataDxfId="1939">
      <calculatedColumnFormula>SUM(LITI_Q1_TOT85[[#This Row],[2PT FGM]]*2,LITI_Q1_TOT85[[#This Row],[3PT FGM]]*3,LITI_Q1_TOT85[[#This Row],[FTM]])</calculatedColumnFormula>
    </tableColumn>
    <tableColumn id="15" xr3:uid="{39695CCB-31DA-F240-909E-159CBD324455}" name="Dunks" dataDxfId="1938"/>
    <tableColumn id="16" xr3:uid="{25065471-C2AC-5042-8938-6F7146267BC1}" name="Def. Boards" dataDxfId="1937"/>
    <tableColumn id="17" xr3:uid="{C019C316-CCEA-2044-9470-9A7AC50D7EF2}" name="Off. Boards" dataDxfId="1936"/>
    <tableColumn id="18" xr3:uid="{437206C8-94DE-D944-B857-7FFCBD3908E6}" name="Total Boards" dataDxfId="1935">
      <calculatedColumnFormula>LITI_Q1_TOT85[[#This Row],[Def. Boards]]+LITI_Q1_TOT85[[#This Row],[Off. Boards]]</calculatedColumnFormula>
    </tableColumn>
    <tableColumn id="19" xr3:uid="{FB73D452-AC01-9543-872A-B47D5BB99EA1}" name="Dimes" dataDxfId="1934"/>
    <tableColumn id="20" xr3:uid="{7427F9C0-B3F2-E046-B8D3-758A1EFE4988}" name="Cookies" dataDxfId="1933"/>
    <tableColumn id="21" xr3:uid="{A22FC580-06A9-EF48-95F6-24B47C706813}" name="Swats" dataDxfId="1932"/>
    <tableColumn id="22" xr3:uid="{58C5A3F4-8538-474D-A0F7-1A170620AAD1}" name="Turnovers" dataDxfId="1931"/>
    <tableColumn id="23" xr3:uid="{5493E39F-0947-E743-9F92-7B0FE7EBB47E}" name="Dimes:TO" dataDxfId="1930">
      <calculatedColumnFormula>LITI_Q1_TOT85[[#This Row],[Dimes]]/LITI_Q1_TOT85[[#This Row],[Turnovers]]</calculatedColumnFormula>
    </tableColumn>
  </tableColumns>
  <tableStyleInfo name="TableStyleMedium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4D73A746-5D1D-A94A-9D79-AD188C9C1C7F}" name="GN_Q1_TOT88" displayName="GN_Q1_TOT88" ref="A147:W153" totalsRowShown="0" headerRowDxfId="1929" headerRowBorderDxfId="1928" tableBorderDxfId="1927">
  <autoFilter ref="A147:W153" xr:uid="{941E09E1-116C-DD42-92C4-2071CE683BCB}"/>
  <tableColumns count="23">
    <tableColumn id="1" xr3:uid="{A1FFDABC-305E-804B-AE71-2FDFFA626649}" name="Column1" dataDxfId="1926"/>
    <tableColumn id="2" xr3:uid="{B92FFDB6-866A-B242-9E47-BCFE4A7284A8}" name="Total FGM" dataDxfId="1925">
      <calculatedColumnFormula>GN_Q1_TOT88[[#This Row],[2PT FGM]]+GN_Q1_TOT88[[#This Row],[3PT FGM]]</calculatedColumnFormula>
    </tableColumn>
    <tableColumn id="3" xr3:uid="{971FD195-3DBC-D547-BA93-C7C3C7AFDF06}" name="Total FGA" dataDxfId="1924">
      <calculatedColumnFormula>GN_Q1_TOT88[[#This Row],[2PT FGA]]+GN_Q1_TOT88[[#This Row],[3PT FGA]]</calculatedColumnFormula>
    </tableColumn>
    <tableColumn id="4" xr3:uid="{D780EF2F-2BB1-8344-8C07-304EC52FDF6F}" name="Overall FG%" dataDxfId="1923" dataCellStyle="Percent">
      <calculatedColumnFormula>GN_Q1_TOT88[[#This Row],[Total FGM]]/GN_Q1_TOT88[[#This Row],[Total FGA]]</calculatedColumnFormula>
    </tableColumn>
    <tableColumn id="5" xr3:uid="{7BF61079-93A7-0F42-89E7-354263B62F3D}" name="2PT FGM" dataDxfId="1922"/>
    <tableColumn id="6" xr3:uid="{4D047CAE-5726-D840-98E8-A23350F54A98}" name="2PT FGA" dataDxfId="1921"/>
    <tableColumn id="7" xr3:uid="{F326E001-2B88-AA4A-8534-D6CED3F0DBC7}" name="2PT FG%" dataDxfId="1920" dataCellStyle="Percent">
      <calculatedColumnFormula>GN_Q1_TOT88[[#This Row],[2PT FGM]]/GN_Q1_TOT88[[#This Row],[2PT FGA]]</calculatedColumnFormula>
    </tableColumn>
    <tableColumn id="8" xr3:uid="{FCBF1CEF-ED91-1C47-8F45-834BB86552D2}" name="3PT FGM" dataDxfId="1919"/>
    <tableColumn id="9" xr3:uid="{79D13CC2-A3C3-324B-9465-FD19B762CEDA}" name="3PT FGA" dataDxfId="1918"/>
    <tableColumn id="10" xr3:uid="{FAEDC583-03E3-D047-AEBA-E8F5DDC6DC71}" name="3PT FG%" dataDxfId="1917" dataCellStyle="Percent">
      <calculatedColumnFormula>GN_Q1_TOT88[[#This Row],[Total FGM]]/GN_Q1_TOT88[[#This Row],[Total FGA]]</calculatedColumnFormula>
    </tableColumn>
    <tableColumn id="11" xr3:uid="{CE13F196-0423-134B-B815-F0321BB14DB0}" name="FTM" dataDxfId="1916"/>
    <tableColumn id="12" xr3:uid="{CD0887B7-2709-8749-ABCC-F2DB6990F4DE}" name="FTA" dataDxfId="1915"/>
    <tableColumn id="13" xr3:uid="{2C494902-4F86-824B-97E9-5949DBE610B8}" name="FT %" dataDxfId="1914" dataCellStyle="Percent">
      <calculatedColumnFormula>GN_Q1_TOT88[[#This Row],[FTM]]/GN_Q1_TOT88[[#This Row],[FTA]]</calculatedColumnFormula>
    </tableColumn>
    <tableColumn id="14" xr3:uid="{70B933A4-98DD-0947-BC88-143D947FBEAB}" name="TOTAL POINTS" dataDxfId="1913">
      <calculatedColumnFormula>SUM(GN_Q1_TOT88[[#This Row],[2PT FGM]]*2,GN_Q1_TOT88[[#This Row],[3PT FGM]]*3,GN_Q1_TOT88[[#This Row],[FTM]])</calculatedColumnFormula>
    </tableColumn>
    <tableColumn id="15" xr3:uid="{EA268452-1A08-CC46-974B-5FBA69CAB2B1}" name="Dunks" dataDxfId="1912"/>
    <tableColumn id="16" xr3:uid="{34866378-F32B-E141-B3F5-E3A6720726E6}" name="Def. Boards" dataDxfId="1911"/>
    <tableColumn id="17" xr3:uid="{92069A1D-30C1-8E43-BEC8-4C332F64B626}" name="Off. Boards" dataDxfId="1910"/>
    <tableColumn id="18" xr3:uid="{EC8E5430-8BFF-CA41-95BC-C66706DFDE36}" name="Total Boards" dataDxfId="1909">
      <calculatedColumnFormula>GN_Q1_TOT88[[#This Row],[Def. Boards]]+GN_Q1_TOT88[[#This Row],[Off. Boards]]</calculatedColumnFormula>
    </tableColumn>
    <tableColumn id="19" xr3:uid="{F19316EC-41B5-ED4A-990B-8F6DBF95B4C8}" name="Dimes" dataDxfId="1908"/>
    <tableColumn id="20" xr3:uid="{5723654C-E46B-474B-BC72-33D4143000C2}" name="Cookies" dataDxfId="1907"/>
    <tableColumn id="21" xr3:uid="{A693580A-8FF8-4E41-A756-06BF9B9000B5}" name="Swats" dataDxfId="1906"/>
    <tableColumn id="22" xr3:uid="{49DFB77D-8ED2-C74D-8F53-AE773E8750FE}" name="Turnovers" dataDxfId="1905"/>
    <tableColumn id="23" xr3:uid="{F97D4392-F77E-FD49-B96E-F5E4DAE138C7}" name="Dimes:TO" dataDxfId="1904">
      <calculatedColumnFormula>GN_Q1_TOT88[[#This Row],[Dimes]]/GN_Q1_TOT88[[#This Row],[Turnovers]]</calculatedColumnFormula>
    </tableColumn>
  </tableColumns>
  <tableStyleInfo name="TableStyleMedium14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D5AE76BB-B3D0-0E41-800A-502B84D7E15D}" name="LITI_Q1_HALF189" displayName="LITI_Q1_HALF189" ref="A93:W99" totalsRowShown="0" headerRowDxfId="1903" headerRowBorderDxfId="1902" tableBorderDxfId="1901">
  <autoFilter ref="A93:W99" xr:uid="{04CD5E62-BB5F-D845-9D20-B73221AC67E0}"/>
  <tableColumns count="23">
    <tableColumn id="1" xr3:uid="{739CFA0F-9B08-0341-B941-593111C9C400}" name="Nokia Snakes" dataDxfId="1900"/>
    <tableColumn id="2" xr3:uid="{F28C59A5-D67A-834F-9C63-B7899F78A329}" name="Total FGM" dataDxfId="1899">
      <calculatedColumnFormula>LITI_Q1_HALF189[[#This Row],[2PT FGM]]+LITI_Q1_HALF189[[#This Row],[3PT FGM]]</calculatedColumnFormula>
    </tableColumn>
    <tableColumn id="3" xr3:uid="{D12AC165-2A63-3E4E-B0B5-365ED346390D}" name="Total FGA" dataDxfId="1898"/>
    <tableColumn id="4" xr3:uid="{A53DDE8A-1341-5543-B876-AE5BB3A49246}" name="Overall FG%" dataDxfId="1897" dataCellStyle="Percent">
      <calculatedColumnFormula>LITI_Q1_HALF189[[#This Row],[Total FGM]]/LITI_Q1_HALF189[[#This Row],[Total FGA]]</calculatedColumnFormula>
    </tableColumn>
    <tableColumn id="5" xr3:uid="{5017B5F0-0C0F-A14C-8E1D-DD3969FCD995}" name="2PT FGM" dataDxfId="1896"/>
    <tableColumn id="6" xr3:uid="{52BD7BC7-9A38-BB42-980B-18C48C0A796E}" name="2PT FGA" dataDxfId="1895"/>
    <tableColumn id="7" xr3:uid="{2C229F67-DBD7-BA4B-AB8A-0951708365F6}" name="2PT FG%" dataDxfId="1894" dataCellStyle="Percent">
      <calculatedColumnFormula>LITI_Q1_HALF189[[#This Row],[Total FGM]]/LITI_Q1_HALF189[[#This Row],[Total FGA]]</calculatedColumnFormula>
    </tableColumn>
    <tableColumn id="8" xr3:uid="{8CFC6128-E08C-9241-8720-12D731723FB1}" name="3PT FGM" dataDxfId="1893"/>
    <tableColumn id="9" xr3:uid="{61A8305D-A7A9-194D-A2C9-7B01A7AF24BF}" name="3PT FGA" dataDxfId="1892"/>
    <tableColumn id="10" xr3:uid="{EF571548-F305-E341-A9FF-647B38B26CA0}" name="3PT FG%" dataDxfId="1891" dataCellStyle="Percent">
      <calculatedColumnFormula>LITI_Q1_HALF189[[#This Row],[3PT FGM]]/LITI_Q1_HALF189[[#This Row],[3PT FGA]]</calculatedColumnFormula>
    </tableColumn>
    <tableColumn id="11" xr3:uid="{2AD321BE-F95B-F942-BD57-F48FD7FF3F58}" name="FTM" dataDxfId="1890"/>
    <tableColumn id="12" xr3:uid="{4AF1FE36-33F5-FA46-A7AB-FBF44389607C}" name="FTA" dataDxfId="1889"/>
    <tableColumn id="13" xr3:uid="{9BBD2E23-92BC-AD44-B85A-0EAF50620709}" name="FT %" dataDxfId="1888" dataCellStyle="Percent">
      <calculatedColumnFormula>LITI_Q1_HALF189[[#This Row],[FTM]]/LITI_Q1_HALF189[[#This Row],[FTA]]</calculatedColumnFormula>
    </tableColumn>
    <tableColumn id="14" xr3:uid="{DACD86D7-1534-6B4E-8BBB-70AAE04F4364}" name="TOTAL POINTS" dataDxfId="1887">
      <calculatedColumnFormula>SUM(LITI_Q1_HALF189[[#This Row],[2PT FGM]]*2,LITI_Q1_HALF189[[#This Row],[3PT FGM]]*3,LITI_Q1_HALF189[[#This Row],[FTM]])</calculatedColumnFormula>
    </tableColumn>
    <tableColumn id="15" xr3:uid="{2AE6C6BE-B31E-CB41-8BF1-0E98D1BD6201}" name="Dunks" dataDxfId="1886"/>
    <tableColumn id="16" xr3:uid="{7106D8F4-DBC8-0747-A97C-2085DEB0EEA5}" name="Def. Boards" dataDxfId="1885"/>
    <tableColumn id="17" xr3:uid="{30CF5BC8-8A5F-014A-BC2D-5447D9DFC8D2}" name="Off. Boards" dataDxfId="1884"/>
    <tableColumn id="18" xr3:uid="{179D4621-02BC-E046-BE62-0ABCE87CFD51}" name="Total Boards" dataDxfId="1883">
      <calculatedColumnFormula>LITI_Q1_HALF189[[#This Row],[Def. Boards]]+LITI_Q1_HALF189[[#This Row],[Off. Boards]]</calculatedColumnFormula>
    </tableColumn>
    <tableColumn id="19" xr3:uid="{131EA8F6-71FF-AE4A-80DC-805B830C43BA}" name="Dimes" dataDxfId="1882"/>
    <tableColumn id="20" xr3:uid="{DA776604-E944-4842-8941-B109F2227E2B}" name="Cookies" dataDxfId="1881"/>
    <tableColumn id="21" xr3:uid="{064A878B-BAB0-9E44-A607-7963D0E02C86}" name="Swats" dataDxfId="1880"/>
    <tableColumn id="22" xr3:uid="{9655A8B7-2A5B-EA4A-A350-6952EA58F2B6}" name="Turnovers" dataDxfId="1879"/>
    <tableColumn id="23" xr3:uid="{7471D1FE-2292-284D-A8EB-1B8925F558B3}" name="Dimes:TO" dataDxfId="1878">
      <calculatedColumnFormula>LITI_Q1_HALF189[[#This Row],[Dimes]]/LITI_Q1_HALF189[[#This Row],[Turnovers]]</calculatedColumnFormula>
    </tableColumn>
  </tableColumns>
  <tableStyleInfo name="TableStyleMedium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98A124ED-2457-9546-9098-586D61267144}" name="LITI_Q1_HALF191" displayName="LITI_Q1_HALF191" ref="A156:W162" totalsRowShown="0" headerRowDxfId="1877" headerRowBorderDxfId="1876" tableBorderDxfId="1875">
  <autoFilter ref="A156:W162" xr:uid="{8A135239-6E92-C841-A20E-4C7A3DD5FECB}"/>
  <tableColumns count="23">
    <tableColumn id="1" xr3:uid="{2505DB76-73D6-604B-9458-101D1197C117}" name="Column1" dataDxfId="1874"/>
    <tableColumn id="2" xr3:uid="{47858303-CE2B-4347-8FFB-9A40C3941EAC}" name="Total FGM" dataDxfId="1873">
      <calculatedColumnFormula>LITI_Q1_HALF191[[#This Row],[2PT FGM]]+LITI_Q1_HALF191[[#This Row],[3PT FGM]]</calculatedColumnFormula>
    </tableColumn>
    <tableColumn id="3" xr3:uid="{F5AD70B6-905A-0147-BC38-00B7B88E7BA8}" name="Total FGA" dataDxfId="1872"/>
    <tableColumn id="4" xr3:uid="{FE005A7D-607A-D943-B784-93F389859480}" name="Overall FG%" dataDxfId="1871" dataCellStyle="Percent">
      <calculatedColumnFormula>LITI_Q1_HALF191[[#This Row],[Total FGM]]/LITI_Q1_HALF191[[#This Row],[Total FGA]]</calculatedColumnFormula>
    </tableColumn>
    <tableColumn id="5" xr3:uid="{2E68D378-FD12-AD42-9E2D-D7000FF8E793}" name="2PT FGM" dataDxfId="1870"/>
    <tableColumn id="6" xr3:uid="{BEBB0EE2-A2B2-844D-A00B-F5DF92929CF5}" name="2PT FGA" dataDxfId="1869"/>
    <tableColumn id="7" xr3:uid="{060969E0-9C8D-B041-9428-76D9745C276B}" name="2PT FG%" dataDxfId="1868" dataCellStyle="Percent">
      <calculatedColumnFormula>LITI_Q1_HALF191[[#This Row],[Total FGM]]/LITI_Q1_HALF191[[#This Row],[Total FGA]]</calculatedColumnFormula>
    </tableColumn>
    <tableColumn id="8" xr3:uid="{F2A916E8-70CB-4C4C-B73F-35F282A2DEA3}" name="3PT FGM" dataDxfId="1867"/>
    <tableColumn id="9" xr3:uid="{63C4C709-F191-8148-AD39-3D9EC82A2C07}" name="3PT FGA" dataDxfId="1866"/>
    <tableColumn id="10" xr3:uid="{EF2F89F2-FF59-424B-BC37-FFB5DBC094BB}" name="3PT FG%" dataDxfId="1865" dataCellStyle="Percent">
      <calculatedColumnFormula>LITI_Q1_HALF191[[#This Row],[3PT FGM]]/LITI_Q1_HALF191[[#This Row],[3PT FGA]]</calculatedColumnFormula>
    </tableColumn>
    <tableColumn id="11" xr3:uid="{E3DDC524-6A7E-6F43-BDAC-B8FC4DA78DB1}" name="FTM" dataDxfId="1864"/>
    <tableColumn id="12" xr3:uid="{0A02BAD9-A2C4-F84D-96A4-5800DC6AD8CD}" name="FTA" dataDxfId="1863"/>
    <tableColumn id="13" xr3:uid="{A997700D-9CBD-E243-8D87-F0F898964329}" name="FT %" dataDxfId="1862" dataCellStyle="Percent">
      <calculatedColumnFormula>LITI_Q1_HALF191[[#This Row],[FTM]]/LITI_Q1_HALF191[[#This Row],[FTA]]</calculatedColumnFormula>
    </tableColumn>
    <tableColumn id="14" xr3:uid="{D1C2208A-5E74-6442-A0E7-67BA91A3DE65}" name="TOTAL POINTS" dataDxfId="1861">
      <calculatedColumnFormula>SUM(LITI_Q1_HALF191[[#This Row],[2PT FGM]]*2,LITI_Q1_HALF191[[#This Row],[3PT FGM]]*3,LITI_Q1_HALF191[[#This Row],[FTM]])</calculatedColumnFormula>
    </tableColumn>
    <tableColumn id="15" xr3:uid="{267BA364-27FE-614B-A5D0-DF404FC9EC90}" name="Dunks" dataDxfId="1860"/>
    <tableColumn id="16" xr3:uid="{771141B6-2F57-884B-BCFE-D19909F18A8C}" name="Def. Boards" dataDxfId="1859"/>
    <tableColumn id="17" xr3:uid="{B59A3E36-92AF-CF4B-9F27-4E37C68A940B}" name="Off. Boards" dataDxfId="1858"/>
    <tableColumn id="18" xr3:uid="{5600F2E1-1DED-E849-B019-70E40561AD7D}" name="Total Boards" dataDxfId="1857">
      <calculatedColumnFormula>LITI_Q1_HALF191[[#This Row],[Def. Boards]]+LITI_Q1_HALF191[[#This Row],[Off. Boards]]</calculatedColumnFormula>
    </tableColumn>
    <tableColumn id="19" xr3:uid="{17336A0A-D038-BD41-B8D4-58E462DA0B29}" name="Dimes" dataDxfId="1856"/>
    <tableColumn id="20" xr3:uid="{B6A71FF9-F432-BB45-B66F-925728823B3B}" name="Cookies" dataDxfId="1855"/>
    <tableColumn id="21" xr3:uid="{D3AE43F4-134E-BF48-AF65-F70DD2F3477B}" name="Swats" dataDxfId="1854"/>
    <tableColumn id="22" xr3:uid="{D065AF6E-B321-6C4A-B798-2999DA11BC5F}" name="Turnovers" dataDxfId="1853"/>
    <tableColumn id="23" xr3:uid="{ECC4A937-EEB7-374B-A6C6-61DD4AADE89F}" name="Dimes:TO" dataDxfId="1852">
      <calculatedColumnFormula>LITI_Q1_HALF191[[#This Row],[Dimes]]/LITI_Q1_HALF191[[#This Row],[Turnovers]]</calculatedColumnFormula>
    </tableColumn>
  </tableColumns>
  <tableStyleInfo name="TableStyleMedium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81D2CD0A-CCAD-C646-8552-34022D5700DF}" name="GN_Q1_HALF192" displayName="GN_Q1_HALF192" ref="A102:W108" totalsRowShown="0" headerRowDxfId="1851" headerRowBorderDxfId="1850" tableBorderDxfId="1849">
  <autoFilter ref="A102:W108" xr:uid="{259F5A07-52F3-164D-8B39-DC1294D85C63}"/>
  <tableColumns count="23">
    <tableColumn id="1" xr3:uid="{23BBC7B8-E050-1C4B-B754-62EA179E67EF}" name="Bar Mitzvah Boys" dataDxfId="1848"/>
    <tableColumn id="2" xr3:uid="{75DB81CE-66CD-4A4A-8E72-F00FF56EB549}" name="Total FGM" dataDxfId="1847">
      <calculatedColumnFormula>GN_Q1_HALF192[[#This Row],[2PT FGM]]+GN_Q1_HALF192[[#This Row],[3PT FGM]]</calculatedColumnFormula>
    </tableColumn>
    <tableColumn id="3" xr3:uid="{4FAF8F68-84AA-D241-943A-2894D430B6A8}" name="Total FGA" dataDxfId="1846">
      <calculatedColumnFormula>GN_Q1_HALF192[[#This Row],[2PT FGA]]+GN_Q1_HALF192[[#This Row],[3PT FGA]]</calculatedColumnFormula>
    </tableColumn>
    <tableColumn id="4" xr3:uid="{04C36E2B-DA31-FF4D-BCF2-C6D3C1A37D84}" name="Overall FG%" dataDxfId="1845" dataCellStyle="Percent">
      <calculatedColumnFormula>GN_Q1_HALF192[[#This Row],[Total FGM]]/GN_Q1_HALF192[[#This Row],[Total FGA]]</calculatedColumnFormula>
    </tableColumn>
    <tableColumn id="5" xr3:uid="{F2476023-880F-AF44-A73B-71B3060391A2}" name="2PT FGM" dataDxfId="1844"/>
    <tableColumn id="6" xr3:uid="{46E9E227-270F-BA42-8C9F-5B072451FE0A}" name="2PT FGA" dataDxfId="1843"/>
    <tableColumn id="7" xr3:uid="{B452A746-7CFE-B24B-862D-D139FE2B3602}" name="2PT FG%" dataDxfId="1842" dataCellStyle="Percent">
      <calculatedColumnFormula>GN_Q1_HALF192[[#This Row],[2PT FGM]]/GN_Q1_HALF192[[#This Row],[2PT FGA]]</calculatedColumnFormula>
    </tableColumn>
    <tableColumn id="8" xr3:uid="{3634D666-C374-474A-A6F2-7DE822A15362}" name="3PT FGM" dataDxfId="1841"/>
    <tableColumn id="9" xr3:uid="{CB0B2736-0C6E-EF4A-9A86-57F017B2E294}" name="3PT FGA" dataDxfId="1840"/>
    <tableColumn id="10" xr3:uid="{B4DF258B-2ABF-474A-BF23-C6812792A3F1}" name="3PT FG%" dataDxfId="1839" dataCellStyle="Percent">
      <calculatedColumnFormula>GN_Q1_HALF192[[#This Row],[Total FGM]]/GN_Q1_HALF192[[#This Row],[Total FGA]]</calculatedColumnFormula>
    </tableColumn>
    <tableColumn id="11" xr3:uid="{CBE4BFE6-E32D-D142-BC64-EBA8514AF1CB}" name="FTM" dataDxfId="1838"/>
    <tableColumn id="12" xr3:uid="{E851D665-7FC4-9F4E-8C93-1EDB6C32A28E}" name="FTA" dataDxfId="1837"/>
    <tableColumn id="13" xr3:uid="{C1F66635-D7E8-0D47-A8B4-59FE6DA83214}" name="FT %" dataDxfId="1836" dataCellStyle="Percent">
      <calculatedColumnFormula>GN_Q1_HALF192[[#This Row],[FTM]]/GN_Q1_HALF192[[#This Row],[FTA]]</calculatedColumnFormula>
    </tableColumn>
    <tableColumn id="14" xr3:uid="{E529E3B3-86A0-1D4A-80B9-D5309F93BD90}" name="TOTAL POINTS" dataDxfId="1835">
      <calculatedColumnFormula>SUM(GN_Q1_HALF192[[#This Row],[2PT FGM]]*2,GN_Q1_HALF192[[#This Row],[3PT FGM]]*3,GN_Q1_HALF192[[#This Row],[FTM]])</calculatedColumnFormula>
    </tableColumn>
    <tableColumn id="15" xr3:uid="{AC8BD042-180A-6640-9592-C93DBA3CA280}" name="Dunks" dataDxfId="1834"/>
    <tableColumn id="16" xr3:uid="{488FF68B-883C-BC44-B3C8-19593370353E}" name="Def. Boards" dataDxfId="1833"/>
    <tableColumn id="17" xr3:uid="{482FFBB2-674C-6F43-B319-35EE6BA545D7}" name="Off. Boards" dataDxfId="1832"/>
    <tableColumn id="18" xr3:uid="{FEC03477-B173-EE48-A11F-F4D8D8E4B000}" name="Total Boards" dataDxfId="1831">
      <calculatedColumnFormula>GN_Q1_HALF192[[#This Row],[Def. Boards]]+GN_Q1_HALF192[[#This Row],[Off. Boards]]</calculatedColumnFormula>
    </tableColumn>
    <tableColumn id="19" xr3:uid="{AAAC13F2-19F3-A341-812F-8203BBE3E917}" name="Dimes" dataDxfId="1830"/>
    <tableColumn id="20" xr3:uid="{D4D614A8-590D-1043-B818-CDACD8C9798F}" name="Cookies" dataDxfId="1829"/>
    <tableColumn id="21" xr3:uid="{8DC7A7CC-CEDD-4940-91E0-AF7FC8131ED6}" name="Swats" dataDxfId="1828"/>
    <tableColumn id="22" xr3:uid="{94522282-9A97-4149-92E6-8D14DCFDCF05}" name="Turnovers" dataDxfId="1827"/>
    <tableColumn id="23" xr3:uid="{F389BA22-0238-6440-8B00-55F49F11D4E7}" name="Dimes:TO" dataDxfId="1826">
      <calculatedColumnFormula>GN_Q1_HALF192[[#This Row],[Dimes]]/GN_Q1_HALF192[[#This Row],[Turnovers]]</calculatedColumnFormula>
    </tableColumn>
  </tableColumns>
  <tableStyleInfo name="TableStyleMedium14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642378F8-97A2-FF4C-B713-96EA715F9980}" name="GN_Q1_HALF194" displayName="GN_Q1_HALF194" ref="A165:W171" totalsRowShown="0" headerRowDxfId="1825" headerRowBorderDxfId="1824" tableBorderDxfId="1823">
  <autoFilter ref="A165:W171" xr:uid="{B676213F-2070-A24F-AF99-A16A291DF705}"/>
  <tableColumns count="23">
    <tableColumn id="1" xr3:uid="{1E47BCFF-D94B-084E-9D4A-1201808F5DBD}" name="Column1" dataDxfId="1822"/>
    <tableColumn id="2" xr3:uid="{C2AB9924-B12C-CB4D-B784-142688D827BC}" name="Total FGM" dataDxfId="1821">
      <calculatedColumnFormula>GN_Q1_HALF194[[#This Row],[2PT FGM]]+GN_Q1_HALF194[[#This Row],[3PT FGM]]</calculatedColumnFormula>
    </tableColumn>
    <tableColumn id="3" xr3:uid="{AA44C6E1-C3A7-BC4B-9D3C-A8E516EC3EDE}" name="Total FGA" dataDxfId="1820">
      <calculatedColumnFormula>GN_Q1_HALF194[[#This Row],[2PT FGA]]+GN_Q1_HALF194[[#This Row],[3PT FGA]]</calculatedColumnFormula>
    </tableColumn>
    <tableColumn id="4" xr3:uid="{69C5F1E1-FE11-6543-8EAF-128B5D4531B7}" name="Overall FG%" dataDxfId="1819" dataCellStyle="Percent">
      <calculatedColumnFormula>GN_Q1_HALF194[[#This Row],[Total FGM]]/GN_Q1_HALF194[[#This Row],[Total FGA]]</calculatedColumnFormula>
    </tableColumn>
    <tableColumn id="5" xr3:uid="{3C67709E-1C0D-B947-BB8A-5D5A5EB3DEFA}" name="2PT FGM" dataDxfId="1818"/>
    <tableColumn id="6" xr3:uid="{BA953032-20CE-0745-811F-ACD5E6E2B38C}" name="2PT FGA" dataDxfId="1817"/>
    <tableColumn id="7" xr3:uid="{E53A90FC-04BA-3C48-983A-4FBCC8BEA8A0}" name="2PT FG%" dataDxfId="1816" dataCellStyle="Percent">
      <calculatedColumnFormula>GN_Q1_HALF194[[#This Row],[2PT FGM]]/GN_Q1_HALF194[[#This Row],[2PT FGA]]</calculatedColumnFormula>
    </tableColumn>
    <tableColumn id="8" xr3:uid="{46EE89C1-AD37-584D-B7FA-D8C6C1AE06BA}" name="3PT FGM" dataDxfId="1815"/>
    <tableColumn id="9" xr3:uid="{E1E12BC7-CA75-7644-AD21-F64886E8A90B}" name="3PT FGA" dataDxfId="1814"/>
    <tableColumn id="10" xr3:uid="{D252F9F1-5E47-E64B-82E2-87EC4CAA5203}" name="3PT FG%" dataDxfId="1813" dataCellStyle="Percent">
      <calculatedColumnFormula>GN_Q1_HALF194[[#This Row],[Total FGM]]/GN_Q1_HALF194[[#This Row],[Total FGA]]</calculatedColumnFormula>
    </tableColumn>
    <tableColumn id="11" xr3:uid="{46B25A60-8B22-964E-A268-13878B576B4D}" name="FTM" dataDxfId="1812"/>
    <tableColumn id="12" xr3:uid="{ADAF5765-FC9F-3A41-9337-4A17E6581299}" name="FTA" dataDxfId="1811"/>
    <tableColumn id="13" xr3:uid="{233DEAAE-B5DC-234A-AF1B-7C34A20E71CE}" name="FT %" dataDxfId="1810" dataCellStyle="Percent">
      <calculatedColumnFormula>GN_Q1_HALF194[[#This Row],[FTM]]/GN_Q1_HALF194[[#This Row],[FTA]]</calculatedColumnFormula>
    </tableColumn>
    <tableColumn id="14" xr3:uid="{75ED56A0-E495-854C-8460-68876252686C}" name="TOTAL POINTS" dataDxfId="1809">
      <calculatedColumnFormula>SUM(GN_Q1_HALF194[[#This Row],[2PT FGM]]*2,GN_Q1_HALF194[[#This Row],[3PT FGM]]*3,GN_Q1_HALF194[[#This Row],[FTM]])</calculatedColumnFormula>
    </tableColumn>
    <tableColumn id="15" xr3:uid="{2F7CD302-405F-6348-841C-CEF6B15FF5C4}" name="Dunks" dataDxfId="1808"/>
    <tableColumn id="16" xr3:uid="{D596711A-F0D9-1347-855F-4B44F2DE7FFB}" name="Def. Boards" dataDxfId="1807"/>
    <tableColumn id="17" xr3:uid="{20882D48-D351-A44D-B163-B826EF472FE8}" name="Off. Boards" dataDxfId="1806"/>
    <tableColumn id="18" xr3:uid="{FCB76A72-4CFB-C846-815B-0E6C76D7CA4D}" name="Total Boards" dataDxfId="1805">
      <calculatedColumnFormula>GN_Q1_HALF194[[#This Row],[Def. Boards]]+GN_Q1_HALF194[[#This Row],[Off. Boards]]</calculatedColumnFormula>
    </tableColumn>
    <tableColumn id="19" xr3:uid="{3DC63AC2-26F4-E740-ACC0-59A3E9121BEA}" name="Dimes" dataDxfId="1804"/>
    <tableColumn id="20" xr3:uid="{0E5ECD2B-9A02-7943-B927-A94020C66BCE}" name="Cookies" dataDxfId="1803"/>
    <tableColumn id="21" xr3:uid="{1E4693C7-0AE3-4849-9FE9-DC5517C53769}" name="Swats" dataDxfId="1802"/>
    <tableColumn id="22" xr3:uid="{6D4B9160-EB18-1144-98CB-B99F3C9420F4}" name="Turnovers" dataDxfId="1801"/>
    <tableColumn id="23" xr3:uid="{BF86A6EE-36C1-844C-BC73-1062417CB7AE}" name="Dimes:TO" dataDxfId="1800">
      <calculatedColumnFormula>GN_Q1_HALF194[[#This Row],[Dimes]]/GN_Q1_HALF194[[#This Row],[Turnovers]]</calculatedColumnFormula>
    </tableColumn>
  </tableColumns>
  <tableStyleInfo name="TableStyleMedium14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25A1E844-BA5F-1945-8126-44ACE784D8C1}" name="LITI_Q1_HALF17195" displayName="LITI_Q1_HALF17195" ref="A114:W120" totalsRowShown="0" headerRowDxfId="1799" headerRowBorderDxfId="1798" tableBorderDxfId="1797">
  <autoFilter ref="A114:W120" xr:uid="{D9279207-4DA4-FE4C-8800-901A1F81874A}"/>
  <tableColumns count="23">
    <tableColumn id="1" xr3:uid="{8F887EB0-0887-9149-B3CE-FFFCDF402B75}" name="Bar Mitzvah Boys" dataDxfId="1796"/>
    <tableColumn id="2" xr3:uid="{488E1E93-94CB-1941-AFB4-13BFA2032903}" name="Total FGM" dataDxfId="1795">
      <calculatedColumnFormula>LITI_Q1_HALF17195[[#This Row],[2PT FGM]]+LITI_Q1_HALF17195[[#This Row],[3PT FGM]]</calculatedColumnFormula>
    </tableColumn>
    <tableColumn id="3" xr3:uid="{991B9AF6-15EF-0D43-9FA3-E0C11C276844}" name="Total FGA" dataDxfId="1794"/>
    <tableColumn id="4" xr3:uid="{867A24EF-36B3-1949-9C86-491265109346}" name="Overall FG%" dataDxfId="1793" dataCellStyle="Percent">
      <calculatedColumnFormula>LITI_Q1_HALF17195[[#This Row],[Total FGM]]/LITI_Q1_HALF17195[[#This Row],[Total FGA]]</calculatedColumnFormula>
    </tableColumn>
    <tableColumn id="5" xr3:uid="{555C0EE3-B473-6E43-A13D-458994B6D3CB}" name="2PT FGM" dataDxfId="1792"/>
    <tableColumn id="6" xr3:uid="{5CAF7D02-6493-9D49-9690-7685975503AD}" name="2PT FGA" dataDxfId="1791"/>
    <tableColumn id="7" xr3:uid="{F27C60B0-9C68-494A-8E70-B1705DEF0D38}" name="2PT FG%" dataDxfId="1790" dataCellStyle="Percent">
      <calculatedColumnFormula>LITI_Q1_HALF17195[[#This Row],[Total FGM]]/LITI_Q1_HALF17195[[#This Row],[Total FGA]]</calculatedColumnFormula>
    </tableColumn>
    <tableColumn id="8" xr3:uid="{7E498BCE-F059-BC44-9333-42B1DAEBD648}" name="3PT FGM" dataDxfId="1789"/>
    <tableColumn id="9" xr3:uid="{EEF693F5-D2AF-8043-BCE3-ED892520A466}" name="3PT FGA" dataDxfId="1788"/>
    <tableColumn id="10" xr3:uid="{10010E21-10E5-BE44-9859-5670D1EABD04}" name="3PT FG%" dataDxfId="1787" dataCellStyle="Percent">
      <calculatedColumnFormula>LITI_Q1_HALF17195[[#This Row],[3PT FGM]]/LITI_Q1_HALF17195[[#This Row],[3PT FGA]]</calculatedColumnFormula>
    </tableColumn>
    <tableColumn id="11" xr3:uid="{FC3CA419-F074-B04E-9ABE-9911CFD8FAB8}" name="FTM" dataDxfId="1786"/>
    <tableColumn id="12" xr3:uid="{3B5213D1-F933-8F46-A28D-890F50485DDD}" name="FTA" dataDxfId="1785"/>
    <tableColumn id="13" xr3:uid="{A82B496A-D54E-5C44-90E7-6669F0FACD38}" name="FT %" dataDxfId="1784" dataCellStyle="Percent">
      <calculatedColumnFormula>LITI_Q1_HALF17195[[#This Row],[FTM]]/LITI_Q1_HALF17195[[#This Row],[FTA]]</calculatedColumnFormula>
    </tableColumn>
    <tableColumn id="14" xr3:uid="{7505F7E3-9757-AA45-AAE4-9BEB28B5F809}" name="TOTAL POINTS" dataDxfId="1783">
      <calculatedColumnFormula>SUM(LITI_Q1_HALF17195[[#This Row],[2PT FGM]]*2,LITI_Q1_HALF17195[[#This Row],[3PT FGM]]*3,LITI_Q1_HALF17195[[#This Row],[FTM]])</calculatedColumnFormula>
    </tableColumn>
    <tableColumn id="15" xr3:uid="{594F9338-0A58-A64D-A339-D7BA57F3CB68}" name="Dunks" dataDxfId="1782"/>
    <tableColumn id="16" xr3:uid="{2A86B547-05AE-2246-8456-F316A079A4D5}" name="Def. Boards" dataDxfId="1781"/>
    <tableColumn id="17" xr3:uid="{69D5DD11-1C5D-9A4A-A4AC-47D27937961A}" name="Off. Boards" dataDxfId="1780"/>
    <tableColumn id="18" xr3:uid="{6865FE5C-7D82-B646-8297-176089EEB05C}" name="Total Boards" dataDxfId="1779">
      <calculatedColumnFormula>LITI_Q1_HALF17195[[#This Row],[Def. Boards]]+LITI_Q1_HALF17195[[#This Row],[Off. Boards]]</calculatedColumnFormula>
    </tableColumn>
    <tableColumn id="19" xr3:uid="{4539737C-86F1-6F41-B9A6-F65AF0F04869}" name="Dimes" dataDxfId="1778"/>
    <tableColumn id="20" xr3:uid="{D6A68FC9-CD76-BB45-9062-5DEBB3592B92}" name="Cookies" dataDxfId="1777"/>
    <tableColumn id="21" xr3:uid="{B216B779-BF85-1144-992F-4A86F0A665F0}" name="Swats" dataDxfId="1776"/>
    <tableColumn id="22" xr3:uid="{F371676D-387D-4A48-B5E7-A56417A57478}" name="Turnovers" dataDxfId="1775"/>
    <tableColumn id="23" xr3:uid="{424F49C1-E31C-6C4A-9281-878A77A42E60}" name="Dimes:TO" dataDxfId="1774">
      <calculatedColumnFormula>LITI_Q1_HALF17195[[#This Row],[Dimes]]/LITI_Q1_HALF17195[[#This Row],[Turnovers]]</calculatedColumnFormula>
    </tableColumn>
  </tableColumns>
  <tableStyleInfo name="TableStyleMedium15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55CE84CE-0203-4046-8997-DCFEAC0982CB}" name="LITI_Q1_HALF17197" displayName="LITI_Q1_HALF17197" ref="A174:W180" totalsRowShown="0" headerRowDxfId="1773" headerRowBorderDxfId="1772" tableBorderDxfId="1771">
  <autoFilter ref="A174:W180" xr:uid="{FC19678A-6258-E246-BE49-D29CE0216B57}"/>
  <tableColumns count="23">
    <tableColumn id="1" xr3:uid="{FFC40AD8-83BA-0947-8308-17315EF84980}" name="Column1" dataDxfId="1770"/>
    <tableColumn id="2" xr3:uid="{7D29515E-FF5C-3748-AFF4-783690140A11}" name="Total FGM" dataDxfId="1769">
      <calculatedColumnFormula>LITI_Q1_HALF17197[[#This Row],[2PT FGM]]+LITI_Q1_HALF17197[[#This Row],[3PT FGM]]</calculatedColumnFormula>
    </tableColumn>
    <tableColumn id="3" xr3:uid="{D345208B-F5BC-FE45-935E-00D03AC1FFB7}" name="Total FGA" dataDxfId="1768"/>
    <tableColumn id="4" xr3:uid="{BBD54417-F6D7-3140-9C1B-564CB1B37C45}" name="Overall FG%" dataDxfId="1767" dataCellStyle="Percent">
      <calculatedColumnFormula>LITI_Q1_HALF17197[[#This Row],[Total FGM]]/LITI_Q1_HALF17197[[#This Row],[Total FGA]]</calculatedColumnFormula>
    </tableColumn>
    <tableColumn id="5" xr3:uid="{24A9D351-8F36-964A-8526-76FA8BB1E463}" name="2PT FGM" dataDxfId="1766"/>
    <tableColumn id="6" xr3:uid="{0F60E753-A552-D54A-8AE5-F325D736470E}" name="2PT FGA" dataDxfId="1765"/>
    <tableColumn id="7" xr3:uid="{2C37AE68-D3CF-4D4D-B67E-DDA8CA5B3A27}" name="2PT FG%" dataDxfId="1764" dataCellStyle="Percent">
      <calculatedColumnFormula>LITI_Q1_HALF17197[[#This Row],[Total FGM]]/LITI_Q1_HALF17197[[#This Row],[Total FGA]]</calculatedColumnFormula>
    </tableColumn>
    <tableColumn id="8" xr3:uid="{57F2E0A2-396D-004D-9EB1-C69E8881277F}" name="3PT FGM" dataDxfId="1763"/>
    <tableColumn id="9" xr3:uid="{92CAB311-5309-EB4F-AA9C-D5AB23376BEB}" name="3PT FGA" dataDxfId="1762"/>
    <tableColumn id="10" xr3:uid="{7A7B3055-99A0-794C-B094-A34D5EB2325C}" name="3PT FG%" dataDxfId="1761" dataCellStyle="Percent">
      <calculatedColumnFormula>LITI_Q1_HALF17197[[#This Row],[3PT FGM]]/LITI_Q1_HALF17197[[#This Row],[3PT FGA]]</calculatedColumnFormula>
    </tableColumn>
    <tableColumn id="11" xr3:uid="{594D984F-4A8A-1744-B554-4D69EA117591}" name="FTM" dataDxfId="1760"/>
    <tableColumn id="12" xr3:uid="{7350889B-15C2-9C42-B11D-3A40EF55023F}" name="FTA" dataDxfId="1759"/>
    <tableColumn id="13" xr3:uid="{4A2FCE7A-86DF-2444-AC33-CEB2532862F8}" name="FT %" dataDxfId="1758" dataCellStyle="Percent">
      <calculatedColumnFormula>LITI_Q1_HALF17197[[#This Row],[FTM]]/LITI_Q1_HALF17197[[#This Row],[FTA]]</calculatedColumnFormula>
    </tableColumn>
    <tableColumn id="14" xr3:uid="{B92A6C15-DE86-A34B-91B5-9824DA1D1656}" name="TOTAL POINTS" dataDxfId="1757">
      <calculatedColumnFormula>SUM(LITI_Q1_HALF17197[[#This Row],[2PT FGM]]*2,LITI_Q1_HALF17197[[#This Row],[3PT FGM]]*3,LITI_Q1_HALF17197[[#This Row],[FTM]])</calculatedColumnFormula>
    </tableColumn>
    <tableColumn id="15" xr3:uid="{36AD4045-E6AE-2545-99B7-15AB65ADA83E}" name="Dunks" dataDxfId="1756"/>
    <tableColumn id="16" xr3:uid="{51290BA8-5F4D-6E43-AF94-66764F7A5BDA}" name="Def. Boards" dataDxfId="1755"/>
    <tableColumn id="17" xr3:uid="{2B03D582-6DC0-EE41-B000-49332E1FBE71}" name="Off. Boards" dataDxfId="1754"/>
    <tableColumn id="18" xr3:uid="{D15A6345-BDCE-1D4B-8E22-41C0B63AB5D1}" name="Total Boards" dataDxfId="1753">
      <calculatedColumnFormula>LITI_Q1_HALF17197[[#This Row],[Def. Boards]]+LITI_Q1_HALF17197[[#This Row],[Off. Boards]]</calculatedColumnFormula>
    </tableColumn>
    <tableColumn id="19" xr3:uid="{DE73E9D8-830F-A842-9D19-FCFF139FA3B4}" name="Dimes" dataDxfId="1752"/>
    <tableColumn id="20" xr3:uid="{6F1F707D-8376-2941-B5C0-DEA67CE423B7}" name="Cookies" dataDxfId="1751"/>
    <tableColumn id="21" xr3:uid="{A2AC98D1-A3CB-564C-854C-B013A1365013}" name="Swats" dataDxfId="1750"/>
    <tableColumn id="22" xr3:uid="{271E3920-C9A0-FF4D-9213-A376115F4CD3}" name="Turnovers" dataDxfId="1749"/>
    <tableColumn id="23" xr3:uid="{1680ACCD-E80F-6C4F-8986-EE0BA8B9E938}" name="Dimes:TO" dataDxfId="1748">
      <calculatedColumnFormula>LITI_Q1_HALF17197[[#This Row],[Dimes]]/LITI_Q1_HALF17197[[#This Row],[Turnovers]]</calculatedColumnFormula>
    </tableColumn>
  </tableColumns>
  <tableStyleInfo name="TableStyleMedium15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3FF4D07D-5B10-DA4C-8E02-F64E7498147E}" name="GN_Q1_HALF17298" displayName="GN_Q1_HALF17298" ref="A123:W129" totalsRowShown="0" headerRowDxfId="1747" headerRowBorderDxfId="1746" tableBorderDxfId="1745">
  <autoFilter ref="A123:W129" xr:uid="{94554B39-691F-C244-A5A0-3B30CD5B133A}"/>
  <tableColumns count="23">
    <tableColumn id="1" xr3:uid="{E0B6E64A-554D-C343-8A0A-BF160AEA860C}" name="Nokia Snakes" dataDxfId="1744"/>
    <tableColumn id="2" xr3:uid="{F817FFFC-9BEA-B84D-A979-28FDB207B36D}" name="Total FGM" dataDxfId="1743">
      <calculatedColumnFormula>GN_Q1_HALF17298[[#This Row],[2PT FGM]]+GN_Q1_HALF17298[[#This Row],[3PT FGM]]</calculatedColumnFormula>
    </tableColumn>
    <tableColumn id="3" xr3:uid="{2D4154BF-13E9-B644-962F-8D5023A946ED}" name="Total FGA" dataDxfId="1742">
      <calculatedColumnFormula>GN_Q1_HALF17298[[#This Row],[2PT FGA]]+GN_Q1_HALF17298[[#This Row],[3PT FGA]]</calculatedColumnFormula>
    </tableColumn>
    <tableColumn id="4" xr3:uid="{37DF44D8-7862-F044-B61B-EECFE9FA6FF3}" name="Overall FG%" dataDxfId="1741" dataCellStyle="Percent">
      <calculatedColumnFormula>GN_Q1_HALF17298[[#This Row],[Total FGM]]/GN_Q1_HALF17298[[#This Row],[Total FGA]]</calculatedColumnFormula>
    </tableColumn>
    <tableColumn id="5" xr3:uid="{3FAE8D1B-F48F-7846-A7A9-72AA6067AE0E}" name="2PT FGM" dataDxfId="1740"/>
    <tableColumn id="6" xr3:uid="{F8B3DDBA-4B7D-7343-9B73-327B36F83CDC}" name="2PT FGA" dataDxfId="1739"/>
    <tableColumn id="7" xr3:uid="{7522FE33-9FC8-164B-AF13-11A7CB1AF52F}" name="2PT FG%" dataDxfId="1738" dataCellStyle="Percent">
      <calculatedColumnFormula>GN_Q1_HALF17298[[#This Row],[2PT FGM]]/GN_Q1_HALF17298[[#This Row],[2PT FGA]]</calculatedColumnFormula>
    </tableColumn>
    <tableColumn id="8" xr3:uid="{98B2284E-2DEC-B746-817D-22B67E898E12}" name="3PT FGM" dataDxfId="1737"/>
    <tableColumn id="9" xr3:uid="{20C72676-6BE9-1F43-A645-0293667513DB}" name="3PT FGA" dataDxfId="1736"/>
    <tableColumn id="10" xr3:uid="{112F8C1C-0ED6-8B4B-B9A7-5EA4E8F84777}" name="3PT FG%" dataDxfId="1735" dataCellStyle="Percent">
      <calculatedColumnFormula>GN_Q1_HALF17298[[#This Row],[Total FGM]]/GN_Q1_HALF17298[[#This Row],[Total FGA]]</calculatedColumnFormula>
    </tableColumn>
    <tableColumn id="11" xr3:uid="{246E9225-02AD-D045-ACF6-270BBF36318E}" name="FTM" dataDxfId="1734"/>
    <tableColumn id="12" xr3:uid="{8246DEA8-E783-CB47-BF3F-BDABD674D6E3}" name="FTA" dataDxfId="1733"/>
    <tableColumn id="13" xr3:uid="{48C1EFDF-9AA4-9C49-A76F-27B38CEDB76B}" name="FT %" dataDxfId="1732" dataCellStyle="Percent">
      <calculatedColumnFormula>GN_Q1_HALF17298[[#This Row],[FTM]]/GN_Q1_HALF17298[[#This Row],[FTA]]</calculatedColumnFormula>
    </tableColumn>
    <tableColumn id="14" xr3:uid="{FBD8CF73-7597-0542-BC71-EF47E3E7C62F}" name="TOTAL POINTS" dataDxfId="1731">
      <calculatedColumnFormula>SUM(GN_Q1_HALF17298[[#This Row],[2PT FGM]]*2,GN_Q1_HALF17298[[#This Row],[3PT FGM]]*3,GN_Q1_HALF17298[[#This Row],[FTM]])</calculatedColumnFormula>
    </tableColumn>
    <tableColumn id="15" xr3:uid="{825B30E7-253B-9D48-982E-DCE4796FAF14}" name="Dunks" dataDxfId="1730"/>
    <tableColumn id="16" xr3:uid="{EA5B42DD-5B7D-3145-893D-D5BFA360EFED}" name="Def. Boards" dataDxfId="1729"/>
    <tableColumn id="17" xr3:uid="{52640482-BF37-E94A-9988-655491C90062}" name="Off. Boards" dataDxfId="1728"/>
    <tableColumn id="18" xr3:uid="{B2AEE1D1-8638-4741-832D-2632A517F646}" name="Total Boards" dataDxfId="1727">
      <calculatedColumnFormula>GN_Q1_HALF17298[[#This Row],[Def. Boards]]+GN_Q1_HALF17298[[#This Row],[Off. Boards]]</calculatedColumnFormula>
    </tableColumn>
    <tableColumn id="19" xr3:uid="{83E1E593-19B9-9D40-A83A-EE2F4441D4C3}" name="Dimes" dataDxfId="1726"/>
    <tableColumn id="20" xr3:uid="{409B489D-8E70-DD46-9A68-8F087C299543}" name="Cookies" dataDxfId="1725"/>
    <tableColumn id="21" xr3:uid="{0ED9CF29-09CD-C64C-B83C-8FB5F78AA5D7}" name="Swats" dataDxfId="1724"/>
    <tableColumn id="22" xr3:uid="{3A3FAA47-3F44-1B43-9F49-2BF24CB8477A}" name="Turnovers" dataDxfId="1723"/>
    <tableColumn id="23" xr3:uid="{F252CB1E-6358-F944-8173-06F7C475AE24}" name="Dimes:TO" dataDxfId="1722">
      <calculatedColumnFormula>GN_Q1_HALF17298[[#This Row],[Dimes]]/GN_Q1_HALF17298[[#This Row],[Turnovers]]</calculatedColumnFormula>
    </tableColumn>
  </tableColumns>
  <tableStyleInfo name="TableStyleMedium14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D5612605-F3EA-0F41-92F0-C1F52A8E265A}" name="GN_Q1_HALF172100" displayName="GN_Q1_HALF172100" ref="A183:W189" totalsRowShown="0" headerRowDxfId="1721" headerRowBorderDxfId="1720" tableBorderDxfId="1719">
  <autoFilter ref="A183:W189" xr:uid="{C7BC98B8-4AE6-2B46-816B-5989976FB9B0}"/>
  <tableColumns count="23">
    <tableColumn id="1" xr3:uid="{DD6E5ED4-40AE-6048-A372-AE6CCB6E4108}" name="Column1" dataDxfId="1718"/>
    <tableColumn id="2" xr3:uid="{82B86E53-7691-3441-89CE-7C27F0EF3141}" name="Total FGM" dataDxfId="1717">
      <calculatedColumnFormula>GN_Q1_HALF172100[[#This Row],[2PT FGM]]+GN_Q1_HALF172100[[#This Row],[3PT FGM]]</calculatedColumnFormula>
    </tableColumn>
    <tableColumn id="3" xr3:uid="{EDFFCD9C-842D-FD4C-B5AF-CCCA67BF46EB}" name="Total FGA" dataDxfId="1716">
      <calculatedColumnFormula>GN_Q1_HALF172100[[#This Row],[2PT FGA]]+GN_Q1_HALF172100[[#This Row],[3PT FGA]]</calculatedColumnFormula>
    </tableColumn>
    <tableColumn id="4" xr3:uid="{8CFC646C-9AF0-EB49-BC28-CC2EAE2B315D}" name="Overall FG%" dataDxfId="1715" dataCellStyle="Percent">
      <calculatedColumnFormula>GN_Q1_HALF172100[[#This Row],[Total FGM]]/GN_Q1_HALF172100[[#This Row],[Total FGA]]</calculatedColumnFormula>
    </tableColumn>
    <tableColumn id="5" xr3:uid="{26454E12-712F-6C47-A495-8FD5AFD364AA}" name="2PT FGM" dataDxfId="1714"/>
    <tableColumn id="6" xr3:uid="{11076BCB-A59B-7E48-8D72-F156BEC23CB3}" name="2PT FGA" dataDxfId="1713"/>
    <tableColumn id="7" xr3:uid="{1C0C5D58-0C1E-434A-9556-FC768F3A9324}" name="2PT FG%" dataDxfId="1712" dataCellStyle="Percent">
      <calculatedColumnFormula>GN_Q1_HALF172100[[#This Row],[2PT FGM]]/GN_Q1_HALF172100[[#This Row],[2PT FGA]]</calculatedColumnFormula>
    </tableColumn>
    <tableColumn id="8" xr3:uid="{C0C54DD1-4763-0B47-B2E8-57F82D8F2145}" name="3PT FGM" dataDxfId="1711"/>
    <tableColumn id="9" xr3:uid="{BC0B7F69-7DD1-A24B-94D9-7B399A17EB7A}" name="3PT FGA" dataDxfId="1710"/>
    <tableColumn id="10" xr3:uid="{59F96A19-7BB6-B240-AEDA-AD09123EF3A8}" name="3PT FG%" dataDxfId="1709" dataCellStyle="Percent">
      <calculatedColumnFormula>GN_Q1_HALF172100[[#This Row],[Total FGM]]/GN_Q1_HALF172100[[#This Row],[Total FGA]]</calculatedColumnFormula>
    </tableColumn>
    <tableColumn id="11" xr3:uid="{30E217B9-1530-7D40-94AB-67DDBD8E3ABC}" name="FTM" dataDxfId="1708"/>
    <tableColumn id="12" xr3:uid="{BE30A07C-A28E-9147-ADFB-DF5670B2796D}" name="FTA" dataDxfId="1707"/>
    <tableColumn id="13" xr3:uid="{68E6ADFB-0A13-3748-AEBF-E76506D3332A}" name="FT %" dataDxfId="1706" dataCellStyle="Percent">
      <calculatedColumnFormula>GN_Q1_HALF172100[[#This Row],[FTM]]/GN_Q1_HALF172100[[#This Row],[FTA]]</calculatedColumnFormula>
    </tableColumn>
    <tableColumn id="14" xr3:uid="{1B212F76-F333-074F-8E77-BEE32CC06BE0}" name="TOTAL POINTS" dataDxfId="1705">
      <calculatedColumnFormula>SUM(GN_Q1_HALF172100[[#This Row],[2PT FGM]]*2,GN_Q1_HALF172100[[#This Row],[3PT FGM]]*3,GN_Q1_HALF172100[[#This Row],[FTM]])</calculatedColumnFormula>
    </tableColumn>
    <tableColumn id="15" xr3:uid="{0A01C05A-CFCF-2E42-A09D-254D68A47858}" name="Dunks" dataDxfId="1704"/>
    <tableColumn id="16" xr3:uid="{A0620013-5543-4A47-A828-74B27087AD7A}" name="Def. Boards" dataDxfId="1703"/>
    <tableColumn id="17" xr3:uid="{545A828C-9F81-2C48-9C37-9593B9CDA785}" name="Off. Boards" dataDxfId="1702"/>
    <tableColumn id="18" xr3:uid="{28AE30BB-8D67-8441-BB8A-627A71884787}" name="Total Boards" dataDxfId="1701">
      <calculatedColumnFormula>GN_Q1_HALF172100[[#This Row],[Def. Boards]]+GN_Q1_HALF172100[[#This Row],[Off. Boards]]</calculatedColumnFormula>
    </tableColumn>
    <tableColumn id="19" xr3:uid="{FF1EC34F-422F-EE4C-A7AB-E9693FB24378}" name="Dimes" dataDxfId="1700"/>
    <tableColumn id="20" xr3:uid="{D712CC4E-A4C4-1F44-B56B-4B2EBE23D940}" name="Cookies" dataDxfId="1699"/>
    <tableColumn id="21" xr3:uid="{146843CE-F0E4-014C-9990-EF54B17B736F}" name="Swats" dataDxfId="1698"/>
    <tableColumn id="22" xr3:uid="{F778FF4B-6C53-3D47-A27A-1203DF6BDE70}" name="Turnovers" dataDxfId="1697"/>
    <tableColumn id="23" xr3:uid="{7AEF097C-DD3B-C946-A68D-693BB667322E}" name="Dimes:TO" dataDxfId="1696">
      <calculatedColumnFormula>GN_Q1_HALF172100[[#This Row],[Dimes]]/GN_Q1_HALF172100[[#This Row],[Turnovers]]</calculatedColumnFormula>
    </tableColumn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EF4628-FEAB-4CED-BEE5-6B9F26D7570F}" name="PO_TOT" displayName="PO_TOT" ref="A3:Z35" totalsRowShown="0" headerRowDxfId="2204">
  <autoFilter ref="A3:Z35" xr:uid="{52B88BE1-2FB1-45E4-8E79-53D1C08F8A9E}"/>
  <sortState ref="A4:Z35">
    <sortCondition descending="1" ref="G3:G35"/>
  </sortState>
  <tableColumns count="26">
    <tableColumn id="1" xr3:uid="{572ED77D-13F3-45E1-B4D5-54A5B02DF052}" name="Name" dataDxfId="2203"/>
    <tableColumn id="2" xr3:uid="{2FAD62EE-AC92-4AC8-BCB8-0FFF997CBF9B}" name="Baller"/>
    <tableColumn id="3" xr3:uid="{15EAFEF3-1516-40A3-9955-0CA21B0802C9}" name="Team"/>
    <tableColumn id="26" xr3:uid="{8694358E-2FDE-464C-8D39-FE62CC32762B}" name="Games Played" dataDxfId="2202"/>
    <tableColumn id="4" xr3:uid="{9A3DD949-1815-4C88-ABA0-B47B00A531CD}" name="Total FGM" dataDxfId="2201">
      <calculatedColumnFormula>SUMIF(Playoff_Games_Full!$A:$A,$B:$B,Playoff_Games_Full!B:B)</calculatedColumnFormula>
    </tableColumn>
    <tableColumn id="5" xr3:uid="{F232C74F-F77B-45EF-AF26-9175677F5056}" name="Total FGA" dataDxfId="2200">
      <calculatedColumnFormula>SUMIF(Playoff_Games_Full!$A:$A,$B:$B,Playoff_Games_Full!C:C)</calculatedColumnFormula>
    </tableColumn>
    <tableColumn id="6" xr3:uid="{11BAEA25-0369-478B-BF36-F57EF6EE7F9A}" name="Overall FG%" dataDxfId="2199" dataCellStyle="Percent">
      <calculatedColumnFormula>PO_TOT[[#This Row],[Total FGM]]/PO_TOT[[#This Row],[Total FGA]]</calculatedColumnFormula>
    </tableColumn>
    <tableColumn id="7" xr3:uid="{0BA8ADAB-1FDF-4305-93F5-102A1423A455}" name="2PT FGM" dataDxfId="2198">
      <calculatedColumnFormula>SUMIF(Playoff_Games_Full!$A:$A,$B:$B,Playoff_Games_Full!E:E)</calculatedColumnFormula>
    </tableColumn>
    <tableColumn id="8" xr3:uid="{2212B913-66C5-45C8-8017-D9817488DEC2}" name="2PT FGA" dataDxfId="2197">
      <calculatedColumnFormula>SUMIF(Playoff_Games_Full!$A:$A,$B:$B,Playoff_Games_Full!F:F)</calculatedColumnFormula>
    </tableColumn>
    <tableColumn id="9" xr3:uid="{CD9C7469-36B3-48BD-94E3-0B2B50FD8B21}" name="2PT FG%" dataDxfId="2196" dataCellStyle="Percent">
      <calculatedColumnFormula>PO_TOT[[#This Row],[2PT FGM]]/PO_TOT[[#This Row],[2PT FGA]]</calculatedColumnFormula>
    </tableColumn>
    <tableColumn id="10" xr3:uid="{B0AC0F35-D86D-4012-BB57-DB17E5685784}" name="3PT FGM" dataDxfId="2195">
      <calculatedColumnFormula>SUMIF(Playoff_Games_Full!$A:$A,$B:$B,Playoff_Games_Full!H:H)</calculatedColumnFormula>
    </tableColumn>
    <tableColumn id="11" xr3:uid="{9AFB2458-154D-4F05-B43E-F1C9270C654C}" name="3PT FGA" dataDxfId="2194">
      <calculatedColumnFormula>SUMIF(Playoff_Games_Full!$A:$A,$B:$B,Playoff_Games_Full!I:I)</calculatedColumnFormula>
    </tableColumn>
    <tableColumn id="12" xr3:uid="{A5EE549E-0CD0-43D5-B253-5C15736B6ADC}" name="3PT FG%" dataDxfId="2193" dataCellStyle="Percent">
      <calculatedColumnFormula>PO_TOT[[#This Row],[3PT FGM]]/PO_TOT[[#This Row],[3PT FGA]]</calculatedColumnFormula>
    </tableColumn>
    <tableColumn id="13" xr3:uid="{F6749C3A-C237-4A94-8AC0-9967977727EF}" name="FTM" dataDxfId="2192">
      <calculatedColumnFormula>SUMIF(Playoff_Games_Full!$A:$A,$B:$B,Playoff_Games_Full!K:K)</calculatedColumnFormula>
    </tableColumn>
    <tableColumn id="14" xr3:uid="{CBE7A06B-E93A-469E-9E71-41298520E143}" name="FTA" dataDxfId="2191">
      <calculatedColumnFormula>SUMIF(Playoff_Games_Full!$A:$A,$B:$B,Playoff_Games_Full!L:L)</calculatedColumnFormula>
    </tableColumn>
    <tableColumn id="15" xr3:uid="{4AD90E08-65E4-447D-A0CD-7D71B4F5E133}" name="FT %" dataDxfId="2190" dataCellStyle="Percent">
      <calculatedColumnFormula>PO_TOT[[#This Row],[FTM]]/PO_TOT[[#This Row],[FTA]]</calculatedColumnFormula>
    </tableColumn>
    <tableColumn id="16" xr3:uid="{43FA974B-AFE1-493A-AD42-F7B177FCC431}" name="TOTAL POINTS" dataDxfId="2189">
      <calculatedColumnFormula>SUMIF(Playoff_Games_Full!$A:$A,$B:$B,Playoff_Games_Full!N:N)</calculatedColumnFormula>
    </tableColumn>
    <tableColumn id="17" xr3:uid="{8CE31175-2311-425B-9FBC-64DB4C780D93}" name="Dunks" dataDxfId="2188">
      <calculatedColumnFormula>SUMIF(Playoff_Games_Full!$A:$A,$B:$B,Playoff_Games_Full!O:O)</calculatedColumnFormula>
    </tableColumn>
    <tableColumn id="18" xr3:uid="{1BAB3859-F9BA-42CF-B474-8AA21D298B86}" name="Def. Boards" dataDxfId="2187">
      <calculatedColumnFormula>SUMIF(Playoff_Games_Full!$A:$A,$B:$B,Playoff_Games_Full!P:P)</calculatedColumnFormula>
    </tableColumn>
    <tableColumn id="19" xr3:uid="{F3296601-E92D-4DC9-89B3-3B3A4248F5A1}" name="Off. Boards" dataDxfId="2186">
      <calculatedColumnFormula>SUMIF(Playoff_Games_Full!$A:$A,$B:$B,Playoff_Games_Full!Q:Q)</calculatedColumnFormula>
    </tableColumn>
    <tableColumn id="20" xr3:uid="{B6106F6F-6EC2-4A05-81F8-C0A769BFE003}" name="Total Boards" dataDxfId="2185">
      <calculatedColumnFormula>SUMIF(Playoff_Games_Full!$A:$A,$B:$B,Playoff_Games_Full!R:R)</calculatedColumnFormula>
    </tableColumn>
    <tableColumn id="21" xr3:uid="{3E2367C3-BE61-461E-B2D0-89CCF87F844B}" name="Dimes" dataDxfId="2184">
      <calculatedColumnFormula>SUMIF(Playoff_Games_Full!$A:$A,$B:$B,Playoff_Games_Full!S:S)</calculatedColumnFormula>
    </tableColumn>
    <tableColumn id="22" xr3:uid="{2D36FF52-E7AB-4232-97A7-121E65445F48}" name="Cookies" dataDxfId="2183">
      <calculatedColumnFormula>SUMIF(Playoff_Games_Full!$A:$A,$B:$B,Playoff_Games_Full!T:T)</calculatedColumnFormula>
    </tableColumn>
    <tableColumn id="23" xr3:uid="{7CB5EC35-51ED-4B45-AF77-BCECAD8E0892}" name="Swats" dataDxfId="2182">
      <calculatedColumnFormula>SUMIF(Playoff_Games_Full!$A:$A,$B:$B,Playoff_Games_Full!U:U)</calculatedColumnFormula>
    </tableColumn>
    <tableColumn id="24" xr3:uid="{E3648F83-1E5D-40FB-B79D-C3D1E88CA85A}" name="Turnovers" dataDxfId="2181">
      <calculatedColumnFormula>SUMIF(Playoff_Games_Full!$A:$A,$B:$B,Playoff_Games_Full!V:V)</calculatedColumnFormula>
    </tableColumn>
    <tableColumn id="25" xr3:uid="{41463C49-8A36-4375-9D48-FA87C9420790}" name="Dimes:TO" dataDxfId="2180" dataCellStyle="Percent">
      <calculatedColumnFormula>PO_TOT[[#This Row],[Dimes]]/PO_TOT[[#This Row],[Turnovers]]</calculatedColumnFormula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132A278-E260-445B-A7CD-3B20137C45AB}" name="LITI_Q1_HALF17115" displayName="LITI_Q1_HALF17115" ref="A72:W78" totalsRowShown="0" headerRowDxfId="1695" headerRowBorderDxfId="1694" tableBorderDxfId="1693">
  <autoFilter ref="A72:W78" xr:uid="{3FE8F03A-FDD8-44D9-A7A0-2311E058B252}"/>
  <tableColumns count="23">
    <tableColumn id="1" xr3:uid="{D99254DD-FDAA-4C22-9F0D-669455E8F579}" name="Nokia Snakes" dataDxfId="1692"/>
    <tableColumn id="2" xr3:uid="{9CA137DC-56EA-4F0D-9D38-A77DCDF5B248}" name="Total FGM" dataDxfId="1691">
      <calculatedColumnFormula>LITI_Q1_HALF17115[[#This Row],[2PT FGM]]+LITI_Q1_HALF17115[[#This Row],[3PT FGM]]</calculatedColumnFormula>
    </tableColumn>
    <tableColumn id="3" xr3:uid="{D9253E69-8EEB-4D13-ADF1-4271875BBF35}" name="Total FGA" dataDxfId="1690"/>
    <tableColumn id="4" xr3:uid="{4D2B543C-9405-4F42-854F-0268E4DEA202}" name="Overall FG%" dataDxfId="1689" dataCellStyle="Percent">
      <calculatedColumnFormula>LITI_Q1_HALF17115[[#This Row],[Total FGM]]/LITI_Q1_HALF17115[[#This Row],[Total FGA]]</calculatedColumnFormula>
    </tableColumn>
    <tableColumn id="5" xr3:uid="{61D9DFCB-66EE-4C35-8679-B1B995C0F9E2}" name="2PT FGM" dataDxfId="1688"/>
    <tableColumn id="6" xr3:uid="{BC441AD5-9C0D-476C-932B-92326C50A423}" name="2PT FGA" dataDxfId="1687"/>
    <tableColumn id="7" xr3:uid="{3A6CE3C5-FA84-4BE0-9A7E-C8DAC096FC6C}" name="2PT FG%" dataDxfId="1686" dataCellStyle="Percent">
      <calculatedColumnFormula>LITI_Q1_HALF17115[[#This Row],[Total FGM]]/LITI_Q1_HALF17115[[#This Row],[Total FGA]]</calculatedColumnFormula>
    </tableColumn>
    <tableColumn id="8" xr3:uid="{C7E5FA2A-EA03-4877-86F9-7912BF250AB7}" name="3PT FGM" dataDxfId="1685"/>
    <tableColumn id="9" xr3:uid="{7497F709-1579-4BD2-9247-8100DB0A4585}" name="3PT FGA" dataDxfId="1684"/>
    <tableColumn id="10" xr3:uid="{EA527E04-883D-40D2-9D59-50D57A15C225}" name="3PT FG%" dataDxfId="1683" dataCellStyle="Percent">
      <calculatedColumnFormula>LITI_Q1_HALF17115[[#This Row],[3PT FGM]]/LITI_Q1_HALF17115[[#This Row],[3PT FGA]]</calculatedColumnFormula>
    </tableColumn>
    <tableColumn id="11" xr3:uid="{A3078C6A-687D-4D55-9646-6E328BF5FBC0}" name="FTM" dataDxfId="1682"/>
    <tableColumn id="12" xr3:uid="{66D0511A-1E99-4A2E-9AD9-91AE127B1778}" name="FTA" dataDxfId="1681"/>
    <tableColumn id="13" xr3:uid="{E13114BA-06ED-4FE2-B8FE-6FFFB561EA50}" name="FT %" dataDxfId="1680" dataCellStyle="Percent">
      <calculatedColumnFormula>LITI_Q1_HALF17115[[#This Row],[FTM]]/LITI_Q1_HALF17115[[#This Row],[FTA]]</calculatedColumnFormula>
    </tableColumn>
    <tableColumn id="14" xr3:uid="{BDFDB263-B620-4298-9CF1-2A926E8C18D7}" name="TOTAL POINTS" dataDxfId="1679">
      <calculatedColumnFormula>SUM(LITI_Q1_HALF17115[[#This Row],[2PT FGM]]*2,LITI_Q1_HALF17115[[#This Row],[3PT FGM]]*3,LITI_Q1_HALF17115[[#This Row],[FTM]])</calculatedColumnFormula>
    </tableColumn>
    <tableColumn id="15" xr3:uid="{8959FF25-01DC-4CB7-94F4-3D8C3F755B60}" name="Dunks" dataDxfId="1678"/>
    <tableColumn id="16" xr3:uid="{B6CFDCDF-1702-4D67-B310-491E62CD27EC}" name="Def. Boards" dataDxfId="1677"/>
    <tableColumn id="17" xr3:uid="{C9B81272-EC54-4FDA-8C20-4CEF2DFC96FC}" name="Off. Boards" dataDxfId="1676"/>
    <tableColumn id="18" xr3:uid="{60C90C31-EEFB-4A09-BB40-F0E0233E6907}" name="Total Boards" dataDxfId="1675">
      <calculatedColumnFormula>LITI_Q1_HALF17115[[#This Row],[Def. Boards]]+LITI_Q1_HALF17115[[#This Row],[Off. Boards]]</calculatedColumnFormula>
    </tableColumn>
    <tableColumn id="19" xr3:uid="{FAA1A4B8-1309-462C-9181-FD2B5E85C0EC}" name="Dimes" dataDxfId="1674"/>
    <tableColumn id="20" xr3:uid="{732F125D-D44C-4E03-B236-382A1BFD6E92}" name="Cookies" dataDxfId="1673"/>
    <tableColumn id="21" xr3:uid="{9B4F0098-7317-4D7C-9D83-2F4868A6707C}" name="Swats" dataDxfId="1672"/>
    <tableColumn id="22" xr3:uid="{ED77E919-E69E-46F0-85D6-7CE0FFF540E5}" name="Turnovers" dataDxfId="1671"/>
    <tableColumn id="23" xr3:uid="{B3F28706-C555-4D2C-A912-1F4ED518DD9D}" name="Dimes:TO" dataDxfId="1670">
      <calculatedColumnFormula>LITI_Q1_HALF17115[[#This Row],[Dimes]]/LITI_Q1_HALF17115[[#This Row],[Turnovers]]</calculatedColumnFormula>
    </tableColumn>
  </tableColumns>
  <tableStyleInfo name="TableStyleMedium15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307FBA0-7908-4253-93DC-BA82D77E3F10}" name="GN_Q1_HALF17216" displayName="GN_Q1_HALF17216" ref="A81:W87" totalsRowShown="0" headerRowDxfId="1669" headerRowBorderDxfId="1668" tableBorderDxfId="1667">
  <autoFilter ref="A81:W87" xr:uid="{956A13FB-0F29-47B0-A5D8-A915D371201C}"/>
  <tableColumns count="23">
    <tableColumn id="1" xr3:uid="{79DE9AE0-2229-40BC-8087-C0A3B1485086}" name="Bar Mitzvah Boys" dataDxfId="1666"/>
    <tableColumn id="2" xr3:uid="{67BE2537-ED5D-4484-BEFA-70CAC9A14F53}" name="Total FGM" dataDxfId="1665">
      <calculatedColumnFormula>GN_Q1_HALF17216[[#This Row],[2PT FGM]]+GN_Q1_HALF17216[[#This Row],[3PT FGM]]</calculatedColumnFormula>
    </tableColumn>
    <tableColumn id="3" xr3:uid="{312AC4A6-E815-4F57-ADA1-9198C73485A2}" name="Total FGA" dataDxfId="1664">
      <calculatedColumnFormula>GN_Q1_HALF17216[[#This Row],[2PT FGA]]+GN_Q1_HALF17216[[#This Row],[3PT FGA]]</calculatedColumnFormula>
    </tableColumn>
    <tableColumn id="4" xr3:uid="{A09DE704-57F9-4726-9E43-8A942269124B}" name="Overall FG%" dataDxfId="1663" dataCellStyle="Percent">
      <calculatedColumnFormula>GN_Q1_HALF17216[[#This Row],[Total FGM]]/GN_Q1_HALF17216[[#This Row],[Total FGA]]</calculatedColumnFormula>
    </tableColumn>
    <tableColumn id="5" xr3:uid="{B05087E2-47F4-4045-B23A-7230D948A0D4}" name="2PT FGM" dataDxfId="1662"/>
    <tableColumn id="6" xr3:uid="{05C9E50D-6A46-4B76-9ACF-BDAFDC5DDE9F}" name="2PT FGA" dataDxfId="1661"/>
    <tableColumn id="7" xr3:uid="{E2F7A4DE-EAAA-4CAE-A3BF-D615F93BE0D8}" name="2PT FG%" dataDxfId="1660" dataCellStyle="Percent">
      <calculatedColumnFormula>GN_Q1_HALF17216[[#This Row],[2PT FGM]]/GN_Q1_HALF17216[[#This Row],[2PT FGA]]</calculatedColumnFormula>
    </tableColumn>
    <tableColumn id="8" xr3:uid="{24F907F8-23D8-4C69-9C5E-6FF91F5FC9BB}" name="3PT FGM" dataDxfId="1659"/>
    <tableColumn id="9" xr3:uid="{1EF744A4-F069-49F5-A347-8B169F4353F5}" name="3PT FGA" dataDxfId="1658"/>
    <tableColumn id="10" xr3:uid="{959D9BE4-812C-4DED-8A82-19A0E483CF77}" name="3PT FG%" dataDxfId="1657" dataCellStyle="Percent">
      <calculatedColumnFormula>GN_Q1_HALF17216[[#This Row],[Total FGM]]/GN_Q1_HALF17216[[#This Row],[Total FGA]]</calculatedColumnFormula>
    </tableColumn>
    <tableColumn id="11" xr3:uid="{2FD92C97-6746-46F1-ACF9-1A43EDE05276}" name="FTM" dataDxfId="1656"/>
    <tableColumn id="12" xr3:uid="{C9ADD3B0-D559-4E43-8328-F3E8C63EDC20}" name="FTA" dataDxfId="1655"/>
    <tableColumn id="13" xr3:uid="{355E19FE-B9E6-42A2-A7B2-9F8CB4A01109}" name="FT %" dataDxfId="1654" dataCellStyle="Percent">
      <calculatedColumnFormula>GN_Q1_HALF17216[[#This Row],[FTM]]/GN_Q1_HALF17216[[#This Row],[FTA]]</calculatedColumnFormula>
    </tableColumn>
    <tableColumn id="14" xr3:uid="{AC623710-60E2-43BC-A5DE-59EB973149DC}" name="TOTAL POINTS" dataDxfId="1653">
      <calculatedColumnFormula>SUM(GN_Q1_HALF17216[[#This Row],[2PT FGM]]*2,GN_Q1_HALF17216[[#This Row],[3PT FGM]]*3,GN_Q1_HALF17216[[#This Row],[FTM]])</calculatedColumnFormula>
    </tableColumn>
    <tableColumn id="15" xr3:uid="{8ED678FF-BB66-4DBC-8085-B430C4363E81}" name="Dunks" dataDxfId="1652"/>
    <tableColumn id="16" xr3:uid="{27464850-74B4-43AC-9A67-5D29F09D3F66}" name="Def. Boards" dataDxfId="1651"/>
    <tableColumn id="17" xr3:uid="{E4B98191-CD3C-42DD-B725-FF3792A6C465}" name="Off. Boards" dataDxfId="1650"/>
    <tableColumn id="18" xr3:uid="{4D5E106C-325F-449C-8A3F-39C8280D5B7C}" name="Total Boards" dataDxfId="1649">
      <calculatedColumnFormula>GN_Q1_HALF17216[[#This Row],[Def. Boards]]+GN_Q1_HALF17216[[#This Row],[Off. Boards]]</calculatedColumnFormula>
    </tableColumn>
    <tableColumn id="19" xr3:uid="{E396A34F-007A-4DDA-993F-317173F1AC2E}" name="Dimes" dataDxfId="1648"/>
    <tableColumn id="20" xr3:uid="{2A54A6F7-466D-438C-B51F-58747F2860A3}" name="Cookies" dataDxfId="1647"/>
    <tableColumn id="21" xr3:uid="{EAE43F84-8586-41C0-8EA0-C52770E990A9}" name="Swats" dataDxfId="1646"/>
    <tableColumn id="22" xr3:uid="{5C272996-F8C1-4061-992B-254DDF55DA3F}" name="Turnovers" dataDxfId="1645"/>
    <tableColumn id="23" xr3:uid="{2932E358-07D9-4325-9F05-ECB5C343F703}" name="Dimes:TO" dataDxfId="1644">
      <calculatedColumnFormula>GN_Q1_HALF17216[[#This Row],[Dimes]]/GN_Q1_HALF17216[[#This Row],[Turnovers]]</calculatedColumnFormula>
    </tableColumn>
  </tableColumns>
  <tableStyleInfo name="TableStyleMedium14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4FEB8233-9766-4DF4-9934-C197C335F4F6}" name="GN_Q1_TOT" displayName="GN_Q1_TOT" ref="A17:W24" totalsRowShown="0" headerRowDxfId="1643" headerRowBorderDxfId="1642" tableBorderDxfId="1641">
  <autoFilter ref="A17:W24" xr:uid="{38EF9AB5-E75F-455F-B0E5-8612FEAC545A}"/>
  <tableColumns count="23">
    <tableColumn id="1" xr3:uid="{412CDD97-8123-475B-89DD-EDBE7127AEC5}" name="Nokia Snakes" dataDxfId="1640"/>
    <tableColumn id="2" xr3:uid="{8770FCDD-15ED-4860-96AE-063FA1B73AAC}" name="Total FGM" dataDxfId="1639">
      <calculatedColumnFormula>GN_Q1_TOT[[#This Row],[2PT FGM]]+GN_Q1_TOT[[#This Row],[3PT FGM]]</calculatedColumnFormula>
    </tableColumn>
    <tableColumn id="3" xr3:uid="{46A3E072-CB7E-4AA8-A821-026B53CC5632}" name="Total FGA" dataDxfId="1638">
      <calculatedColumnFormula>GN_Q1_TOT[[#This Row],[2PT FGA]]+GN_Q1_TOT[[#This Row],[3PT FGA]]</calculatedColumnFormula>
    </tableColumn>
    <tableColumn id="4" xr3:uid="{A65771AF-1E99-4F2A-B901-2BAE24AC590B}" name="Overall FG%" dataDxfId="1637" dataCellStyle="Percent">
      <calculatedColumnFormula>GN_Q1_TOT[[#This Row],[Total FGM]]/GN_Q1_TOT[[#This Row],[Total FGA]]</calculatedColumnFormula>
    </tableColumn>
    <tableColumn id="5" xr3:uid="{4D9D7F27-BF6B-4E4C-AA2A-DACE3C952EC2}" name="2PT FGM" dataDxfId="1636"/>
    <tableColumn id="6" xr3:uid="{4A367E49-047E-457A-9DCC-7315AD45B48B}" name="2PT FGA" dataDxfId="1635"/>
    <tableColumn id="7" xr3:uid="{AA6AC47D-36B0-4FC4-8559-19E3114905B5}" name="2PT FG%" dataDxfId="1634" dataCellStyle="Percent">
      <calculatedColumnFormula>GN_Q1_TOT[[#This Row],[2PT FGM]]/GN_Q1_TOT[[#This Row],[2PT FGA]]</calculatedColumnFormula>
    </tableColumn>
    <tableColumn id="8" xr3:uid="{CD2FD509-2B14-4F0C-935F-3E14D0990932}" name="3PT FGM" dataDxfId="1633"/>
    <tableColumn id="9" xr3:uid="{B8ACA671-933F-465E-B032-160A117FE6BE}" name="3PT FGA" dataDxfId="1632"/>
    <tableColumn id="10" xr3:uid="{508C1175-8AE4-4FCD-8D6B-151CA6F57E6D}" name="3PT FG%" dataDxfId="1631" dataCellStyle="Percent">
      <calculatedColumnFormula>GN_Q1_TOT[[#This Row],[Total FGM]]/GN_Q1_TOT[[#This Row],[Total FGA]]</calculatedColumnFormula>
    </tableColumn>
    <tableColumn id="11" xr3:uid="{D9BD0F1F-5373-49BC-9023-4DC9E970B682}" name="FTM" dataDxfId="1630"/>
    <tableColumn id="12" xr3:uid="{7989A3CF-3BCB-43D1-8CCD-A2FE98A53622}" name="FTA" dataDxfId="1629"/>
    <tableColumn id="13" xr3:uid="{8913E33C-DB27-45E7-84EA-B4378E05B14C}" name="FT %" dataDxfId="1628" dataCellStyle="Percent">
      <calculatedColumnFormula>GN_Q1_TOT[[#This Row],[FTM]]/GN_Q1_TOT[[#This Row],[FTA]]</calculatedColumnFormula>
    </tableColumn>
    <tableColumn id="14" xr3:uid="{C1AC3054-D3F0-4718-88B3-E5E0913107B0}" name="TOTAL POINTS" dataDxfId="1627">
      <calculatedColumnFormula>SUM(GN_Q1_TOT[[#This Row],[2PT FGM]]*2,GN_Q1_TOT[[#This Row],[3PT FGM]]*3,GN_Q1_TOT[[#This Row],[FTM]])</calculatedColumnFormula>
    </tableColumn>
    <tableColumn id="15" xr3:uid="{E8DC08D3-5CEB-454F-A01F-B693976BB149}" name="Dunks" dataDxfId="1626"/>
    <tableColumn id="16" xr3:uid="{5D107933-5ECC-4C08-80D9-846B47B6A846}" name="Def. Boards" dataDxfId="1625"/>
    <tableColumn id="17" xr3:uid="{24456B76-4CBB-4932-8CA7-20306B1003AE}" name="Off. Boards" dataDxfId="1624"/>
    <tableColumn id="18" xr3:uid="{38C63A52-3337-4742-9A87-71058281030A}" name="Total Boards" dataDxfId="1623">
      <calculatedColumnFormula>GN_Q1_TOT[[#This Row],[Def. Boards]]+GN_Q1_TOT[[#This Row],[Off. Boards]]</calculatedColumnFormula>
    </tableColumn>
    <tableColumn id="19" xr3:uid="{88EBF153-5D66-4E5C-9AE3-30E5AD6C0420}" name="Dimes" dataDxfId="1622"/>
    <tableColumn id="20" xr3:uid="{2B557121-8064-4080-A08B-799EE4660EB7}" name="Cookies" dataDxfId="1621"/>
    <tableColumn id="21" xr3:uid="{E9856631-B023-4169-8C38-38B63264BDAE}" name="Swats" dataDxfId="1620"/>
    <tableColumn id="22" xr3:uid="{848608F7-CC7A-4343-BCE9-ECB3F40369C4}" name="Turnovers" dataDxfId="1619"/>
    <tableColumn id="23" xr3:uid="{478D1AE7-3B87-4FC7-A7B0-BD13A7BA88C4}" name="Dimes:TO" dataDxfId="1618">
      <calculatedColumnFormula>GN_Q1_TOT[[#This Row],[Dimes]]/GN_Q1_TOT[[#This Row],[Turnovers]]</calculatedColumnFormula>
    </tableColumn>
  </tableColumns>
  <tableStyleInfo name="TableStyleMedium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C4D4E811-D4FA-4C8A-9B73-A8D6A92CD3BE}" name="LITI_Q1_TOT" displayName="LITI_Q1_TOT" ref="A7:W13" totalsRowShown="0" headerRowDxfId="1617" headerRowBorderDxfId="1616" tableBorderDxfId="1615">
  <autoFilter ref="A7:W13" xr:uid="{29D022BC-5D26-4E77-A5AC-6122D9663808}"/>
  <tableColumns count="23">
    <tableColumn id="1" xr3:uid="{0E4608C0-50BB-4EAB-B423-BA5B71C69817}" name="Bar Mitzvah Boys" dataDxfId="1614"/>
    <tableColumn id="2" xr3:uid="{F691A60D-6F59-4823-82C0-BDC74851D964}" name="Total FGM" dataDxfId="1613">
      <calculatedColumnFormula>LITI_Q1_TOT[[#This Row],[2PT FGM]]+LITI_Q1_TOT[[#This Row],[3PT FGM]]</calculatedColumnFormula>
    </tableColumn>
    <tableColumn id="3" xr3:uid="{E9CE968B-CEA6-4CB0-98FF-20C4CCA74500}" name="Total FGA" dataDxfId="1612"/>
    <tableColumn id="4" xr3:uid="{D24C86B0-BCF9-4A76-829E-17C0F708216E}" name="Overall FG%" dataDxfId="1611" dataCellStyle="Percent">
      <calculatedColumnFormula>LITI_Q1_TOT[[#This Row],[Total FGM]]/LITI_Q1_TOT[[#This Row],[Total FGA]]</calculatedColumnFormula>
    </tableColumn>
    <tableColumn id="5" xr3:uid="{6F22B045-0127-4270-B888-6CB605BE7C46}" name="2PT FGM" dataDxfId="1610"/>
    <tableColumn id="6" xr3:uid="{2A4D4E29-39FB-4004-94FB-C969DE227F12}" name="2PT FGA" dataDxfId="1609"/>
    <tableColumn id="7" xr3:uid="{3DD5879B-4F6B-4BD9-A32A-4EC8A5E8B6F3}" name="2PT FG%" dataDxfId="1608" dataCellStyle="Percent">
      <calculatedColumnFormula>LITI_Q1_TOT[[#This Row],[Total FGM]]/LITI_Q1_TOT[[#This Row],[Total FGA]]</calculatedColumnFormula>
    </tableColumn>
    <tableColumn id="8" xr3:uid="{72DD165B-9D20-4FC9-9531-FE26BDEF88C3}" name="3PT FGM" dataDxfId="1607"/>
    <tableColumn id="9" xr3:uid="{E3C930B1-2B8E-4BC0-A824-3D3D4B05BD02}" name="3PT FGA" dataDxfId="1606"/>
    <tableColumn id="10" xr3:uid="{DA34D22C-1F77-4998-A740-9816BF882029}" name="3PT FG%" dataDxfId="1605" dataCellStyle="Percent">
      <calculatedColumnFormula>LITI_Q1_TOT[[#This Row],[3PT FGM]]/LITI_Q1_TOT[[#This Row],[3PT FGA]]</calculatedColumnFormula>
    </tableColumn>
    <tableColumn id="11" xr3:uid="{A3C4368B-9177-4D13-BE4F-955910B322DA}" name="FTM" dataDxfId="1604"/>
    <tableColumn id="12" xr3:uid="{65B802A2-FC09-46C5-9EA0-B90F23742767}" name="FTA" dataDxfId="1603"/>
    <tableColumn id="13" xr3:uid="{75AB13EC-E0F1-467C-9855-92ACE8F46A55}" name="FT %" dataDxfId="1602" dataCellStyle="Percent">
      <calculatedColumnFormula>LITI_Q1_TOT[[#This Row],[FTM]]/LITI_Q1_TOT[[#This Row],[FTA]]</calculatedColumnFormula>
    </tableColumn>
    <tableColumn id="14" xr3:uid="{3EFC02D8-9E9F-417E-9D67-799588FA48B1}" name="TOTAL POINTS" dataDxfId="1601">
      <calculatedColumnFormula>SUM(LITI_Q1_TOT[[#This Row],[2PT FGM]]*2,LITI_Q1_TOT[[#This Row],[3PT FGM]]*3,LITI_Q1_TOT[[#This Row],[FTM]])</calculatedColumnFormula>
    </tableColumn>
    <tableColumn id="15" xr3:uid="{0FC77F18-027E-4F2E-99D0-765E5B8A2C80}" name="Dunks" dataDxfId="1600"/>
    <tableColumn id="16" xr3:uid="{B2400A97-6941-4DB4-ACF5-89CEA15D024C}" name="Def. Boards" dataDxfId="1599"/>
    <tableColumn id="17" xr3:uid="{FAB377AA-A200-444F-BE1D-47BC8EC6CF06}" name="Off. Boards" dataDxfId="1598"/>
    <tableColumn id="18" xr3:uid="{DD553852-D3A0-4807-A494-E6F89398874D}" name="Total Boards" dataDxfId="1597">
      <calculatedColumnFormula>LITI_Q1_TOT[[#This Row],[Def. Boards]]+LITI_Q1_TOT[[#This Row],[Off. Boards]]</calculatedColumnFormula>
    </tableColumn>
    <tableColumn id="19" xr3:uid="{BC638149-32AA-4B7A-AA89-051A759C29B5}" name="Dimes" dataDxfId="1596"/>
    <tableColumn id="20" xr3:uid="{AC757BEF-B7CE-4708-A036-550FAE62AF6E}" name="Cookies" dataDxfId="1595"/>
    <tableColumn id="21" xr3:uid="{C72A6485-DD14-4339-9076-E6977806AFC1}" name="Swats" dataDxfId="1594"/>
    <tableColumn id="22" xr3:uid="{5668B5D6-2BB9-4B4B-8B6A-FEE7624B3541}" name="Turnovers" dataDxfId="1593"/>
    <tableColumn id="23" xr3:uid="{BBF3735D-50B7-4F4B-BBB6-B3B752DEEA07}" name="Dimes:TO" dataDxfId="1592">
      <calculatedColumnFormula>LITI_Q1_TOT[[#This Row],[Dimes]]/LITI_Q1_TOT[[#This Row],[Turnovers]]</calculatedColumnFormula>
    </tableColumn>
  </tableColumns>
  <tableStyleInfo name="TableStyleMedium15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F17930C-C57E-4D3B-BC55-404F39790593}" name="LITI_Q1_HALF113" displayName="LITI_Q1_HALF113" ref="A5:W11" totalsRowShown="0" headerRowDxfId="1591" headerRowBorderDxfId="1590" tableBorderDxfId="1589">
  <autoFilter ref="A5:W11" xr:uid="{3E665F35-C58A-4218-AD4E-5B246AE1DE39}"/>
  <tableColumns count="23">
    <tableColumn id="1" xr3:uid="{520D6979-76BD-4674-9E68-67EDCC9AFFA6}" name="Bar Mitzvah Boys" dataDxfId="1588"/>
    <tableColumn id="2" xr3:uid="{1D5B03CF-D571-4C59-B4B6-C39B2049F2F3}" name="Total FGM" dataDxfId="1587">
      <calculatedColumnFormula>LITI_Q1_HALF113[[#This Row],[2PT FGM]]+LITI_Q1_HALF113[[#This Row],[3PT FGM]]</calculatedColumnFormula>
    </tableColumn>
    <tableColumn id="3" xr3:uid="{E42505A5-C685-4238-A481-BE068F692916}" name="Total FGA" dataDxfId="1586"/>
    <tableColumn id="4" xr3:uid="{43325130-1E76-4E18-899A-348AA1D02489}" name="Overall FG%" dataDxfId="1585" dataCellStyle="Percent">
      <calculatedColumnFormula>LITI_Q1_HALF113[[#This Row],[Total FGM]]/LITI_Q1_HALF113[[#This Row],[Total FGA]]</calculatedColumnFormula>
    </tableColumn>
    <tableColumn id="5" xr3:uid="{A0564A44-6624-4F18-8569-C28A2F618973}" name="2PT FGM" dataDxfId="1584"/>
    <tableColumn id="6" xr3:uid="{7E9AC63E-7175-41BA-8D9C-1DA945DA9C19}" name="2PT FGA" dataDxfId="1583"/>
    <tableColumn id="7" xr3:uid="{4666811C-0DBC-4F5B-B405-FA3340B94770}" name="2PT FG%" dataDxfId="1582" dataCellStyle="Percent">
      <calculatedColumnFormula>LITI_Q1_HALF113[[#This Row],[2PT FGM]]/LITI_Q1_HALF113[[#This Row],[2PT FGA]]</calculatedColumnFormula>
    </tableColumn>
    <tableColumn id="8" xr3:uid="{94751E4F-65A5-485B-AE13-D5CA875BEF89}" name="3PT FGM" dataDxfId="1581"/>
    <tableColumn id="9" xr3:uid="{4EC67830-38A2-43C1-9297-04099386513C}" name="3PT FGA" dataDxfId="1580"/>
    <tableColumn id="10" xr3:uid="{72F6310E-FE7A-4293-BB80-E157D15A8BF1}" name="3PT FG%" dataDxfId="1579" dataCellStyle="Percent">
      <calculatedColumnFormula>LITI_Q1_HALF113[[#This Row],[3PT FGM]]/LITI_Q1_HALF113[[#This Row],[3PT FGA]]</calculatedColumnFormula>
    </tableColumn>
    <tableColumn id="11" xr3:uid="{CDEBD4BD-4A97-4B83-88AC-0AF602962C9A}" name="FTM" dataDxfId="1578"/>
    <tableColumn id="12" xr3:uid="{39A13125-8509-4E23-A032-641FB7D278D7}" name="FTA" dataDxfId="1577"/>
    <tableColumn id="13" xr3:uid="{CBBE066F-999C-4810-B7E3-34758F392D63}" name="FT %" dataDxfId="1576" dataCellStyle="Percent">
      <calculatedColumnFormula>LITI_Q1_HALF113[[#This Row],[FTM]]/LITI_Q1_HALF113[[#This Row],[FTA]]</calculatedColumnFormula>
    </tableColumn>
    <tableColumn id="14" xr3:uid="{86C31992-D83C-4B1C-8C3D-7DD64759962C}" name="TOTAL POINTS" dataDxfId="1575">
      <calculatedColumnFormula>SUM(LITI_Q1_HALF113[[#This Row],[2PT FGM]]*2,LITI_Q1_HALF113[[#This Row],[3PT FGM]]*3,LITI_Q1_HALF113[[#This Row],[FTM]])</calculatedColumnFormula>
    </tableColumn>
    <tableColumn id="15" xr3:uid="{43F7BB27-A52D-483F-A719-E7D3D7BDC7AC}" name="Dunks" dataDxfId="1574"/>
    <tableColumn id="16" xr3:uid="{7D3E044A-CA97-4125-8DD2-6DEC9AE31D66}" name="Def. Boards" dataDxfId="1573"/>
    <tableColumn id="17" xr3:uid="{B81B3A92-C686-4DD5-B3EA-B2BA6FE6D488}" name="Off. Boards" dataDxfId="1572"/>
    <tableColumn id="18" xr3:uid="{B3C8BCF2-C63D-4C10-8F47-33439CCC0BEB}" name="Total Boards" dataDxfId="1571">
      <calculatedColumnFormula>LITI_Q1_HALF113[[#This Row],[Def. Boards]]+LITI_Q1_HALF113[[#This Row],[Off. Boards]]</calculatedColumnFormula>
    </tableColumn>
    <tableColumn id="19" xr3:uid="{63F457D5-D852-462A-B9F9-F7BED0267EBA}" name="Dimes" dataDxfId="1570"/>
    <tableColumn id="20" xr3:uid="{AA6BDD4B-34CB-40A6-8701-9575335BB233}" name="Cookies" dataDxfId="1569"/>
    <tableColumn id="21" xr3:uid="{C1AC61BA-AD50-4383-922E-AECB474F10AA}" name="Swats" dataDxfId="1568"/>
    <tableColumn id="22" xr3:uid="{4AA667B4-41F5-4EE8-BFE0-B39B442556BA}" name="Turnovers" dataDxfId="1567"/>
    <tableColumn id="23" xr3:uid="{FAC7EB7D-1AD4-4C42-95A4-94DE010A6345}" name="Dimes:TO" dataDxfId="1566">
      <calculatedColumnFormula>LITI_Q1_HALF113[[#This Row],[Dimes]]/LITI_Q1_HALF113[[#This Row],[Turnovers]]</calculatedColumnFormula>
    </tableColumn>
  </tableColumns>
  <tableStyleInfo name="TableStyleMedium15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756E0F2-4797-4EA5-AAA7-D0BD2E1BA68F}" name="GN_Q1_HALF114" displayName="GN_Q1_HALF114" ref="A14:W20" totalsRowShown="0" headerRowDxfId="1565" headerRowBorderDxfId="1564" tableBorderDxfId="1563">
  <autoFilter ref="A14:W20" xr:uid="{87AAB5B0-5D3D-41EE-BAC4-134AD7016907}"/>
  <tableColumns count="23">
    <tableColumn id="1" xr3:uid="{F4B23988-3B21-4AC1-81F7-25D1FBA3CCB7}" name="Nokia Snakes" dataDxfId="1562"/>
    <tableColumn id="2" xr3:uid="{ADFA471B-0761-488E-8699-1CFFA832FED7}" name="Total FGM" dataDxfId="1561">
      <calculatedColumnFormula>GN_Q1_HALF114[[#This Row],[2PT FGM]]+GN_Q1_HALF114[[#This Row],[3PT FGM]]</calculatedColumnFormula>
    </tableColumn>
    <tableColumn id="3" xr3:uid="{23667804-EC84-475B-A468-B0488FEE7233}" name="Total FGA" dataDxfId="1560">
      <calculatedColumnFormula>GN_Q1_HALF114[[#This Row],[2PT FGA]]+GN_Q1_HALF114[[#This Row],[3PT FGA]]</calculatedColumnFormula>
    </tableColumn>
    <tableColumn id="4" xr3:uid="{366E3E1C-CEBA-46C3-996F-0EE94D3FC761}" name="Overall FG%" dataDxfId="1559" dataCellStyle="Percent">
      <calculatedColumnFormula>GN_Q1_HALF114[[#This Row],[Total FGM]]/GN_Q1_HALF114[[#This Row],[Total FGA]]</calculatedColumnFormula>
    </tableColumn>
    <tableColumn id="5" xr3:uid="{3B551FC4-E9B8-4516-96DC-8B2E4F4EC666}" name="2PT FGM" dataDxfId="1558"/>
    <tableColumn id="6" xr3:uid="{01E1BD1E-01B2-4E73-A11E-BBBF14BFE9EB}" name="2PT FGA" dataDxfId="1557"/>
    <tableColumn id="7" xr3:uid="{9632A073-F3B2-4E61-AB1B-F0DFDEF85569}" name="2PT FG%" dataDxfId="1556" dataCellStyle="Percent">
      <calculatedColumnFormula>GN_Q1_HALF114[[#This Row],[2PT FGM]]/GN_Q1_HALF114[[#This Row],[2PT FGA]]</calculatedColumnFormula>
    </tableColumn>
    <tableColumn id="8" xr3:uid="{89777414-E794-48D9-8964-A320C9767BA6}" name="3PT FGM" dataDxfId="1555"/>
    <tableColumn id="9" xr3:uid="{B66E135F-3D9B-42AC-997D-1110289C4DF1}" name="3PT FGA" dataDxfId="1554"/>
    <tableColumn id="10" xr3:uid="{24AA3199-68F2-4973-ACC8-86C670CB316A}" name="3PT FG%" dataDxfId="1553" dataCellStyle="Percent">
      <calculatedColumnFormula>GN_Q1_HALF114[[#This Row],[3PT FGM]]/GN_Q1_HALF114[[#This Row],[3PT FGA]]</calculatedColumnFormula>
    </tableColumn>
    <tableColumn id="11" xr3:uid="{89A7BEE8-A4A8-41E9-9FDA-95786110262D}" name="FTM" dataDxfId="1552"/>
    <tableColumn id="12" xr3:uid="{60FB81BE-D737-4243-A5F8-F7D91E745162}" name="FTA" dataDxfId="1551"/>
    <tableColumn id="13" xr3:uid="{A096D8B7-7B85-457E-A9CA-18D20813722A}" name="FT %" dataDxfId="1550" dataCellStyle="Percent">
      <calculatedColumnFormula>GN_Q1_HALF114[[#This Row],[FTM]]/GN_Q1_HALF114[[#This Row],[FTA]]</calculatedColumnFormula>
    </tableColumn>
    <tableColumn id="14" xr3:uid="{67E3E4A4-86E2-4051-97E1-8269E942E280}" name="TOTAL POINTS" dataDxfId="1549">
      <calculatedColumnFormula>SUM(GN_Q1_HALF114[[#This Row],[2PT FGM]]*2,GN_Q1_HALF114[[#This Row],[3PT FGM]]*3,GN_Q1_HALF114[[#This Row],[FTM]])</calculatedColumnFormula>
    </tableColumn>
    <tableColumn id="15" xr3:uid="{7C0CCD87-C742-4573-8B74-B0013AA0B084}" name="Dunks" dataDxfId="1548"/>
    <tableColumn id="16" xr3:uid="{129B4DD0-16DA-4AE2-AA0B-23F3A91F6994}" name="Def. Boards" dataDxfId="1547"/>
    <tableColumn id="17" xr3:uid="{4B4A9F7F-1DA2-48C6-848F-FC7FC8CB3F46}" name="Off. Boards" dataDxfId="1546"/>
    <tableColumn id="18" xr3:uid="{CD230461-6C72-48F2-9836-CF17DE8D0D2B}" name="Total Boards" dataDxfId="1545">
      <calculatedColumnFormula>GN_Q1_HALF114[[#This Row],[Def. Boards]]+GN_Q1_HALF114[[#This Row],[Off. Boards]]</calculatedColumnFormula>
    </tableColumn>
    <tableColumn id="19" xr3:uid="{E8BF5ADB-4F0A-4755-9C4D-B7FF5E297F1F}" name="Dimes" dataDxfId="1544"/>
    <tableColumn id="20" xr3:uid="{05AC36DE-519E-4628-902A-FB63C4A033D4}" name="Cookies" dataDxfId="1543"/>
    <tableColumn id="21" xr3:uid="{6D19A905-9153-4557-B658-0501A16AD72E}" name="Swats" dataDxfId="1542"/>
    <tableColumn id="22" xr3:uid="{3BFC6DE3-151A-44D3-899F-6015529D9138}" name="Turnovers" dataDxfId="1541"/>
    <tableColumn id="23" xr3:uid="{0A6D0F22-2433-4476-95C2-F8D4567DE563}" name="Dimes:TO" dataDxfId="1540">
      <calculatedColumnFormula>GN_Q1_HALF114[[#This Row],[Dimes]]/GN_Q1_HALF114[[#This Row],[Turnovers]]</calculatedColumnFormula>
    </tableColumn>
  </tableColumns>
  <tableStyleInfo name="TableStyleMedium14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88ACEB5-1858-42BA-99CE-72C2A0B1A9A8}" name="LITI_Q1_HALF11317" displayName="LITI_Q1_HALF11317" ref="A24:W30" totalsRowShown="0" headerRowDxfId="1539" headerRowBorderDxfId="1538" tableBorderDxfId="1537">
  <autoFilter ref="A24:W30" xr:uid="{5C591578-F0B3-442A-9A88-A876AF3445CC}"/>
  <tableColumns count="23">
    <tableColumn id="1" xr3:uid="{3C514773-A738-4020-AB42-BAE0629F2069}" name="Bar Mitzvah Boys" dataDxfId="1536"/>
    <tableColumn id="2" xr3:uid="{AD7D8898-D43C-4DE4-8004-402D4708E9F1}" name="Total FGM" dataDxfId="1535">
      <calculatedColumnFormula>LITI_Q1_HALF11317[[#This Row],[2PT FGM]]+LITI_Q1_HALF11317[[#This Row],[3PT FGM]]</calculatedColumnFormula>
    </tableColumn>
    <tableColumn id="3" xr3:uid="{C3F8C35F-215C-4916-B0A5-5F7072344BC2}" name="Total FGA" dataDxfId="1534"/>
    <tableColumn id="4" xr3:uid="{DB45C3DD-F80F-4A99-9E43-069E1C8FBE18}" name="Overall FG%" dataDxfId="1533" dataCellStyle="Percent">
      <calculatedColumnFormula>LITI_Q1_HALF11317[[#This Row],[Total FGM]]/LITI_Q1_HALF11317[[#This Row],[Total FGA]]</calculatedColumnFormula>
    </tableColumn>
    <tableColumn id="5" xr3:uid="{D5C966FD-F422-4DA2-8808-D47E262FDBF4}" name="2PT FGM" dataDxfId="1532"/>
    <tableColumn id="6" xr3:uid="{804DF5F7-10E9-4CC9-A652-024D4F7FA614}" name="2PT FGA" dataDxfId="1531"/>
    <tableColumn id="7" xr3:uid="{2473D187-47FE-4715-86E3-D2F2177ED757}" name="2PT FG%" dataDxfId="1530" dataCellStyle="Percent">
      <calculatedColumnFormula>LITI_Q1_HALF11317[[#This Row],[2PT FGM]]/LITI_Q1_HALF11317[[#This Row],[2PT FGA]]</calculatedColumnFormula>
    </tableColumn>
    <tableColumn id="8" xr3:uid="{2E03DA20-AD01-4442-9474-E3FE68006923}" name="3PT FGM" dataDxfId="1529"/>
    <tableColumn id="9" xr3:uid="{3E12A7F3-159A-49E5-827E-947D2BE67A0B}" name="3PT FGA" dataDxfId="1528"/>
    <tableColumn id="10" xr3:uid="{F2FB6C31-02AE-41CB-ACD7-20A240B13245}" name="3PT FG%" dataDxfId="1527" dataCellStyle="Percent">
      <calculatedColumnFormula>LITI_Q1_HALF11317[[#This Row],[3PT FGM]]/LITI_Q1_HALF11317[[#This Row],[3PT FGA]]</calculatedColumnFormula>
    </tableColumn>
    <tableColumn id="11" xr3:uid="{C6C464A8-DB01-4C4E-BBF9-E954CB23B965}" name="FTM" dataDxfId="1526"/>
    <tableColumn id="12" xr3:uid="{634332F7-C3CD-48B2-B157-5939B1F8D469}" name="FTA" dataDxfId="1525"/>
    <tableColumn id="13" xr3:uid="{D9315759-180C-4047-9662-BADB400EEA0C}" name="FT %" dataDxfId="1524" dataCellStyle="Percent">
      <calculatedColumnFormula>LITI_Q1_HALF11317[[#This Row],[FTM]]/LITI_Q1_HALF11317[[#This Row],[FTA]]</calculatedColumnFormula>
    </tableColumn>
    <tableColumn id="14" xr3:uid="{736221BD-660B-4924-9DFE-A4FEC5789003}" name="TOTAL POINTS" dataDxfId="1523">
      <calculatedColumnFormula>SUM(LITI_Q1_HALF11317[[#This Row],[2PT FGM]]*2,LITI_Q1_HALF11317[[#This Row],[3PT FGM]]*3,LITI_Q1_HALF11317[[#This Row],[FTM]])</calculatedColumnFormula>
    </tableColumn>
    <tableColumn id="15" xr3:uid="{DE1D1878-C43D-4255-8C18-97307CFC01C9}" name="Dunks" dataDxfId="1522"/>
    <tableColumn id="16" xr3:uid="{C61E0238-323A-4AAD-B7A3-8A6CAEFF50FA}" name="Def. Boards" dataDxfId="1521"/>
    <tableColumn id="17" xr3:uid="{C62FB8B6-1CB6-48ED-977F-C0D519C6F40A}" name="Off. Boards" dataDxfId="1520"/>
    <tableColumn id="18" xr3:uid="{1EFC0861-8DCC-4029-A771-07E0D2EA9945}" name="Total Boards" dataDxfId="1519">
      <calculatedColumnFormula>LITI_Q1_HALF11317[[#This Row],[Def. Boards]]+LITI_Q1_HALF11317[[#This Row],[Off. Boards]]</calculatedColumnFormula>
    </tableColumn>
    <tableColumn id="19" xr3:uid="{9571984B-1AF7-4BD3-B478-BB46CFED0AE6}" name="Dimes" dataDxfId="1518"/>
    <tableColumn id="20" xr3:uid="{FA3C5E64-A78D-40AD-B2D0-83963D20323F}" name="Cookies" dataDxfId="1517"/>
    <tableColumn id="21" xr3:uid="{2011C35C-5193-4B0B-93C2-B55DEE9289ED}" name="Swats" dataDxfId="1516"/>
    <tableColumn id="22" xr3:uid="{364AAC3B-0ED2-4BF8-AE50-7C93B2127B3C}" name="Turnovers" dataDxfId="1515"/>
    <tableColumn id="23" xr3:uid="{D5BA561A-536B-4B6C-9C70-55658CA3A664}" name="Dimes:TO" dataDxfId="1514">
      <calculatedColumnFormula>LITI_Q1_HALF11317[[#This Row],[Dimes]]/LITI_Q1_HALF11317[[#This Row],[Turnovers]]</calculatedColumnFormula>
    </tableColumn>
  </tableColumns>
  <tableStyleInfo name="TableStyleMedium15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67CE7BC0-16DF-4FBB-A29E-F27306255FBB}" name="GN_Q1_HALF11418" displayName="GN_Q1_HALF11418" ref="A33:W39" totalsRowShown="0" headerRowDxfId="1513" headerRowBorderDxfId="1512" tableBorderDxfId="1511">
  <autoFilter ref="A33:W39" xr:uid="{32FB1791-6D7F-426D-9A2C-21E4CB3CE4A0}"/>
  <tableColumns count="23">
    <tableColumn id="1" xr3:uid="{1E3F3F8F-A418-43AF-BF4B-8236A25B2646}" name="Nokia Snakes" dataDxfId="1510"/>
    <tableColumn id="2" xr3:uid="{BB75A351-24D2-40E8-B52B-BAF6270B1E51}" name="Total FGM" dataDxfId="1509">
      <calculatedColumnFormula>GN_Q1_HALF11418[[#This Row],[2PT FGM]]+GN_Q1_HALF11418[[#This Row],[3PT FGM]]</calculatedColumnFormula>
    </tableColumn>
    <tableColumn id="3" xr3:uid="{D80A24E6-05F6-4352-9110-F8D563A0D999}" name="Total FGA" dataDxfId="1508">
      <calculatedColumnFormula>GN_Q1_HALF11418[[#This Row],[2PT FGA]]+GN_Q1_HALF11418[[#This Row],[3PT FGA]]</calculatedColumnFormula>
    </tableColumn>
    <tableColumn id="4" xr3:uid="{310DB871-0115-4273-A2D3-B4C0B68A6EAA}" name="Overall FG%" dataDxfId="1507" dataCellStyle="Percent">
      <calculatedColumnFormula>GN_Q1_HALF11418[[#This Row],[Total FGM]]/GN_Q1_HALF11418[[#This Row],[Total FGA]]</calculatedColumnFormula>
    </tableColumn>
    <tableColumn id="5" xr3:uid="{0CE7B5F7-8499-4018-BC0A-3D7CAD25583D}" name="2PT FGM" dataDxfId="1506"/>
    <tableColumn id="6" xr3:uid="{F1C5FEE8-EF2C-4E13-B0F4-E971EDA2D4CB}" name="2PT FGA" dataDxfId="1505"/>
    <tableColumn id="7" xr3:uid="{0172CCED-2E02-4C52-8AB5-FF8FA4043A89}" name="2PT FG%" dataDxfId="1504" dataCellStyle="Percent">
      <calculatedColumnFormula>GN_Q1_HALF11418[[#This Row],[2PT FGM]]/GN_Q1_HALF11418[[#This Row],[2PT FGA]]</calculatedColumnFormula>
    </tableColumn>
    <tableColumn id="8" xr3:uid="{B7F29453-61E0-41DB-AD15-D8D8C49CA598}" name="3PT FGM" dataDxfId="1503"/>
    <tableColumn id="9" xr3:uid="{97D51A39-63F2-413C-A093-9817226A93BE}" name="3PT FGA" dataDxfId="1502"/>
    <tableColumn id="10" xr3:uid="{43BFF5AC-7DAF-4293-8756-B9A5F80285EF}" name="3PT FG%" dataDxfId="1501" dataCellStyle="Percent">
      <calculatedColumnFormula>GN_Q1_HALF11418[[#This Row],[3PT FGM]]/GN_Q1_HALF11418[[#This Row],[3PT FGA]]</calculatedColumnFormula>
    </tableColumn>
    <tableColumn id="11" xr3:uid="{1D0966E4-BBC5-4774-8504-52BEF6E59811}" name="FTM" dataDxfId="1500"/>
    <tableColumn id="12" xr3:uid="{C3FB1D7B-2F0D-4FC9-925A-F2515624D48C}" name="FTA" dataDxfId="1499"/>
    <tableColumn id="13" xr3:uid="{AE0B5A31-C87A-4E2B-BC36-EE38D67DE29D}" name="FT %" dataDxfId="1498" dataCellStyle="Percent">
      <calculatedColumnFormula>GN_Q1_HALF11418[[#This Row],[FTM]]/GN_Q1_HALF11418[[#This Row],[FTA]]</calculatedColumnFormula>
    </tableColumn>
    <tableColumn id="14" xr3:uid="{7096235F-A1A0-4356-8273-78B556CE824D}" name="TOTAL POINTS" dataDxfId="1497">
      <calculatedColumnFormula>SUM(GN_Q1_HALF11418[[#This Row],[2PT FGM]]*2,GN_Q1_HALF11418[[#This Row],[3PT FGM]]*3,GN_Q1_HALF11418[[#This Row],[FTM]])</calculatedColumnFormula>
    </tableColumn>
    <tableColumn id="15" xr3:uid="{94B81533-C8C1-49F1-9E59-A8E737699859}" name="Dunks" dataDxfId="1496"/>
    <tableColumn id="16" xr3:uid="{E475E056-79FD-46B6-9247-992DB5A290AA}" name="Def. Boards" dataDxfId="1495"/>
    <tableColumn id="17" xr3:uid="{E77DD512-7690-4EF7-BEE0-7A91B93A4AB6}" name="Off. Boards" dataDxfId="1494"/>
    <tableColumn id="18" xr3:uid="{2A2439A5-3637-4062-AB80-5F8A68A6728B}" name="Total Boards" dataDxfId="1493">
      <calculatedColumnFormula>GN_Q1_HALF11418[[#This Row],[Def. Boards]]+GN_Q1_HALF11418[[#This Row],[Off. Boards]]</calculatedColumnFormula>
    </tableColumn>
    <tableColumn id="19" xr3:uid="{F697DB76-CE4A-4A34-8899-0ED2383EE6E0}" name="Dimes" dataDxfId="1492"/>
    <tableColumn id="20" xr3:uid="{FBB3B698-3BD6-4C8B-8704-FDEF1B0B82D8}" name="Cookies" dataDxfId="1491"/>
    <tableColumn id="21" xr3:uid="{45316FCC-454D-499F-9466-FE69E0059C5D}" name="Swats" dataDxfId="1490"/>
    <tableColumn id="22" xr3:uid="{778ADB92-6802-4EB6-B345-07F5336C998B}" name="Turnovers" dataDxfId="1489"/>
    <tableColumn id="23" xr3:uid="{057D2FA6-8E09-4D93-9BE9-88569EF1C985}" name="Dimes:TO" dataDxfId="1488">
      <calculatedColumnFormula>GN_Q1_HALF11418[[#This Row],[Dimes]]/GN_Q1_HALF11418[[#This Row],[Turnovers]]</calculatedColumnFormula>
    </tableColumn>
  </tableColumns>
  <tableStyleInfo name="TableStyleMedium14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D8EABD4-27DE-4468-9FBE-47F40AE579D1}" name="LITI_Q1_HALF11319" displayName="LITI_Q1_HALF11319" ref="A42:W48" totalsRowShown="0" headerRowDxfId="1487" headerRowBorderDxfId="1486" tableBorderDxfId="1485">
  <autoFilter ref="A42:W48" xr:uid="{FD7266EA-18F8-4AC0-A39D-01C7DE749759}"/>
  <tableColumns count="23">
    <tableColumn id="1" xr3:uid="{EF87E354-5746-43B3-BDBF-59BB9C29E795}" name="Bar Mitzvah Boys" dataDxfId="1484"/>
    <tableColumn id="2" xr3:uid="{0951DF07-E4F9-4F4C-90FD-F4412D244084}" name="Total FGM" dataDxfId="1483">
      <calculatedColumnFormula>LITI_Q1_HALF11319[[#This Row],[2PT FGM]]+LITI_Q1_HALF11319[[#This Row],[3PT FGM]]</calculatedColumnFormula>
    </tableColumn>
    <tableColumn id="3" xr3:uid="{18861908-A52B-4937-998E-37B7972D85EF}" name="Total FGA" dataDxfId="1482"/>
    <tableColumn id="4" xr3:uid="{6AA60B01-B6F1-4FB1-B366-ED99F86AAC0A}" name="Overall FG%" dataDxfId="1481" dataCellStyle="Percent">
      <calculatedColumnFormula>LITI_Q1_HALF11319[[#This Row],[Total FGM]]/LITI_Q1_HALF11319[[#This Row],[Total FGA]]</calculatedColumnFormula>
    </tableColumn>
    <tableColumn id="5" xr3:uid="{9540299D-D34C-4E10-BBFA-1D404D8426A6}" name="2PT FGM" dataDxfId="1480"/>
    <tableColumn id="6" xr3:uid="{24E74E0B-2CEC-4598-89C7-1D8BF9F8F942}" name="2PT FGA" dataDxfId="1479"/>
    <tableColumn id="7" xr3:uid="{A37658A7-9D21-4606-A27A-80C054DE5341}" name="2PT FG%" dataDxfId="1478" dataCellStyle="Percent">
      <calculatedColumnFormula>LITI_Q1_HALF11319[[#This Row],[2PT FGM]]/LITI_Q1_HALF11319[[#This Row],[2PT FGA]]</calculatedColumnFormula>
    </tableColumn>
    <tableColumn id="8" xr3:uid="{81FE1F5A-5986-4AC5-BA80-E53EF656055F}" name="3PT FGM" dataDxfId="1477"/>
    <tableColumn id="9" xr3:uid="{C8BEBEB2-9A69-4BF5-BE8C-25979748E174}" name="3PT FGA" dataDxfId="1476"/>
    <tableColumn id="10" xr3:uid="{077FB0C0-DFE4-4CE1-BFED-6C7A74076717}" name="3PT FG%" dataDxfId="1475" dataCellStyle="Percent">
      <calculatedColumnFormula>LITI_Q1_HALF11319[[#This Row],[3PT FGM]]/LITI_Q1_HALF11319[[#This Row],[3PT FGA]]</calculatedColumnFormula>
    </tableColumn>
    <tableColumn id="11" xr3:uid="{BA026728-0315-4011-8874-456B68551FAE}" name="FTM" dataDxfId="1474"/>
    <tableColumn id="12" xr3:uid="{E4DE7FB7-09ED-4E1D-8AB8-043F66BD198B}" name="FTA" dataDxfId="1473"/>
    <tableColumn id="13" xr3:uid="{713D3D88-6315-4168-ABD2-A29C36A065D7}" name="FT %" dataDxfId="1472" dataCellStyle="Percent">
      <calculatedColumnFormula>LITI_Q1_HALF11319[[#This Row],[FTM]]/LITI_Q1_HALF11319[[#This Row],[FTA]]</calculatedColumnFormula>
    </tableColumn>
    <tableColumn id="14" xr3:uid="{458F6664-73F6-46C9-BD1C-D012F6A63532}" name="TOTAL POINTS" dataDxfId="1471">
      <calculatedColumnFormula>SUM(LITI_Q1_HALF11319[[#This Row],[2PT FGM]]*2,LITI_Q1_HALF11319[[#This Row],[3PT FGM]]*3,LITI_Q1_HALF11319[[#This Row],[FTM]])</calculatedColumnFormula>
    </tableColumn>
    <tableColumn id="15" xr3:uid="{E375D356-0E65-40FF-A776-03D8EBB237D0}" name="Dunks" dataDxfId="1470"/>
    <tableColumn id="16" xr3:uid="{3E73B8DC-C78C-4256-997C-E0040B96783D}" name="Def. Boards" dataDxfId="1469"/>
    <tableColumn id="17" xr3:uid="{15650F55-CFD3-451A-A202-40F43C06A630}" name="Off. Boards" dataDxfId="1468"/>
    <tableColumn id="18" xr3:uid="{5414B12F-9FA4-4E37-BD85-62D9E9784EB3}" name="Total Boards" dataDxfId="1467">
      <calculatedColumnFormula>LITI_Q1_HALF11319[[#This Row],[Def. Boards]]+LITI_Q1_HALF11319[[#This Row],[Off. Boards]]</calculatedColumnFormula>
    </tableColumn>
    <tableColumn id="19" xr3:uid="{F9A7D6AB-045F-4561-834C-509AD8985B78}" name="Dimes" dataDxfId="1466"/>
    <tableColumn id="20" xr3:uid="{9A11ECFA-4764-42F5-8FA5-E9DACD7DF30F}" name="Cookies" dataDxfId="1465"/>
    <tableColumn id="21" xr3:uid="{8A01BD2A-8D36-473C-8676-C1B4EFE21C92}" name="Swats" dataDxfId="1464"/>
    <tableColumn id="22" xr3:uid="{4AE534A6-3145-4839-94F1-562698668D6B}" name="Turnovers" dataDxfId="1463"/>
    <tableColumn id="23" xr3:uid="{54F31218-B39F-4CE0-94B5-1DE090C26226}" name="Dimes:TO" dataDxfId="1462">
      <calculatedColumnFormula>LITI_Q1_HALF11319[[#This Row],[Dimes]]/LITI_Q1_HALF11319[[#This Row],[Turnovers]]</calculatedColumnFormula>
    </tableColumn>
  </tableColumns>
  <tableStyleInfo name="TableStyleMedium15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C62F4C6A-BFE4-4949-80D1-9EEFFDF7CF00}" name="GN_Q1_HALF11420" displayName="GN_Q1_HALF11420" ref="A51:W57" totalsRowShown="0" headerRowDxfId="1461" headerRowBorderDxfId="1460" tableBorderDxfId="1459">
  <autoFilter ref="A51:W57" xr:uid="{F0161355-C5EA-40CF-BE80-27DDFA05B090}"/>
  <tableColumns count="23">
    <tableColumn id="1" xr3:uid="{1D6E2815-731A-4043-A7F6-B122873A3061}" name="Nokia Snakes" dataDxfId="1458"/>
    <tableColumn id="2" xr3:uid="{8D3846CE-16B3-4235-BFF4-800AA156500F}" name="Total FGM" dataDxfId="1457">
      <calculatedColumnFormula>GN_Q1_HALF11420[[#This Row],[2PT FGM]]+GN_Q1_HALF11420[[#This Row],[3PT FGM]]</calculatedColumnFormula>
    </tableColumn>
    <tableColumn id="3" xr3:uid="{DE85EAA2-1C0D-4B82-B1CE-C93B56BF9E07}" name="Total FGA" dataDxfId="1456">
      <calculatedColumnFormula>GN_Q1_HALF11420[[#This Row],[2PT FGA]]+GN_Q1_HALF11420[[#This Row],[3PT FGA]]</calculatedColumnFormula>
    </tableColumn>
    <tableColumn id="4" xr3:uid="{2E503691-36B6-4079-A890-A4D779BE5D8E}" name="Overall FG%" dataDxfId="1455" dataCellStyle="Percent">
      <calculatedColumnFormula>GN_Q1_HALF11420[[#This Row],[Total FGM]]/GN_Q1_HALF11420[[#This Row],[Total FGA]]</calculatedColumnFormula>
    </tableColumn>
    <tableColumn id="5" xr3:uid="{A7DD080B-CD99-4665-BDB8-8039F6C9B23E}" name="2PT FGM" dataDxfId="1454"/>
    <tableColumn id="6" xr3:uid="{4CD14B57-1F69-4167-92A5-CB72C794FF8A}" name="2PT FGA" dataDxfId="1453"/>
    <tableColumn id="7" xr3:uid="{74EEE106-D7E9-4D80-8A18-02FADC6DADF9}" name="2PT FG%" dataDxfId="1452" dataCellStyle="Percent">
      <calculatedColumnFormula>GN_Q1_HALF11420[[#This Row],[2PT FGM]]/GN_Q1_HALF11420[[#This Row],[2PT FGA]]</calculatedColumnFormula>
    </tableColumn>
    <tableColumn id="8" xr3:uid="{0FFB0C3F-6741-448C-AC12-D7136D256CAD}" name="3PT FGM" dataDxfId="1451"/>
    <tableColumn id="9" xr3:uid="{CFFB463D-B97B-46E8-9350-62EC1A7E4F4C}" name="3PT FGA" dataDxfId="1450"/>
    <tableColumn id="10" xr3:uid="{657098D1-0C9B-4DC7-80FD-33DFFEF45367}" name="3PT FG%" dataDxfId="1449" dataCellStyle="Percent">
      <calculatedColumnFormula>GN_Q1_HALF11420[[#This Row],[3PT FGM]]/GN_Q1_HALF11420[[#This Row],[3PT FGA]]</calculatedColumnFormula>
    </tableColumn>
    <tableColumn id="11" xr3:uid="{D696C05D-8136-46FB-BDC8-779BEBB8790C}" name="FTM" dataDxfId="1448"/>
    <tableColumn id="12" xr3:uid="{3E0F670D-0DBA-49EB-B5C7-D3718D606E04}" name="FTA" dataDxfId="1447"/>
    <tableColumn id="13" xr3:uid="{D70A49C1-1715-4029-BACC-350CD855CBF7}" name="FT %" dataDxfId="1446" dataCellStyle="Percent">
      <calculatedColumnFormula>GN_Q1_HALF11420[[#This Row],[FTM]]/GN_Q1_HALF11420[[#This Row],[FTA]]</calculatedColumnFormula>
    </tableColumn>
    <tableColumn id="14" xr3:uid="{C1C4716D-E6A2-4017-8923-575C1C6CDFD5}" name="TOTAL POINTS" dataDxfId="1445">
      <calculatedColumnFormula>SUM(GN_Q1_HALF11420[[#This Row],[2PT FGM]]*2,GN_Q1_HALF11420[[#This Row],[3PT FGM]]*3,GN_Q1_HALF11420[[#This Row],[FTM]])</calculatedColumnFormula>
    </tableColumn>
    <tableColumn id="15" xr3:uid="{F05A3D1C-23A1-43CA-B022-7646896C5435}" name="Dunks" dataDxfId="1444"/>
    <tableColumn id="16" xr3:uid="{5D314329-C3A2-4C5C-BA84-248BFD9D37B2}" name="Def. Boards" dataDxfId="1443"/>
    <tableColumn id="17" xr3:uid="{5F6B1D14-AB92-4DB0-B159-95EE87492CA1}" name="Off. Boards" dataDxfId="1442"/>
    <tableColumn id="18" xr3:uid="{6F29D3F4-7DB3-445B-A92C-5371C950F81E}" name="Total Boards" dataDxfId="1441">
      <calculatedColumnFormula>GN_Q1_HALF11420[[#This Row],[Def. Boards]]+GN_Q1_HALF11420[[#This Row],[Off. Boards]]</calculatedColumnFormula>
    </tableColumn>
    <tableColumn id="19" xr3:uid="{5A884D43-10BC-454E-9696-2C24774CF2D3}" name="Dimes" dataDxfId="1440"/>
    <tableColumn id="20" xr3:uid="{2BCF33D1-7883-4A18-8812-A408A77181B6}" name="Cookies" dataDxfId="1439"/>
    <tableColumn id="21" xr3:uid="{8CFA747F-2700-42F4-8BD1-BD77E28BF064}" name="Swats" dataDxfId="1438"/>
    <tableColumn id="22" xr3:uid="{EA537E18-37A8-40E7-B3CA-C22304894D6A}" name="Turnovers" dataDxfId="1437"/>
    <tableColumn id="23" xr3:uid="{C56A904F-3816-4317-8EB4-D3012F6F4731}" name="Dimes:TO" dataDxfId="1436">
      <calculatedColumnFormula>GN_Q1_HALF11420[[#This Row],[Dimes]]/GN_Q1_HALF11420[[#This Row],[Turnovers]]</calculatedColumnFormula>
    </tableColumn>
  </tableColumns>
  <tableStyleInfo name="TableStyleMedium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02DAEF5-42E4-4E05-9668-BF28533CD829}" name="PO_AVG" displayName="PO_AVG" ref="A38:Z70" totalsRowShown="0" headerRowDxfId="2179">
  <autoFilter ref="A38:Z70" xr:uid="{6B8DF8EA-4017-42C7-A04D-2259471D453D}"/>
  <sortState ref="A39:Z70">
    <sortCondition descending="1" ref="W38:W70"/>
  </sortState>
  <tableColumns count="26">
    <tableColumn id="1" xr3:uid="{6F3944F8-9DAB-4CC1-824F-5A15059DBF9A}" name="Name" dataDxfId="2178"/>
    <tableColumn id="2" xr3:uid="{2EC88A06-BCE5-4DFB-A2A6-FF93139ED0A0}" name="Baller"/>
    <tableColumn id="3" xr3:uid="{8DD313E3-07AD-4040-A448-D1D0A7B8A7B5}" name="Team"/>
    <tableColumn id="26" xr3:uid="{E8987613-80F8-4116-A609-42D3DD6E9AAB}" name="Games Played" dataDxfId="2177">
      <calculatedColumnFormula>SUMIF($B$4:$B$35,B39,$D$4:$D$35)</calculatedColumnFormula>
    </tableColumn>
    <tableColumn id="4" xr3:uid="{18BF4757-EAD1-4BD6-8B79-89846A56AC67}" name="Total FGM" dataDxfId="2176">
      <calculatedColumnFormula>SUM((SUMIF($B$4:$B$35,PO_AVG[[#This Row],[Baller]],$E$4:$E$35))/PO_AVG[[#This Row],[Games Played]])</calculatedColumnFormula>
    </tableColumn>
    <tableColumn id="5" xr3:uid="{5AB42F49-9B13-46B7-8623-8A30976DA392}" name="Total FGA" dataDxfId="2175">
      <calculatedColumnFormula>SUM((SUMIF($B$4:$B$35,PO_AVG[[#This Row],[Baller]],$F$4:$F$35))/PO_AVG[[#This Row],[Games Played]])</calculatedColumnFormula>
    </tableColumn>
    <tableColumn id="6" xr3:uid="{5C514BF7-8488-471D-992B-80F6812D92E9}" name="Overall FG%" dataDxfId="2174" dataCellStyle="Percent">
      <calculatedColumnFormula>PO_AVG[[#This Row],[Total FGM]]/PO_AVG[[#This Row],[Total FGA]]</calculatedColumnFormula>
    </tableColumn>
    <tableColumn id="7" xr3:uid="{DED4BC2C-E8E3-40D6-BDAC-851718F85303}" name="2PT FGM" dataDxfId="2173">
      <calculatedColumnFormula>SUM((SUMIF($B$4:$B$35,PO_AVG[[#This Row],[Baller]],$H$4:$H$35))/PO_AVG[[#This Row],[Games Played]])</calculatedColumnFormula>
    </tableColumn>
    <tableColumn id="8" xr3:uid="{02404C06-D078-4A50-B4D3-72244C1A6A03}" name="2PT FGA" dataDxfId="2172">
      <calculatedColumnFormula>SUM((SUMIF($B$4:$B$35,PO_AVG[[#This Row],[Baller]],$I$4:$I$35))/PO_AVG[[#This Row],[Games Played]])</calculatedColumnFormula>
    </tableColumn>
    <tableColumn id="9" xr3:uid="{23D4A307-5497-42D0-820C-F6C8559C8E75}" name="2PT FG%" dataDxfId="2171" dataCellStyle="Percent">
      <calculatedColumnFormula>PO_AVG[[#This Row],[2PT FGM]]/PO_AVG[[#This Row],[2PT FGA]]</calculatedColumnFormula>
    </tableColumn>
    <tableColumn id="10" xr3:uid="{DA5A51DB-7149-4215-8805-6D3675CD242C}" name="3PT FGM" dataDxfId="2170">
      <calculatedColumnFormula>SUM((SUMIF($B$4:$B$35,PO_AVG[[#This Row],[Baller]],$K$4:$K$35))/PO_AVG[[#This Row],[Games Played]])</calculatedColumnFormula>
    </tableColumn>
    <tableColumn id="11" xr3:uid="{79064303-7CA0-47CF-877E-1A88E7F062B0}" name="3PT FGA" dataDxfId="2169">
      <calculatedColumnFormula>SUM((SUMIF($B$4:$B$35,PO_AVG[[#This Row],[Baller]],$L$4:$L$35))/PO_AVG[[#This Row],[Games Played]])</calculatedColumnFormula>
    </tableColumn>
    <tableColumn id="12" xr3:uid="{ACB5ADF5-5BB7-413C-88C5-2D5A5B3D64F7}" name="3PT FG%" dataDxfId="2168" dataCellStyle="Percent">
      <calculatedColumnFormula>PO_AVG[[#This Row],[3PT FGM]]/PO_AVG[[#This Row],[3PT FGA]]</calculatedColumnFormula>
    </tableColumn>
    <tableColumn id="13" xr3:uid="{CF36EE90-46B2-42F8-934F-E2B33D6A294D}" name="FTM" dataDxfId="2167">
      <calculatedColumnFormula>SUM((SUMIF($B$4:$B$35,PO_AVG[[#This Row],[Baller]],$N$4:$N$35))/PO_AVG[[#This Row],[Games Played]])</calculatedColumnFormula>
    </tableColumn>
    <tableColumn id="14" xr3:uid="{D9781486-A573-40E6-B6A1-95FBFC5C90C2}" name="FTA" dataDxfId="2166">
      <calculatedColumnFormula>SUM((SUMIF($B$4:$B$35,PO_AVG[[#This Row],[Baller]],$O$4:$O$35))/PO_AVG[[#This Row],[Games Played]])</calculatedColumnFormula>
    </tableColumn>
    <tableColumn id="15" xr3:uid="{F0A5F57A-8341-49B5-B94D-69F7D2EB437C}" name="FT %" dataDxfId="2165" dataCellStyle="Percent">
      <calculatedColumnFormula>PO_AVG[[#This Row],[FTM]]/PO_AVG[[#This Row],[FTA]]</calculatedColumnFormula>
    </tableColumn>
    <tableColumn id="16" xr3:uid="{5F24ACB3-6376-48CD-AC7D-3F62947EB28C}" name="AVERAGE POINTS" dataDxfId="2164">
      <calculatedColumnFormula>SUM((SUMIF($B$4:$B$35,PO_AVG[[#This Row],[Baller]],$Q$4:$Q$35))/PO_AVG[[#This Row],[Games Played]])</calculatedColumnFormula>
    </tableColumn>
    <tableColumn id="17" xr3:uid="{8FDF0392-D920-4368-A890-F20828855491}" name="Dunks" dataDxfId="2163">
      <calculatedColumnFormula>SUM((SUMIF($B$4:$B$35,PO_AVG[[#This Row],[Baller]],$R$4:$R$35))/PO_AVG[[#This Row],[Games Played]])</calculatedColumnFormula>
    </tableColumn>
    <tableColumn id="18" xr3:uid="{F4EA7933-E687-4346-BC6B-6D83EB18D955}" name="Def. Boards" dataDxfId="2162">
      <calculatedColumnFormula>SUM((SUMIF($B$4:$B$35,PO_AVG[[#This Row],[Baller]],$S$4:$S$35))/PO_AVG[[#This Row],[Games Played]])</calculatedColumnFormula>
    </tableColumn>
    <tableColumn id="19" xr3:uid="{313F9AEB-358B-4EDC-BEFF-77620332DCB0}" name="Off. Boards" dataDxfId="2161">
      <calculatedColumnFormula>SUM((SUMIF($B$4:$B$35,PO_AVG[[#This Row],[Baller]],$T$4:$T$35))/PO_AVG[[#This Row],[Games Played]])</calculatedColumnFormula>
    </tableColumn>
    <tableColumn id="20" xr3:uid="{AC78E231-62C6-42A4-B39C-08F29D756377}" name="Total Boards" dataDxfId="2160">
      <calculatedColumnFormula>SUM((SUMIF($B$4:$B$35,PO_AVG[[#This Row],[Baller]],$U$4:$U$35))/PO_AVG[[#This Row],[Games Played]])</calculatedColumnFormula>
    </tableColumn>
    <tableColumn id="21" xr3:uid="{D6E5E01B-B531-439C-B628-FC74C0156CCE}" name="Dimes" dataDxfId="2159">
      <calculatedColumnFormula>SUM((SUMIF($B$4:$B$35,PO_AVG[[#This Row],[Baller]],$V$4:$V$35))/PO_AVG[[#This Row],[Games Played]])</calculatedColumnFormula>
    </tableColumn>
    <tableColumn id="22" xr3:uid="{F993BDDD-3C6C-4776-84C1-A512AE9222C9}" name="Cookies" dataDxfId="2158">
      <calculatedColumnFormula>SUM((SUMIF($B$4:$B$35,PO_AVG[[#This Row],[Baller]],$W$4:$W$35))/PO_AVG[[#This Row],[Games Played]])</calculatedColumnFormula>
    </tableColumn>
    <tableColumn id="23" xr3:uid="{A0AEF034-E738-4B40-9AF1-71C8910AE51D}" name="Swats" dataDxfId="2157">
      <calculatedColumnFormula>SUM((SUMIF($B$4:$B$35,PO_AVG[[#This Row],[Baller]],$X$4:$X$35))/PO_AVG[[#This Row],[Games Played]])</calculatedColumnFormula>
    </tableColumn>
    <tableColumn id="24" xr3:uid="{E3767FCE-3F18-46C4-813C-CB23F8BE3A69}" name="Turnovers" dataDxfId="2156">
      <calculatedColumnFormula>SUM((SUMIF($B$4:$B$35,PO_AVG[[#This Row],[Baller]],$Y$4:$Y$35))/PO_AVG[[#This Row],[Games Played]])</calculatedColumnFormula>
    </tableColumn>
    <tableColumn id="25" xr3:uid="{9967BA8E-7FE9-4A6C-B793-DFDEEC5A8AED}" name="Dimes:TO" dataDxfId="2155" dataCellStyle="Percent">
      <calculatedColumnFormula>PO_AVG[[#This Row],[Dimes]]/PO_AVG[[#This Row],[Turnovers]]</calculatedColumnFormula>
    </tableColumn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E69AAD9-8570-48CF-927B-6CFFE5545CBF}" name="LITI_Q1_HALF11322" displayName="LITI_Q1_HALF11322" ref="A5:W11" totalsRowShown="0" headerRowDxfId="1435" headerRowBorderDxfId="1434" tableBorderDxfId="1433">
  <autoFilter ref="A5:W11" xr:uid="{0BCD4764-21E0-48ED-BB5E-BF2631A7EE35}"/>
  <tableColumns count="23">
    <tableColumn id="1" xr3:uid="{B53EB37B-F4C0-4088-BF3C-CE33996BBC6D}" name="Bar Mitzvah Boys" dataDxfId="1432"/>
    <tableColumn id="2" xr3:uid="{5ABB1CDD-FD4A-4C96-9EEE-7641214984D4}" name="Total FGM" dataDxfId="1431">
      <calculatedColumnFormula>LITI_Q1_HALF11322[[#This Row],[2PT FGM]]+LITI_Q1_HALF11322[[#This Row],[3PT FGM]]</calculatedColumnFormula>
    </tableColumn>
    <tableColumn id="3" xr3:uid="{5D12EC5F-36A8-4A48-A353-2A3E80FE1C06}" name="Total FGA" dataDxfId="1430"/>
    <tableColumn id="4" xr3:uid="{024BF1E9-180E-40CF-A27C-A634A2AF3C77}" name="Overall FG%" dataDxfId="1429" dataCellStyle="Percent">
      <calculatedColumnFormula>LITI_Q1_HALF11322[[#This Row],[Total FGM]]/LITI_Q1_HALF11322[[#This Row],[Total FGA]]</calculatedColumnFormula>
    </tableColumn>
    <tableColumn id="5" xr3:uid="{DC4E3993-E5CC-4C58-BA11-ECE76605033B}" name="2PT FGM" dataDxfId="1428"/>
    <tableColumn id="6" xr3:uid="{DFD8A036-FCE0-4972-8834-4CA2A6163297}" name="2PT FGA" dataDxfId="1427"/>
    <tableColumn id="7" xr3:uid="{AF5BFD40-8B1D-4C62-AD00-9EB5CE43A231}" name="2PT FG%" dataDxfId="1426" dataCellStyle="Percent">
      <calculatedColumnFormula>LITI_Q1_HALF11322[[#This Row],[2PT FGM]]/LITI_Q1_HALF11322[[#This Row],[2PT FGA]]</calculatedColumnFormula>
    </tableColumn>
    <tableColumn id="8" xr3:uid="{06C68144-C8CF-4B4E-B8A3-FDCC0C66D0B0}" name="3PT FGM" dataDxfId="1425"/>
    <tableColumn id="9" xr3:uid="{94EFA6FE-57E6-4D52-BA43-EA3A661718E2}" name="3PT FGA" dataDxfId="1424"/>
    <tableColumn id="10" xr3:uid="{33D23ACF-C737-4333-9E59-55E5806C7DDF}" name="3PT FG%" dataDxfId="1423" dataCellStyle="Percent">
      <calculatedColumnFormula>LITI_Q1_HALF11322[[#This Row],[3PT FGM]]/LITI_Q1_HALF11322[[#This Row],[3PT FGA]]</calculatedColumnFormula>
    </tableColumn>
    <tableColumn id="11" xr3:uid="{DE1E9AE3-4212-4CA2-95B2-28D48C58AC4D}" name="FTM" dataDxfId="1422"/>
    <tableColumn id="12" xr3:uid="{156D506C-F059-474E-AAFD-2C44C8A49E01}" name="FTA" dataDxfId="1421"/>
    <tableColumn id="13" xr3:uid="{04D418D8-4C9A-4F79-915C-C7DAB5661EF5}" name="FT %" dataDxfId="1420" dataCellStyle="Percent">
      <calculatedColumnFormula>LITI_Q1_HALF11322[[#This Row],[FTM]]/LITI_Q1_HALF11322[[#This Row],[FTA]]</calculatedColumnFormula>
    </tableColumn>
    <tableColumn id="14" xr3:uid="{DEA3079B-DC3A-41F1-A2A6-593B7961B84D}" name="TOTAL POINTS" dataDxfId="1419">
      <calculatedColumnFormula>SUM(LITI_Q1_HALF11322[[#This Row],[2PT FGM]]*2,LITI_Q1_HALF11322[[#This Row],[3PT FGM]]*3,LITI_Q1_HALF11322[[#This Row],[FTM]])</calculatedColumnFormula>
    </tableColumn>
    <tableColumn id="15" xr3:uid="{0915BDDA-B093-4DA5-B598-044278C4881C}" name="Dunks" dataDxfId="1418"/>
    <tableColumn id="16" xr3:uid="{1875960F-5659-4896-B891-AAD8D629A896}" name="Def. Boards" dataDxfId="1417"/>
    <tableColumn id="17" xr3:uid="{D9451F50-D0CF-4D8B-A33C-672FD9B5AA2C}" name="Off. Boards" dataDxfId="1416"/>
    <tableColumn id="18" xr3:uid="{03A26A0A-8BD0-4952-A004-D1F0FA37F28A}" name="Total Boards" dataDxfId="1415">
      <calculatedColumnFormula>LITI_Q1_HALF11322[[#This Row],[Def. Boards]]+LITI_Q1_HALF11322[[#This Row],[Off. Boards]]</calculatedColumnFormula>
    </tableColumn>
    <tableColumn id="19" xr3:uid="{6057EACE-99F1-41F0-AD70-8890CFBD9017}" name="Dimes" dataDxfId="1414"/>
    <tableColumn id="20" xr3:uid="{F06BE329-3378-4CAB-9307-942A9F08F8DD}" name="Cookies" dataDxfId="1413"/>
    <tableColumn id="21" xr3:uid="{A5982B50-804E-470B-A50D-A71EC556C236}" name="Swats" dataDxfId="1412"/>
    <tableColumn id="22" xr3:uid="{F3D49D89-E386-4056-AB66-32137EEA5ACC}" name="Turnovers" dataDxfId="1411"/>
    <tableColumn id="23" xr3:uid="{7B38A9B3-1895-4B52-87EE-674E81C40C99}" name="Dimes:TO" dataDxfId="1410">
      <calculatedColumnFormula>LITI_Q1_HALF11322[[#This Row],[Dimes]]/LITI_Q1_HALF11322[[#This Row],[Turnovers]]</calculatedColumnFormula>
    </tableColumn>
  </tableColumns>
  <tableStyleInfo name="TableStyleMedium15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A75E06B7-666D-48F1-B8BC-5B16F2CF4516}" name="GN_Q1_HALF11423" displayName="GN_Q1_HALF11423" ref="A14:W20" totalsRowShown="0" headerRowDxfId="1409" headerRowBorderDxfId="1408" tableBorderDxfId="1407">
  <autoFilter ref="A14:W20" xr:uid="{5D3F29FB-D5A2-4DD4-9F82-1B62CED9E3C1}"/>
  <tableColumns count="23">
    <tableColumn id="1" xr3:uid="{B16E567C-BC1A-429A-85DC-1FF07AB8157B}" name="Nokia Snakes" dataDxfId="1406"/>
    <tableColumn id="2" xr3:uid="{D12B9F6B-20E5-4B83-A192-5700C3EF6E40}" name="Total FGM" dataDxfId="1405">
      <calculatedColumnFormula>GN_Q1_HALF11423[[#This Row],[2PT FGM]]+GN_Q1_HALF11423[[#This Row],[3PT FGM]]</calculatedColumnFormula>
    </tableColumn>
    <tableColumn id="3" xr3:uid="{6DAF2BA0-740E-4DD0-9861-8586DA008517}" name="Total FGA" dataDxfId="1404">
      <calculatedColumnFormula>GN_Q1_HALF11423[[#This Row],[2PT FGA]]+GN_Q1_HALF11423[[#This Row],[3PT FGA]]</calculatedColumnFormula>
    </tableColumn>
    <tableColumn id="4" xr3:uid="{6E8EAC90-9AE6-42F7-A458-9FA0043A8578}" name="Overall FG%" dataDxfId="1403" dataCellStyle="Percent">
      <calculatedColumnFormula>GN_Q1_HALF11423[[#This Row],[Total FGM]]/GN_Q1_HALF11423[[#This Row],[Total FGA]]</calculatedColumnFormula>
    </tableColumn>
    <tableColumn id="5" xr3:uid="{BEE2EA72-4183-490E-8473-D2646EF9430A}" name="2PT FGM" dataDxfId="1402"/>
    <tableColumn id="6" xr3:uid="{6D47A240-5416-4B7B-B757-AD3E360D8DB7}" name="2PT FGA" dataDxfId="1401"/>
    <tableColumn id="7" xr3:uid="{72FB1D1E-D892-43E3-8266-3E1D6D91A404}" name="2PT FG%" dataDxfId="1400" dataCellStyle="Percent">
      <calculatedColumnFormula>GN_Q1_HALF11423[[#This Row],[2PT FGM]]/GN_Q1_HALF11423[[#This Row],[2PT FGA]]</calculatedColumnFormula>
    </tableColumn>
    <tableColumn id="8" xr3:uid="{9B868C68-2050-4E69-925E-46F7818FFB96}" name="3PT FGM" dataDxfId="1399"/>
    <tableColumn id="9" xr3:uid="{A9E2051D-084F-4DFF-AF3B-C47249F5B119}" name="3PT FGA" dataDxfId="1398"/>
    <tableColumn id="10" xr3:uid="{4874621F-A629-4577-98D8-863928B3182C}" name="3PT FG%" dataDxfId="1397" dataCellStyle="Percent">
      <calculatedColumnFormula>GN_Q1_HALF11423[[#This Row],[3PT FGM]]/GN_Q1_HALF11423[[#This Row],[3PT FGA]]</calculatedColumnFormula>
    </tableColumn>
    <tableColumn id="11" xr3:uid="{B9153C50-C411-426F-B0DA-BD27C96C444F}" name="FTM" dataDxfId="1396"/>
    <tableColumn id="12" xr3:uid="{FF058A0E-C50E-460A-A441-C829C0A89A94}" name="FTA" dataDxfId="1395"/>
    <tableColumn id="13" xr3:uid="{06564EEF-2DAC-472C-BF55-C22BBF24305B}" name="FT %" dataDxfId="1394" dataCellStyle="Percent">
      <calculatedColumnFormula>GN_Q1_HALF11423[[#This Row],[FTM]]/GN_Q1_HALF11423[[#This Row],[FTA]]</calculatedColumnFormula>
    </tableColumn>
    <tableColumn id="14" xr3:uid="{A9181E15-12D0-4E66-A515-7F20889824D6}" name="TOTAL POINTS" dataDxfId="1393">
      <calculatedColumnFormula>SUM(GN_Q1_HALF11423[[#This Row],[2PT FGM]]*2,GN_Q1_HALF11423[[#This Row],[3PT FGM]]*3,GN_Q1_HALF11423[[#This Row],[FTM]])</calculatedColumnFormula>
    </tableColumn>
    <tableColumn id="15" xr3:uid="{3D9BFBFD-17C8-49BD-86C7-63D8DB520919}" name="Dunks" dataDxfId="1392"/>
    <tableColumn id="16" xr3:uid="{AE278368-37C4-473C-8DCD-090F9910C633}" name="Def. Boards" dataDxfId="1391"/>
    <tableColumn id="17" xr3:uid="{3DEDE56B-6F19-4696-978F-7E8108CAF539}" name="Off. Boards" dataDxfId="1390"/>
    <tableColumn id="18" xr3:uid="{E4554714-1951-444D-A67A-A25B09D68F7A}" name="Total Boards" dataDxfId="1389">
      <calculatedColumnFormula>GN_Q1_HALF11423[[#This Row],[Def. Boards]]+GN_Q1_HALF11423[[#This Row],[Off. Boards]]</calculatedColumnFormula>
    </tableColumn>
    <tableColumn id="19" xr3:uid="{E5A66088-5A5A-4F23-925E-5451D8B1FB8F}" name="Dimes" dataDxfId="1388"/>
    <tableColumn id="20" xr3:uid="{41EA02CA-5534-4575-B42E-3ABAF5CD11E7}" name="Cookies" dataDxfId="1387"/>
    <tableColumn id="21" xr3:uid="{1F8877EE-6CEB-41A6-9CD2-85585FE23C06}" name="Swats" dataDxfId="1386"/>
    <tableColumn id="22" xr3:uid="{1E4A078C-D11F-4D9B-BE96-AEF0D1EE1963}" name="Turnovers" dataDxfId="1385"/>
    <tableColumn id="23" xr3:uid="{26FF9934-DB47-4151-8511-DAC43ABEAEBC}" name="Dimes:TO" dataDxfId="1384">
      <calculatedColumnFormula>GN_Q1_HALF11423[[#This Row],[Dimes]]/GN_Q1_HALF11423[[#This Row],[Turnovers]]</calculatedColumnFormula>
    </tableColumn>
  </tableColumns>
  <tableStyleInfo name="TableStyleMedium14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6A55E620-F87A-4CC5-A9C4-013BA9657D06}" name="LITI_Q1_HALF1131724" displayName="LITI_Q1_HALF1131724" ref="A24:W30" totalsRowShown="0" headerRowDxfId="1383" headerRowBorderDxfId="1382" tableBorderDxfId="1381">
  <autoFilter ref="A24:W30" xr:uid="{97AB691C-77A7-4F76-A84C-A12B24D5EE91}"/>
  <tableColumns count="23">
    <tableColumn id="1" xr3:uid="{2326EE12-E9AC-419C-909E-4E9B675DAC18}" name="Bar Mitzvah Boys" dataDxfId="1380"/>
    <tableColumn id="2" xr3:uid="{20889499-6B59-4B83-841C-5AC25082F45F}" name="Total FGM" dataDxfId="1379">
      <calculatedColumnFormula>LITI_Q1_HALF1131724[[#This Row],[2PT FGM]]+LITI_Q1_HALF1131724[[#This Row],[3PT FGM]]</calculatedColumnFormula>
    </tableColumn>
    <tableColumn id="3" xr3:uid="{E4FFD74E-806A-40F7-9A57-9ABA8B71B4AA}" name="Total FGA" dataDxfId="1378"/>
    <tableColumn id="4" xr3:uid="{6202D8DD-1145-491B-85C4-E5D1C5B574B0}" name="Overall FG%" dataDxfId="1377" dataCellStyle="Percent">
      <calculatedColumnFormula>LITI_Q1_HALF1131724[[#This Row],[Total FGM]]/LITI_Q1_HALF1131724[[#This Row],[Total FGA]]</calculatedColumnFormula>
    </tableColumn>
    <tableColumn id="5" xr3:uid="{15F56BBC-7264-44DD-93BA-96323E9975F6}" name="2PT FGM" dataDxfId="1376"/>
    <tableColumn id="6" xr3:uid="{9353EBB9-F77D-4F1F-AC4F-BF820E229D53}" name="2PT FGA" dataDxfId="1375"/>
    <tableColumn id="7" xr3:uid="{22ED2FB9-A75D-4DC8-97DD-0BD8FEEE8465}" name="2PT FG%" dataDxfId="1374" dataCellStyle="Percent">
      <calculatedColumnFormula>LITI_Q1_HALF1131724[[#This Row],[2PT FGM]]/LITI_Q1_HALF1131724[[#This Row],[2PT FGA]]</calculatedColumnFormula>
    </tableColumn>
    <tableColumn id="8" xr3:uid="{EE6BE4EE-D620-48AB-A3A2-31AF1A89830A}" name="3PT FGM" dataDxfId="1373"/>
    <tableColumn id="9" xr3:uid="{9D28CBDC-6CDA-4FC6-9D30-320B2E6F1F5A}" name="3PT FGA" dataDxfId="1372"/>
    <tableColumn id="10" xr3:uid="{A31F8062-7B12-4405-B04F-FB26EA57B22C}" name="3PT FG%" dataDxfId="1371" dataCellStyle="Percent">
      <calculatedColumnFormula>LITI_Q1_HALF1131724[[#This Row],[3PT FGM]]/LITI_Q1_HALF1131724[[#This Row],[3PT FGA]]</calculatedColumnFormula>
    </tableColumn>
    <tableColumn id="11" xr3:uid="{90B8122F-1F56-4F19-8337-6EC16BEB5DEF}" name="FTM" dataDxfId="1370"/>
    <tableColumn id="12" xr3:uid="{5FA7855E-AE35-43C8-84E0-2DB344F1147C}" name="FTA" dataDxfId="1369"/>
    <tableColumn id="13" xr3:uid="{1198CA0E-984B-475B-959B-4D7E867240CB}" name="FT %" dataDxfId="1368" dataCellStyle="Percent">
      <calculatedColumnFormula>LITI_Q1_HALF1131724[[#This Row],[FTM]]/LITI_Q1_HALF1131724[[#This Row],[FTA]]</calculatedColumnFormula>
    </tableColumn>
    <tableColumn id="14" xr3:uid="{77E02A09-EF4A-47F5-ABCC-E6CE865E2132}" name="TOTAL POINTS" dataDxfId="1367">
      <calculatedColumnFormula>SUM(LITI_Q1_HALF1131724[[#This Row],[2PT FGM]]*2,LITI_Q1_HALF1131724[[#This Row],[3PT FGM]]*3,LITI_Q1_HALF1131724[[#This Row],[FTM]])</calculatedColumnFormula>
    </tableColumn>
    <tableColumn id="15" xr3:uid="{01DFBDAB-07FA-44EE-BCD5-B7CB447097B8}" name="Dunks" dataDxfId="1366"/>
    <tableColumn id="16" xr3:uid="{734DAC59-6EF6-49AA-80D9-8420B72BDF3E}" name="Def. Boards" dataDxfId="1365"/>
    <tableColumn id="17" xr3:uid="{A582739A-6441-4FB4-BD48-CE6E772A0D1B}" name="Off. Boards" dataDxfId="1364"/>
    <tableColumn id="18" xr3:uid="{65376126-8826-4DF0-8769-7E9F821858CC}" name="Total Boards" dataDxfId="1363">
      <calculatedColumnFormula>LITI_Q1_HALF1131724[[#This Row],[Def. Boards]]+LITI_Q1_HALF1131724[[#This Row],[Off. Boards]]</calculatedColumnFormula>
    </tableColumn>
    <tableColumn id="19" xr3:uid="{F36B0609-D3E8-46DE-A83A-44439B2B5997}" name="Dimes" dataDxfId="1362"/>
    <tableColumn id="20" xr3:uid="{65729AC5-355F-47AD-A451-ED17635EA2B1}" name="Cookies" dataDxfId="1361"/>
    <tableColumn id="21" xr3:uid="{A88F79CB-E681-42A1-99DA-589C5384EC93}" name="Swats" dataDxfId="1360"/>
    <tableColumn id="22" xr3:uid="{CDB83815-9D06-4B4D-BD0F-956951A3A756}" name="Turnovers" dataDxfId="1359"/>
    <tableColumn id="23" xr3:uid="{3681CC9D-97D6-40DC-AA28-3A0DB8F1D09F}" name="Dimes:TO" dataDxfId="1358">
      <calculatedColumnFormula>LITI_Q1_HALF1131724[[#This Row],[Dimes]]/LITI_Q1_HALF1131724[[#This Row],[Turnovers]]</calculatedColumnFormula>
    </tableColumn>
  </tableColumns>
  <tableStyleInfo name="TableStyleMedium15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F2ABCE13-F406-47C0-8C95-8528D2286866}" name="GN_Q1_HALF1141825" displayName="GN_Q1_HALF1141825" ref="A33:W39" totalsRowShown="0" headerRowDxfId="1357" headerRowBorderDxfId="1356" tableBorderDxfId="1355">
  <autoFilter ref="A33:W39" xr:uid="{3E60FEDF-1580-441B-A010-BDBB97B31E4F}"/>
  <tableColumns count="23">
    <tableColumn id="1" xr3:uid="{1B2CBEFE-ADFB-462C-83A4-7B60944C8D66}" name="Nokia Snakes" dataDxfId="1354"/>
    <tableColumn id="2" xr3:uid="{13E0AFE7-973C-4CFD-860C-F3671C0EAE66}" name="Total FGM" dataDxfId="1353">
      <calculatedColumnFormula>GN_Q1_HALF1141825[[#This Row],[2PT FGM]]+GN_Q1_HALF1141825[[#This Row],[3PT FGM]]</calculatedColumnFormula>
    </tableColumn>
    <tableColumn id="3" xr3:uid="{C4DE7499-20D1-48E2-A3C0-5E210FB5C9FD}" name="Total FGA" dataDxfId="1352">
      <calculatedColumnFormula>GN_Q1_HALF1141825[[#This Row],[2PT FGA]]+GN_Q1_HALF1141825[[#This Row],[3PT FGA]]</calculatedColumnFormula>
    </tableColumn>
    <tableColumn id="4" xr3:uid="{C90CB79D-7E78-4CD5-BBEE-383B4534EAB0}" name="Overall FG%" dataDxfId="1351" dataCellStyle="Percent">
      <calculatedColumnFormula>GN_Q1_HALF1141825[[#This Row],[Total FGM]]/GN_Q1_HALF1141825[[#This Row],[Total FGA]]</calculatedColumnFormula>
    </tableColumn>
    <tableColumn id="5" xr3:uid="{BCCF8AAC-5942-49AC-8BAB-A380C60B755C}" name="2PT FGM" dataDxfId="1350"/>
    <tableColumn id="6" xr3:uid="{7F38FBA7-F103-4959-8D96-38EAA6E30307}" name="2PT FGA" dataDxfId="1349"/>
    <tableColumn id="7" xr3:uid="{B3130CC2-2BA3-4583-A653-7BAC6A31142D}" name="2PT FG%" dataDxfId="1348" dataCellStyle="Percent">
      <calculatedColumnFormula>GN_Q1_HALF1141825[[#This Row],[2PT FGM]]/GN_Q1_HALF1141825[[#This Row],[2PT FGA]]</calculatedColumnFormula>
    </tableColumn>
    <tableColumn id="8" xr3:uid="{FFE217FE-D4DB-4774-B1BA-3F73BD2CEA05}" name="3PT FGM" dataDxfId="1347"/>
    <tableColumn id="9" xr3:uid="{6D91790B-E2A8-432E-A55A-7F7285591F99}" name="3PT FGA" dataDxfId="1346"/>
    <tableColumn id="10" xr3:uid="{23F1DB7F-7FF2-4820-8232-4784E6CEE822}" name="3PT FG%" dataDxfId="1345" dataCellStyle="Percent">
      <calculatedColumnFormula>GN_Q1_HALF1141825[[#This Row],[3PT FGM]]/GN_Q1_HALF1141825[[#This Row],[3PT FGA]]</calculatedColumnFormula>
    </tableColumn>
    <tableColumn id="11" xr3:uid="{E5A23BD4-D8DF-4973-834C-F583F7B2E96B}" name="FTM" dataDxfId="1344"/>
    <tableColumn id="12" xr3:uid="{0154B19D-2575-4B67-B394-E64577B4C86F}" name="FTA" dataDxfId="1343"/>
    <tableColumn id="13" xr3:uid="{3AB8D6BA-F895-4879-8E70-FE8838AAB019}" name="FT %" dataDxfId="1342" dataCellStyle="Percent">
      <calculatedColumnFormula>GN_Q1_HALF1141825[[#This Row],[FTM]]/GN_Q1_HALF1141825[[#This Row],[FTA]]</calculatedColumnFormula>
    </tableColumn>
    <tableColumn id="14" xr3:uid="{91F091DF-5B6A-47EA-987B-B45609DAE637}" name="TOTAL POINTS" dataDxfId="1341">
      <calculatedColumnFormula>SUM(GN_Q1_HALF1141825[[#This Row],[2PT FGM]]*2,GN_Q1_HALF1141825[[#This Row],[3PT FGM]]*3,GN_Q1_HALF1141825[[#This Row],[FTM]])</calculatedColumnFormula>
    </tableColumn>
    <tableColumn id="15" xr3:uid="{5BBCEF05-C659-43AB-A29E-DD52C18323CA}" name="Dunks" dataDxfId="1340"/>
    <tableColumn id="16" xr3:uid="{715FF99E-7CE9-45B8-AE31-F35ACAD3F8D0}" name="Def. Boards" dataDxfId="1339"/>
    <tableColumn id="17" xr3:uid="{6C0FEEE1-1901-4BA2-B4F2-532AA8E7985C}" name="Off. Boards" dataDxfId="1338"/>
    <tableColumn id="18" xr3:uid="{243592EA-44D9-47EA-BBB6-563DD8547426}" name="Total Boards" dataDxfId="1337">
      <calculatedColumnFormula>GN_Q1_HALF1141825[[#This Row],[Def. Boards]]+GN_Q1_HALF1141825[[#This Row],[Off. Boards]]</calculatedColumnFormula>
    </tableColumn>
    <tableColumn id="19" xr3:uid="{B15123C1-935F-4BFC-A806-A0F484AF4212}" name="Dimes" dataDxfId="1336"/>
    <tableColumn id="20" xr3:uid="{7FA2D6C5-D906-4EBA-8C48-DBEFDCF34F22}" name="Cookies" dataDxfId="1335"/>
    <tableColumn id="21" xr3:uid="{364A6843-9DE4-4309-9677-2B80C9524D1D}" name="Swats" dataDxfId="1334"/>
    <tableColumn id="22" xr3:uid="{BA598611-99EA-4ACB-8405-86194F4D8D92}" name="Turnovers" dataDxfId="1333"/>
    <tableColumn id="23" xr3:uid="{D5699C12-F0D0-4144-8F27-7569D09EE766}" name="Dimes:TO" dataDxfId="1332">
      <calculatedColumnFormula>GN_Q1_HALF1141825[[#This Row],[Dimes]]/GN_Q1_HALF1141825[[#This Row],[Turnovers]]</calculatedColumnFormula>
    </tableColumn>
  </tableColumns>
  <tableStyleInfo name="TableStyleMedium14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D4539E5C-8F44-4D43-900D-F2323A881789}" name="LITI_Q1_HALF1131932" displayName="LITI_Q1_HALF1131932" ref="A42:W48" totalsRowShown="0" headerRowDxfId="1331" headerRowBorderDxfId="1330" tableBorderDxfId="1329">
  <autoFilter ref="A42:W48" xr:uid="{805BB1DD-B212-449A-B8F9-131751E76D62}"/>
  <tableColumns count="23">
    <tableColumn id="1" xr3:uid="{94444F58-838B-4835-8784-EE18037117C8}" name="Bar Mitzvah Boys" dataDxfId="1328"/>
    <tableColumn id="2" xr3:uid="{82F8A6CD-7D53-474B-B8A5-85D4592D20E3}" name="Total FGM" dataDxfId="1327">
      <calculatedColumnFormula>LITI_Q1_HALF1131932[[#This Row],[2PT FGM]]+LITI_Q1_HALF1131932[[#This Row],[3PT FGM]]</calculatedColumnFormula>
    </tableColumn>
    <tableColumn id="3" xr3:uid="{9AAE5A41-E597-4184-8BA5-E5095751D68D}" name="Total FGA" dataDxfId="1326"/>
    <tableColumn id="4" xr3:uid="{6579BD9E-712C-425F-B318-B70FC16873DB}" name="Overall FG%" dataDxfId="1325" dataCellStyle="Percent">
      <calculatedColumnFormula>LITI_Q1_HALF1131932[[#This Row],[Total FGM]]/LITI_Q1_HALF1131932[[#This Row],[Total FGA]]</calculatedColumnFormula>
    </tableColumn>
    <tableColumn id="5" xr3:uid="{315A5B8E-60BA-4FEE-A9C0-87AE9348D3C9}" name="2PT FGM" dataDxfId="1324"/>
    <tableColumn id="6" xr3:uid="{59A9C9E2-268E-44F7-9D00-9E7D410E915D}" name="2PT FGA" dataDxfId="1323"/>
    <tableColumn id="7" xr3:uid="{B14D909C-FAB6-46DF-8927-D94B8D7CC8D2}" name="2PT FG%" dataDxfId="1322" dataCellStyle="Percent">
      <calculatedColumnFormula>LITI_Q1_HALF1131932[[#This Row],[2PT FGM]]/LITI_Q1_HALF1131932[[#This Row],[2PT FGA]]</calculatedColumnFormula>
    </tableColumn>
    <tableColumn id="8" xr3:uid="{AFF77427-E5F5-4847-A7BF-834AE4B7BFDC}" name="3PT FGM" dataDxfId="1321"/>
    <tableColumn id="9" xr3:uid="{746713C7-6CB6-4295-A8DE-1BAAF3A9E1D8}" name="3PT FGA" dataDxfId="1320"/>
    <tableColumn id="10" xr3:uid="{3FF3C18E-B6E0-41C1-B555-9E12E9D7B25E}" name="3PT FG%" dataDxfId="1319" dataCellStyle="Percent">
      <calculatedColumnFormula>LITI_Q1_HALF1131932[[#This Row],[3PT FGM]]/LITI_Q1_HALF1131932[[#This Row],[3PT FGA]]</calculatedColumnFormula>
    </tableColumn>
    <tableColumn id="11" xr3:uid="{FB781605-7CA1-4F27-B88F-D570BD6DD893}" name="FTM" dataDxfId="1318"/>
    <tableColumn id="12" xr3:uid="{49DEBEF0-071B-47D1-BCAA-8FDFFAA7378C}" name="FTA" dataDxfId="1317"/>
    <tableColumn id="13" xr3:uid="{B9321C50-BB97-45E8-8FF7-32A343AFBAA8}" name="FT %" dataDxfId="1316" dataCellStyle="Percent">
      <calculatedColumnFormula>LITI_Q1_HALF1131932[[#This Row],[FTM]]/LITI_Q1_HALF1131932[[#This Row],[FTA]]</calculatedColumnFormula>
    </tableColumn>
    <tableColumn id="14" xr3:uid="{E48D0318-E409-4F08-B686-F4B73F4AF9FB}" name="TOTAL POINTS" dataDxfId="1315">
      <calculatedColumnFormula>SUM(LITI_Q1_HALF1131932[[#This Row],[2PT FGM]]*2,LITI_Q1_HALF1131932[[#This Row],[3PT FGM]]*3,LITI_Q1_HALF1131932[[#This Row],[FTM]])</calculatedColumnFormula>
    </tableColumn>
    <tableColumn id="15" xr3:uid="{3BBB469B-AC1C-4BD1-B465-19F2AB7B66A6}" name="Dunks" dataDxfId="1314"/>
    <tableColumn id="16" xr3:uid="{63B8E637-0897-4CD5-8C43-F8678EA544FF}" name="Def. Boards" dataDxfId="1313"/>
    <tableColumn id="17" xr3:uid="{6C5961F2-D4EB-4425-82A6-2CAA9392CCB8}" name="Off. Boards" dataDxfId="1312"/>
    <tableColumn id="18" xr3:uid="{3C1FDC8B-C582-4816-BA4B-14A910EF8BDF}" name="Total Boards" dataDxfId="1311">
      <calculatedColumnFormula>LITI_Q1_HALF1131932[[#This Row],[Def. Boards]]+LITI_Q1_HALF1131932[[#This Row],[Off. Boards]]</calculatedColumnFormula>
    </tableColumn>
    <tableColumn id="19" xr3:uid="{EE229A3E-5F53-4CD4-954B-0E7388605E68}" name="Dimes" dataDxfId="1310"/>
    <tableColumn id="20" xr3:uid="{19974A17-7046-4F4C-8D51-D31BA9B398DB}" name="Cookies" dataDxfId="1309"/>
    <tableColumn id="21" xr3:uid="{3E29F140-78AA-4F0E-8B9C-D65ABC0A5531}" name="Swats" dataDxfId="1308"/>
    <tableColumn id="22" xr3:uid="{135121A5-68E9-4763-BF56-6B4D47D3DC6E}" name="Turnovers" dataDxfId="1307"/>
    <tableColumn id="23" xr3:uid="{85F74BE4-0C15-4473-BF35-AE88DA01CE7C}" name="Dimes:TO" dataDxfId="1306">
      <calculatedColumnFormula>LITI_Q1_HALF1131932[[#This Row],[Dimes]]/LITI_Q1_HALF1131932[[#This Row],[Turnovers]]</calculatedColumnFormula>
    </tableColumn>
  </tableColumns>
  <tableStyleInfo name="TableStyleMedium15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D7143B5E-5C6C-4F5C-A453-19CE2F72AD03}" name="GN_Q1_HALF1142034" displayName="GN_Q1_HALF1142034" ref="A51:W57" totalsRowShown="0" headerRowDxfId="1305" headerRowBorderDxfId="1304" tableBorderDxfId="1303">
  <autoFilter ref="A51:W57" xr:uid="{F57385AD-1AD3-417A-9D2F-07812B6A9DEB}"/>
  <tableColumns count="23">
    <tableColumn id="1" xr3:uid="{581E99AA-4537-4966-B455-AEAC62162CE1}" name="Nokia Snakes" dataDxfId="1302"/>
    <tableColumn id="2" xr3:uid="{12867761-19F4-4A2B-9FE1-4AF112A7A9DA}" name="Total FGM" dataDxfId="1301">
      <calculatedColumnFormula>GN_Q1_HALF1142034[[#This Row],[2PT FGM]]+GN_Q1_HALF1142034[[#This Row],[3PT FGM]]</calculatedColumnFormula>
    </tableColumn>
    <tableColumn id="3" xr3:uid="{E470A2D7-392D-4F5F-8AFC-20C52EE0854B}" name="Total FGA" dataDxfId="1300">
      <calculatedColumnFormula>GN_Q1_HALF1142034[[#This Row],[2PT FGA]]+GN_Q1_HALF1142034[[#This Row],[3PT FGA]]</calculatedColumnFormula>
    </tableColumn>
    <tableColumn id="4" xr3:uid="{0440C96F-8C22-406E-BC54-2CA14A274081}" name="Overall FG%" dataDxfId="1299" dataCellStyle="Percent">
      <calculatedColumnFormula>GN_Q1_HALF1142034[[#This Row],[Total FGM]]/GN_Q1_HALF1142034[[#This Row],[Total FGA]]</calculatedColumnFormula>
    </tableColumn>
    <tableColumn id="5" xr3:uid="{71C6E589-806C-4312-A75B-342C6C2F2C3A}" name="2PT FGM" dataDxfId="1298"/>
    <tableColumn id="6" xr3:uid="{6B530A54-D2A3-4B75-ACEA-5C3C8628F173}" name="2PT FGA" dataDxfId="1297"/>
    <tableColumn id="7" xr3:uid="{A8E8227B-81B8-466F-B463-C64D998A56C5}" name="2PT FG%" dataDxfId="1296" dataCellStyle="Percent">
      <calculatedColumnFormula>GN_Q1_HALF1142034[[#This Row],[2PT FGM]]/GN_Q1_HALF1142034[[#This Row],[2PT FGA]]</calculatedColumnFormula>
    </tableColumn>
    <tableColumn id="8" xr3:uid="{FB8CDE59-6060-4EA1-B002-199B63154B0B}" name="3PT FGM" dataDxfId="1295"/>
    <tableColumn id="9" xr3:uid="{FBA59525-0C0D-4C69-9667-0AABC9C18EAC}" name="3PT FGA" dataDxfId="1294"/>
    <tableColumn id="10" xr3:uid="{0AA16E04-F018-4D13-977D-349824161B02}" name="3PT FG%" dataDxfId="1293" dataCellStyle="Percent">
      <calculatedColumnFormula>GN_Q1_HALF1142034[[#This Row],[3PT FGM]]/GN_Q1_HALF1142034[[#This Row],[3PT FGA]]</calculatedColumnFormula>
    </tableColumn>
    <tableColumn id="11" xr3:uid="{A0FC03A5-911D-4AD8-8C09-378BDDE69895}" name="FTM" dataDxfId="1292"/>
    <tableColumn id="12" xr3:uid="{0F9C925F-B59A-4D4C-AD84-E5771F1A9F91}" name="FTA" dataDxfId="1291"/>
    <tableColumn id="13" xr3:uid="{D372ABC3-6F55-4229-8517-E0A763EEEBA4}" name="FT %" dataDxfId="1290" dataCellStyle="Percent">
      <calculatedColumnFormula>GN_Q1_HALF1142034[[#This Row],[FTM]]/GN_Q1_HALF1142034[[#This Row],[FTA]]</calculatedColumnFormula>
    </tableColumn>
    <tableColumn id="14" xr3:uid="{6AAE8561-8E14-449B-8272-361751C0840B}" name="TOTAL POINTS" dataDxfId="1289">
      <calculatedColumnFormula>SUM(GN_Q1_HALF1142034[[#This Row],[2PT FGM]]*2,GN_Q1_HALF1142034[[#This Row],[3PT FGM]]*3,GN_Q1_HALF1142034[[#This Row],[FTM]])</calculatedColumnFormula>
    </tableColumn>
    <tableColumn id="15" xr3:uid="{B5567399-B776-4482-9416-0CADB53EAC88}" name="Dunks" dataDxfId="1288"/>
    <tableColumn id="16" xr3:uid="{06672E8F-E3D9-407B-B7A4-F81FEEB4C079}" name="Def. Boards" dataDxfId="1287"/>
    <tableColumn id="17" xr3:uid="{F0405207-2F3D-415C-9746-9C37637F84A7}" name="Off. Boards" dataDxfId="1286"/>
    <tableColumn id="18" xr3:uid="{10AD6287-5AC9-449B-926A-30632DDBA1E8}" name="Total Boards" dataDxfId="1285">
      <calculatedColumnFormula>GN_Q1_HALF1142034[[#This Row],[Def. Boards]]+GN_Q1_HALF1142034[[#This Row],[Off. Boards]]</calculatedColumnFormula>
    </tableColumn>
    <tableColumn id="19" xr3:uid="{1E0D9FF4-5F86-4947-BD9F-216D6046FFA9}" name="Dimes" dataDxfId="1284"/>
    <tableColumn id="20" xr3:uid="{8085AF1D-36AE-4CDF-A5F3-3315434AC574}" name="Cookies" dataDxfId="1283"/>
    <tableColumn id="21" xr3:uid="{40FEC609-331B-408B-8C85-E30C261D15B1}" name="Swats" dataDxfId="1282"/>
    <tableColumn id="22" xr3:uid="{74C19BC5-58EF-4873-9243-B1F7B138FF0D}" name="Turnovers" dataDxfId="1281"/>
    <tableColumn id="23" xr3:uid="{27DF616F-60EE-4310-A802-81D22AF93CAA}" name="Dimes:TO" dataDxfId="1280">
      <calculatedColumnFormula>GN_Q1_HALF1142034[[#This Row],[Dimes]]/GN_Q1_HALF1142034[[#This Row],[Turnovers]]</calculatedColumnFormula>
    </tableColumn>
  </tableColumns>
  <tableStyleInfo name="TableStyleMedium14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5E16142-B2A2-4131-AACC-68101ECD5CE6}" name="LITI_Q1_HALF1132236" displayName="LITI_Q1_HALF1132236" ref="A5:W11" totalsRowShown="0" headerRowDxfId="1279" headerRowBorderDxfId="1278" tableBorderDxfId="1277">
  <autoFilter ref="A5:W11" xr:uid="{9196817E-DD97-42C9-A770-F949171227F6}"/>
  <tableColumns count="23">
    <tableColumn id="1" xr3:uid="{875F08D8-E42A-41F4-9138-9C0B7C2388E9}" name="Bar Mitzvah Boys" dataDxfId="1276"/>
    <tableColumn id="2" xr3:uid="{AD3B5794-A26E-4456-AF59-394CF69869CC}" name="Total FGM" dataDxfId="1275">
      <calculatedColumnFormula>LITI_Q1_HALF1132236[[#This Row],[2PT FGM]]+LITI_Q1_HALF1132236[[#This Row],[3PT FGM]]</calculatedColumnFormula>
    </tableColumn>
    <tableColumn id="3" xr3:uid="{BC763A43-AFDF-4FE3-BB19-2DB40174D51D}" name="Total FGA" dataDxfId="1274"/>
    <tableColumn id="4" xr3:uid="{679CCB6E-33C3-4635-8459-AA451D5B3275}" name="Overall FG%" dataDxfId="1273" dataCellStyle="Percent">
      <calculatedColumnFormula>LITI_Q1_HALF1132236[[#This Row],[Total FGM]]/LITI_Q1_HALF1132236[[#This Row],[Total FGA]]</calculatedColumnFormula>
    </tableColumn>
    <tableColumn id="5" xr3:uid="{0E32AF2B-21E0-4786-8140-11307B625AEF}" name="2PT FGM" dataDxfId="1272"/>
    <tableColumn id="6" xr3:uid="{9D0569A4-49DC-44AA-A002-BB1F97CAC358}" name="2PT FGA" dataDxfId="1271"/>
    <tableColumn id="7" xr3:uid="{52179C6D-8959-4907-A30E-B57C494B17B8}" name="2PT FG%" dataDxfId="1270" dataCellStyle="Percent">
      <calculatedColumnFormula>LITI_Q1_HALF1132236[[#This Row],[2PT FGM]]/LITI_Q1_HALF1132236[[#This Row],[2PT FGA]]</calculatedColumnFormula>
    </tableColumn>
    <tableColumn id="8" xr3:uid="{80B14178-58FA-4A8B-AE66-E060E38AD1C3}" name="3PT FGM" dataDxfId="1269"/>
    <tableColumn id="9" xr3:uid="{54D4835C-A7CB-44AB-9025-0F70A760C7BD}" name="3PT FGA" dataDxfId="1268"/>
    <tableColumn id="10" xr3:uid="{0EF2BCC5-C892-4C47-88D5-21A6EAFE6F3C}" name="3PT FG%" dataDxfId="1267" dataCellStyle="Percent">
      <calculatedColumnFormula>LITI_Q1_HALF1132236[[#This Row],[3PT FGM]]/LITI_Q1_HALF1132236[[#This Row],[3PT FGA]]</calculatedColumnFormula>
    </tableColumn>
    <tableColumn id="11" xr3:uid="{0C275EAF-2B8E-4671-A3D9-FD5BB6A83A5A}" name="FTM" dataDxfId="1266"/>
    <tableColumn id="12" xr3:uid="{89940179-9DC0-4ED9-9CCB-83EBDAC0F033}" name="FTA" dataDxfId="1265"/>
    <tableColumn id="13" xr3:uid="{424C3409-1B84-4C2B-A99B-D70F74DCCCC1}" name="FT %" dataDxfId="1264" dataCellStyle="Percent">
      <calculatedColumnFormula>LITI_Q1_HALF1132236[[#This Row],[FTM]]/LITI_Q1_HALF1132236[[#This Row],[FTA]]</calculatedColumnFormula>
    </tableColumn>
    <tableColumn id="14" xr3:uid="{7C7F55F7-3AA7-49FA-9868-CE0DC4D9AEBA}" name="TOTAL POINTS" dataDxfId="1263">
      <calculatedColumnFormula>SUM(LITI_Q1_HALF1132236[[#This Row],[2PT FGM]]*2,LITI_Q1_HALF1132236[[#This Row],[3PT FGM]]*3,LITI_Q1_HALF1132236[[#This Row],[FTM]])</calculatedColumnFormula>
    </tableColumn>
    <tableColumn id="15" xr3:uid="{DEB4435B-05B3-4F21-A075-B6684F1564FC}" name="Dunks" dataDxfId="1262"/>
    <tableColumn id="16" xr3:uid="{A5BDEA1D-A900-4FBD-9013-B5738A0C9E6E}" name="Def. Boards" dataDxfId="1261"/>
    <tableColumn id="17" xr3:uid="{68082C58-DAE1-43D4-8E3E-0690953E13BF}" name="Off. Boards" dataDxfId="1260"/>
    <tableColumn id="18" xr3:uid="{B15B69B6-3257-44DB-8D56-F9C81765854B}" name="Total Boards" dataDxfId="1259">
      <calculatedColumnFormula>LITI_Q1_HALF1132236[[#This Row],[Def. Boards]]+LITI_Q1_HALF1132236[[#This Row],[Off. Boards]]</calculatedColumnFormula>
    </tableColumn>
    <tableColumn id="19" xr3:uid="{DB72ABDA-D00F-47A9-9761-32F94A5B177C}" name="Dimes" dataDxfId="1258"/>
    <tableColumn id="20" xr3:uid="{D57E99C0-1248-4509-B984-4F68C0D1BA62}" name="Cookies" dataDxfId="1257"/>
    <tableColumn id="21" xr3:uid="{1715EB9A-AFEF-420E-92C7-4FF3B8DCD3D5}" name="Swats" dataDxfId="1256"/>
    <tableColumn id="22" xr3:uid="{0502062A-3FEB-4EC9-BBBD-E9029DF54E97}" name="Turnovers" dataDxfId="1255"/>
    <tableColumn id="23" xr3:uid="{CD7F3936-3F32-4477-8DBC-A8ED13CA51A2}" name="Dimes:TO" dataDxfId="1254">
      <calculatedColumnFormula>LITI_Q1_HALF1132236[[#This Row],[Dimes]]/LITI_Q1_HALF1132236[[#This Row],[Turnovers]]</calculatedColumnFormula>
    </tableColumn>
  </tableColumns>
  <tableStyleInfo name="TableStyleMedium15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AED5BB0F-5975-4F36-808E-746B88AC04D5}" name="GN_Q1_HALF1142337" displayName="GN_Q1_HALF1142337" ref="A14:W20" totalsRowShown="0" headerRowDxfId="1253" headerRowBorderDxfId="1252" tableBorderDxfId="1251">
  <autoFilter ref="A14:W20" xr:uid="{34109DCC-ABFB-4A70-864B-2172C890F21D}"/>
  <tableColumns count="23">
    <tableColumn id="1" xr3:uid="{B2566BB7-7316-488E-8ACE-E96566AF25A2}" name="Nokia Snakes" dataDxfId="1250"/>
    <tableColumn id="2" xr3:uid="{B5BBE460-47ED-46EC-AFA1-A90B7801A8FF}" name="Total FGM" dataDxfId="1249">
      <calculatedColumnFormula>GN_Q1_HALF1142337[[#This Row],[2PT FGM]]+GN_Q1_HALF1142337[[#This Row],[3PT FGM]]</calculatedColumnFormula>
    </tableColumn>
    <tableColumn id="3" xr3:uid="{3B08D9E3-076C-4345-99EF-1F35B0A01A37}" name="Total FGA" dataDxfId="1248">
      <calculatedColumnFormula>GN_Q1_HALF1142337[[#This Row],[2PT FGA]]+GN_Q1_HALF1142337[[#This Row],[3PT FGA]]</calculatedColumnFormula>
    </tableColumn>
    <tableColumn id="4" xr3:uid="{10721A47-B89A-4585-9DD9-50A9FB0B9EC4}" name="Overall FG%" dataDxfId="1247" dataCellStyle="Percent">
      <calculatedColumnFormula>GN_Q1_HALF1142337[[#This Row],[Total FGM]]/GN_Q1_HALF1142337[[#This Row],[Total FGA]]</calculatedColumnFormula>
    </tableColumn>
    <tableColumn id="5" xr3:uid="{F697CFF2-27ED-4F97-ADE0-BC47BB65D3A1}" name="2PT FGM" dataDxfId="1246"/>
    <tableColumn id="6" xr3:uid="{00FABDCE-7E72-469A-A912-EFF536B023D0}" name="2PT FGA" dataDxfId="1245"/>
    <tableColumn id="7" xr3:uid="{96C91C0E-8E4A-469A-842B-32C6F654A55C}" name="2PT FG%" dataDxfId="1244" dataCellStyle="Percent">
      <calculatedColumnFormula>GN_Q1_HALF1142337[[#This Row],[2PT FGM]]/GN_Q1_HALF1142337[[#This Row],[2PT FGA]]</calculatedColumnFormula>
    </tableColumn>
    <tableColumn id="8" xr3:uid="{2BB41DCD-FEB8-450B-A15C-5268D3F9C9AF}" name="3PT FGM" dataDxfId="1243"/>
    <tableColumn id="9" xr3:uid="{FB6C5784-73EA-4D14-B673-3335593EF88C}" name="3PT FGA" dataDxfId="1242"/>
    <tableColumn id="10" xr3:uid="{83FF6DFC-CCA7-46EA-9125-35954C9EBC3B}" name="3PT FG%" dataDxfId="1241" dataCellStyle="Percent">
      <calculatedColumnFormula>GN_Q1_HALF1142337[[#This Row],[3PT FGM]]/GN_Q1_HALF1142337[[#This Row],[3PT FGA]]</calculatedColumnFormula>
    </tableColumn>
    <tableColumn id="11" xr3:uid="{15AD68A7-6DBA-408E-A168-04D16FDAF653}" name="FTM" dataDxfId="1240"/>
    <tableColumn id="12" xr3:uid="{93C9F631-8FF3-4765-85AE-409073C6AFBE}" name="FTA" dataDxfId="1239"/>
    <tableColumn id="13" xr3:uid="{00A2E2D3-1A4E-449C-BE02-51107B0C6D13}" name="FT %" dataDxfId="1238" dataCellStyle="Percent">
      <calculatedColumnFormula>GN_Q1_HALF1142337[[#This Row],[FTM]]/GN_Q1_HALF1142337[[#This Row],[FTA]]</calculatedColumnFormula>
    </tableColumn>
    <tableColumn id="14" xr3:uid="{F6BBF0EB-FA9D-45A1-A7F1-E41715BBEF79}" name="TOTAL POINTS" dataDxfId="1237">
      <calculatedColumnFormula>SUM(GN_Q1_HALF1142337[[#This Row],[2PT FGM]]*2,GN_Q1_HALF1142337[[#This Row],[3PT FGM]]*3,GN_Q1_HALF1142337[[#This Row],[FTM]])</calculatedColumnFormula>
    </tableColumn>
    <tableColumn id="15" xr3:uid="{7724169E-255B-472C-AB44-B8D2CAA8B723}" name="Dunks" dataDxfId="1236"/>
    <tableColumn id="16" xr3:uid="{1DB7CC23-F88F-4E6E-BF86-88676B429F73}" name="Def. Boards" dataDxfId="1235"/>
    <tableColumn id="17" xr3:uid="{814A2435-D1D9-4210-8B33-4D2382D154BD}" name="Off. Boards" dataDxfId="1234"/>
    <tableColumn id="18" xr3:uid="{5E2E08AC-BAF4-4CD7-B8A9-049EF5C9D3DA}" name="Total Boards" dataDxfId="1233">
      <calculatedColumnFormula>GN_Q1_HALF1142337[[#This Row],[Def. Boards]]+GN_Q1_HALF1142337[[#This Row],[Off. Boards]]</calculatedColumnFormula>
    </tableColumn>
    <tableColumn id="19" xr3:uid="{616972EF-AEA8-4D0D-BB86-5F0E0F46D2DE}" name="Dimes" dataDxfId="1232"/>
    <tableColumn id="20" xr3:uid="{CE527BCD-AED4-43BB-85A4-A990EEDAA97A}" name="Cookies" dataDxfId="1231"/>
    <tableColumn id="21" xr3:uid="{EFE653F9-E937-4A47-A752-EAE0BEB7774A}" name="Swats" dataDxfId="1230"/>
    <tableColumn id="22" xr3:uid="{7AB98BD1-B2E3-4CA2-A7D3-518477EAA5A6}" name="Turnovers" dataDxfId="1229"/>
    <tableColumn id="23" xr3:uid="{78EF9875-661A-4A70-81EA-4EFBDA074631}" name="Dimes:TO" dataDxfId="1228">
      <calculatedColumnFormula>GN_Q1_HALF1142337[[#This Row],[Dimes]]/GN_Q1_HALF1142337[[#This Row],[Turnovers]]</calculatedColumnFormula>
    </tableColumn>
  </tableColumns>
  <tableStyleInfo name="TableStyleMedium14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F2DACBB-7E2B-4B13-9FA6-B21C5BACDF56}" name="LITI_Q1_HALF113172438" displayName="LITI_Q1_HALF113172438" ref="A24:W30" totalsRowShown="0" headerRowDxfId="1227" headerRowBorderDxfId="1226" tableBorderDxfId="1225">
  <autoFilter ref="A24:W30" xr:uid="{DAE569A0-836F-498A-9621-8F9AEAAE8E3C}"/>
  <tableColumns count="23">
    <tableColumn id="1" xr3:uid="{19D4FE04-9FB1-441F-87E8-98F940C3D0BE}" name="Bar Mitzvah Boys" dataDxfId="1224"/>
    <tableColumn id="2" xr3:uid="{D194FF6C-4E06-430C-847F-C47AFAE48CCC}" name="Total FGM" dataDxfId="1223">
      <calculatedColumnFormula>LITI_Q1_HALF113172438[[#This Row],[2PT FGM]]+LITI_Q1_HALF113172438[[#This Row],[3PT FGM]]</calculatedColumnFormula>
    </tableColumn>
    <tableColumn id="3" xr3:uid="{4633ABCB-1CE8-4076-A020-4DB87FE49868}" name="Total FGA" dataDxfId="1222"/>
    <tableColumn id="4" xr3:uid="{C5DFFE88-1444-46F2-B48A-EBD3E0382B4D}" name="Overall FG%" dataDxfId="1221" dataCellStyle="Percent">
      <calculatedColumnFormula>LITI_Q1_HALF113172438[[#This Row],[Total FGM]]/LITI_Q1_HALF113172438[[#This Row],[Total FGA]]</calculatedColumnFormula>
    </tableColumn>
    <tableColumn id="5" xr3:uid="{112F67D0-9636-4077-8001-B9B46D784221}" name="2PT FGM" dataDxfId="1220"/>
    <tableColumn id="6" xr3:uid="{C3984D94-651D-4243-AB6A-CB6FD94BA386}" name="2PT FGA" dataDxfId="1219"/>
    <tableColumn id="7" xr3:uid="{C138A382-3FC4-460B-A3CA-354020AD59BE}" name="2PT FG%" dataDxfId="1218" dataCellStyle="Percent">
      <calculatedColumnFormula>LITI_Q1_HALF113172438[[#This Row],[2PT FGM]]/LITI_Q1_HALF113172438[[#This Row],[2PT FGA]]</calculatedColumnFormula>
    </tableColumn>
    <tableColumn id="8" xr3:uid="{D14524E3-DA1B-4F97-AC5D-A864B417DD8C}" name="3PT FGM" dataDxfId="1217"/>
    <tableColumn id="9" xr3:uid="{8775DBC3-5884-405D-A975-530ABB1935C7}" name="3PT FGA" dataDxfId="1216"/>
    <tableColumn id="10" xr3:uid="{0EB49F65-4427-4E05-9F3B-CCA5B849D377}" name="3PT FG%" dataDxfId="1215" dataCellStyle="Percent">
      <calculatedColumnFormula>LITI_Q1_HALF113172438[[#This Row],[3PT FGM]]/LITI_Q1_HALF113172438[[#This Row],[3PT FGA]]</calculatedColumnFormula>
    </tableColumn>
    <tableColumn id="11" xr3:uid="{78DDE238-4521-49DD-B928-9CEF4EFFE937}" name="FTM" dataDxfId="1214"/>
    <tableColumn id="12" xr3:uid="{A0EC3BB8-5C3A-4900-B860-DABB8ABA48CD}" name="FTA" dataDxfId="1213"/>
    <tableColumn id="13" xr3:uid="{A6CCD1BD-9B85-4DE8-8928-EBFBC6271B7E}" name="FT %" dataDxfId="1212" dataCellStyle="Percent">
      <calculatedColumnFormula>LITI_Q1_HALF113172438[[#This Row],[FTM]]/LITI_Q1_HALF113172438[[#This Row],[FTA]]</calculatedColumnFormula>
    </tableColumn>
    <tableColumn id="14" xr3:uid="{3B490FC4-2D73-47F0-9702-73314F49F1DF}" name="TOTAL POINTS" dataDxfId="1211">
      <calculatedColumnFormula>SUM(LITI_Q1_HALF113172438[[#This Row],[2PT FGM]]*2,LITI_Q1_HALF113172438[[#This Row],[3PT FGM]]*3,LITI_Q1_HALF113172438[[#This Row],[FTM]])</calculatedColumnFormula>
    </tableColumn>
    <tableColumn id="15" xr3:uid="{502E2F61-E8BA-44C1-81EF-7398DB9CDF9D}" name="Dunks" dataDxfId="1210"/>
    <tableColumn id="16" xr3:uid="{69D725F0-B5BE-49FB-9C5A-D58679177F78}" name="Def. Boards" dataDxfId="1209"/>
    <tableColumn id="17" xr3:uid="{0421A29E-9552-44DC-A838-A0EFF10BA3B9}" name="Off. Boards" dataDxfId="1208"/>
    <tableColumn id="18" xr3:uid="{47FABFDA-C385-49E0-A69C-C29C65AD615C}" name="Total Boards" dataDxfId="1207">
      <calculatedColumnFormula>LITI_Q1_HALF113172438[[#This Row],[Def. Boards]]+LITI_Q1_HALF113172438[[#This Row],[Off. Boards]]</calculatedColumnFormula>
    </tableColumn>
    <tableColumn id="19" xr3:uid="{DC358C97-D138-48A2-A92A-216EDE874917}" name="Dimes" dataDxfId="1206"/>
    <tableColumn id="20" xr3:uid="{780F08AA-88F0-400A-B60F-63A7E3F8FA78}" name="Cookies" dataDxfId="1205"/>
    <tableColumn id="21" xr3:uid="{A5EE0C75-99BB-4D4E-8C7E-06C3E50EE5B9}" name="Swats" dataDxfId="1204"/>
    <tableColumn id="22" xr3:uid="{5A8C17BA-6FB1-4D48-952B-AABCBF76B308}" name="Turnovers" dataDxfId="1203"/>
    <tableColumn id="23" xr3:uid="{D10FA192-9C55-4827-B090-FB93C3A0E526}" name="Dimes:TO" dataDxfId="1202">
      <calculatedColumnFormula>LITI_Q1_HALF113172438[[#This Row],[Dimes]]/LITI_Q1_HALF113172438[[#This Row],[Turnovers]]</calculatedColumnFormula>
    </tableColumn>
  </tableColumns>
  <tableStyleInfo name="TableStyleMedium15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7C34A050-D24F-4FBF-8C96-967C09D3C7F1}" name="GN_Q1_HALF114182539" displayName="GN_Q1_HALF114182539" ref="A33:W39" totalsRowShown="0" headerRowDxfId="1201" headerRowBorderDxfId="1200" tableBorderDxfId="1199">
  <autoFilter ref="A33:W39" xr:uid="{5D40640A-08A7-4500-A8A8-0403E47B9D60}"/>
  <tableColumns count="23">
    <tableColumn id="1" xr3:uid="{D4B02AC3-86B2-4224-8D33-17C663AF8B26}" name="Nokia Snakes" dataDxfId="1198"/>
    <tableColumn id="2" xr3:uid="{E0FCD49A-21DF-4015-8468-C6CD9BDEAF10}" name="Total FGM" dataDxfId="1197">
      <calculatedColumnFormula>GN_Q1_HALF114182539[[#This Row],[2PT FGM]]+GN_Q1_HALF114182539[[#This Row],[3PT FGM]]</calculatedColumnFormula>
    </tableColumn>
    <tableColumn id="3" xr3:uid="{04A38D8B-1B63-420D-AD05-6274AB4EFB77}" name="Total FGA" dataDxfId="1196">
      <calculatedColumnFormula>GN_Q1_HALF114182539[[#This Row],[2PT FGA]]+GN_Q1_HALF114182539[[#This Row],[3PT FGA]]</calculatedColumnFormula>
    </tableColumn>
    <tableColumn id="4" xr3:uid="{358390A6-97A4-437C-9C85-2A97D0816743}" name="Overall FG%" dataDxfId="1195" dataCellStyle="Percent">
      <calculatedColumnFormula>GN_Q1_HALF114182539[[#This Row],[Total FGM]]/GN_Q1_HALF114182539[[#This Row],[Total FGA]]</calculatedColumnFormula>
    </tableColumn>
    <tableColumn id="5" xr3:uid="{B7729C92-2CC5-43CF-9AE2-47D4B58CC28D}" name="2PT FGM" dataDxfId="1194"/>
    <tableColumn id="6" xr3:uid="{FA71BF12-8EAE-46CC-88CE-F675C1E79FDF}" name="2PT FGA" dataDxfId="1193"/>
    <tableColumn id="7" xr3:uid="{63CBC76D-83B8-492C-9CF5-0560F951D3D2}" name="2PT FG%" dataDxfId="1192" dataCellStyle="Percent">
      <calculatedColumnFormula>GN_Q1_HALF114182539[[#This Row],[2PT FGM]]/GN_Q1_HALF114182539[[#This Row],[2PT FGA]]</calculatedColumnFormula>
    </tableColumn>
    <tableColumn id="8" xr3:uid="{46C6CA06-2755-48D5-B27C-2872A6D9ACD7}" name="3PT FGM" dataDxfId="1191"/>
    <tableColumn id="9" xr3:uid="{B75E5DDD-1F41-4191-963D-5ADE315B261B}" name="3PT FGA" dataDxfId="1190"/>
    <tableColumn id="10" xr3:uid="{5916F8A7-9A8F-4F85-AB7B-E874912A42F4}" name="3PT FG%" dataDxfId="1189" dataCellStyle="Percent">
      <calculatedColumnFormula>GN_Q1_HALF114182539[[#This Row],[3PT FGM]]/GN_Q1_HALF114182539[[#This Row],[3PT FGA]]</calculatedColumnFormula>
    </tableColumn>
    <tableColumn id="11" xr3:uid="{BB462734-94C5-4AB2-AEC2-50787F46F7A0}" name="FTM" dataDxfId="1188"/>
    <tableColumn id="12" xr3:uid="{AA5092F8-E739-444F-8C63-E460CB0DA593}" name="FTA" dataDxfId="1187"/>
    <tableColumn id="13" xr3:uid="{313528E3-2DCC-463C-85CB-3F18642EB8E6}" name="FT %" dataDxfId="1186" dataCellStyle="Percent">
      <calculatedColumnFormula>GN_Q1_HALF114182539[[#This Row],[FTM]]/GN_Q1_HALF114182539[[#This Row],[FTA]]</calculatedColumnFormula>
    </tableColumn>
    <tableColumn id="14" xr3:uid="{AD8E81D8-C54B-4031-BC7C-F418868A7DC6}" name="TOTAL POINTS" dataDxfId="1185">
      <calculatedColumnFormula>SUM(GN_Q1_HALF114182539[[#This Row],[2PT FGM]]*2,GN_Q1_HALF114182539[[#This Row],[3PT FGM]]*3,GN_Q1_HALF114182539[[#This Row],[FTM]])</calculatedColumnFormula>
    </tableColumn>
    <tableColumn id="15" xr3:uid="{4D0DE38B-D569-4AF2-87BD-2AFA7BE82B46}" name="Dunks" dataDxfId="1184"/>
    <tableColumn id="16" xr3:uid="{3454578C-AE74-48EE-9F69-652F58B170DA}" name="Def. Boards" dataDxfId="1183"/>
    <tableColumn id="17" xr3:uid="{232004E6-3E78-439C-B3DF-07A83D007432}" name="Off. Boards" dataDxfId="1182"/>
    <tableColumn id="18" xr3:uid="{9878D8A0-B6DD-48D9-B0E9-F74D12E1056D}" name="Total Boards" dataDxfId="1181">
      <calculatedColumnFormula>GN_Q1_HALF114182539[[#This Row],[Def. Boards]]+GN_Q1_HALF114182539[[#This Row],[Off. Boards]]</calculatedColumnFormula>
    </tableColumn>
    <tableColumn id="19" xr3:uid="{5AC40399-F332-42D2-9952-BAD69407534A}" name="Dimes" dataDxfId="1180"/>
    <tableColumn id="20" xr3:uid="{6F905AD4-2574-4DF0-A5BE-39C2335AC404}" name="Cookies" dataDxfId="1179"/>
    <tableColumn id="21" xr3:uid="{9B82985B-B508-4AC9-9DC3-23D8C1460987}" name="Swats" dataDxfId="1178"/>
    <tableColumn id="22" xr3:uid="{FE07B204-8072-4AD1-B24D-FF9DBC888AFF}" name="Turnovers" dataDxfId="1177"/>
    <tableColumn id="23" xr3:uid="{89CDFBE4-6A1A-4E8D-AB13-23FA2AE2EEC6}" name="Dimes:TO" dataDxfId="1176">
      <calculatedColumnFormula>GN_Q1_HALF114182539[[#This Row],[Dimes]]/GN_Q1_HALF114182539[[#This Row],[Turnovers]]</calculatedColumnFormula>
    </tableColumn>
  </tableColumns>
  <tableStyleInfo name="TableStyleMedium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7FEC5E47-4964-469B-90BF-37370E874144}" name="PO_TEAM_TOT" displayName="PO_TEAM_TOT" ref="A3:X9" totalsRowCount="1" headerRowDxfId="2154">
  <autoFilter ref="A3:X8" xr:uid="{DD7C0D4D-2AB4-40CD-A0CA-952CEC216C4C}"/>
  <sortState ref="A4:X8">
    <sortCondition ref="A3:A8"/>
  </sortState>
  <tableColumns count="24">
    <tableColumn id="1" xr3:uid="{4AD80612-7ED3-4ED8-8ADE-6E8E173B122F}" name="Team"/>
    <tableColumn id="2" xr3:uid="{41F09F8E-0E22-4F3B-B8B8-4E573EF8248E}" name="Games Played" dataDxfId="2153" totalsRowDxfId="2152"/>
    <tableColumn id="3" xr3:uid="{753C38D7-FF8A-4845-AF00-DC90D0DFD6A9}" name="Total FGM" totalsRowFunction="sum" dataDxfId="2151" totalsRowDxfId="2150">
      <calculatedColumnFormula>SUMIF(Playoffs!$C$3:$C$35,A4,Playoffs!$E$3:$E$35)</calculatedColumnFormula>
    </tableColumn>
    <tableColumn id="4" xr3:uid="{59E95103-6E53-4257-9209-94B883DC5C14}" name="Total FGA" totalsRowFunction="sum" dataDxfId="2149" totalsRowDxfId="2148">
      <calculatedColumnFormula>SUMIF(Playoffs!$C$3:$C$35,A4,Playoffs!$F$3:$F$35)</calculatedColumnFormula>
    </tableColumn>
    <tableColumn id="5" xr3:uid="{524E01FA-7E62-4B16-8CF3-9E3B9890813E}" name="Overall FG%" totalsRowFunction="custom" dataDxfId="2147" totalsRowDxfId="2146" dataCellStyle="Percent">
      <calculatedColumnFormula>PO_TEAM_TOT[[#This Row],[Total FGM]]/PO_TEAM_TOT[[#This Row],[Total FGA]]</calculatedColumnFormula>
      <totalsRowFormula>PO_TEAM_TOT[[#Totals],[Total FGM]]/PO_TEAM_TOT[[#Totals],[Total FGA]]</totalsRowFormula>
    </tableColumn>
    <tableColumn id="6" xr3:uid="{E6E6E37D-BBCD-4BE3-8004-A3E8443A8585}" name="2PT FGM" totalsRowFunction="sum" dataDxfId="2145" totalsRowDxfId="2144">
      <calculatedColumnFormula>SUMIF(Playoffs!$C$3:$C$35,A4,Playoffs!$H$3:$H$35)</calculatedColumnFormula>
    </tableColumn>
    <tableColumn id="7" xr3:uid="{DD4EA27C-22EE-4627-AB99-15ADDD45327E}" name="2PT FGA" totalsRowFunction="sum" dataDxfId="2143" totalsRowDxfId="2142">
      <calculatedColumnFormula>SUMIF(Playoffs!$C$3:$C$35,A4,Playoffs!$I$3:$I$35)</calculatedColumnFormula>
    </tableColumn>
    <tableColumn id="8" xr3:uid="{3E5F7D6A-5A47-483F-9F36-6B3191F98B93}" name="2PT FG%" totalsRowFunction="custom" dataDxfId="2141" totalsRowDxfId="2140" dataCellStyle="Percent">
      <calculatedColumnFormula>PO_TEAM_TOT[[#This Row],[2PT FGM]]/PO_TEAM_TOT[[#This Row],[2PT FGA]]</calculatedColumnFormula>
      <totalsRowFormula>PO_TEAM_TOT[[#Totals],[2PT FGM]]/PO_TEAM_TOT[[#Totals],[2PT FGA]]</totalsRowFormula>
    </tableColumn>
    <tableColumn id="9" xr3:uid="{8343FD8F-B69C-4BB5-A880-D909E55AB541}" name="3PT FGM" totalsRowFunction="sum" dataDxfId="2139" totalsRowDxfId="2138">
      <calculatedColumnFormula>SUMIF(Playoffs!$C$3:$C$35,A4,Playoffs!$K$3:$K$35)</calculatedColumnFormula>
    </tableColumn>
    <tableColumn id="10" xr3:uid="{D36DF7D0-9B9C-4734-A753-423F3F85688D}" name="3PT FGA" totalsRowFunction="sum" dataDxfId="2137" totalsRowDxfId="2136">
      <calculatedColumnFormula>SUMIF(Playoffs!$C$3:$C$35,A4,Playoffs!$L$3:$L$35)</calculatedColumnFormula>
    </tableColumn>
    <tableColumn id="11" xr3:uid="{5BA5D550-9541-4483-BDB8-187FFAF558D5}" name="3PT FG%" totalsRowFunction="custom" dataDxfId="2135" totalsRowDxfId="2134" dataCellStyle="Percent">
      <calculatedColumnFormula>PO_TEAM_TOT[[#This Row],[3PT FGM]]/PO_TEAM_TOT[[#This Row],[3PT FGA]]</calculatedColumnFormula>
      <totalsRowFormula>PO_TEAM_TOT[[#Totals],[3PT FGM]]/PO_TEAM_TOT[[#Totals],[3PT FGA]]</totalsRowFormula>
    </tableColumn>
    <tableColumn id="12" xr3:uid="{DB487729-9BD6-4543-83D7-500A8B9E3BED}" name="FTM" totalsRowFunction="sum" dataDxfId="2133" totalsRowDxfId="2132">
      <calculatedColumnFormula>SUMIF(Playoffs!$C$3:$C$35,A4,Playoffs!$N$3:$N$35)</calculatedColumnFormula>
    </tableColumn>
    <tableColumn id="13" xr3:uid="{BBD7F1C2-BE56-4516-86EB-48D90BB43B7E}" name="FTA" totalsRowFunction="sum" dataDxfId="2131" totalsRowDxfId="2130">
      <calculatedColumnFormula>SUMIF(Playoffs!$C$3:$C$35,A4,Playoffs!$O$3:$O$35)</calculatedColumnFormula>
    </tableColumn>
    <tableColumn id="14" xr3:uid="{E2D2FB41-4D78-41C1-B648-D789123561C2}" name="FT %" totalsRowFunction="custom" dataDxfId="2129" totalsRowDxfId="2128" dataCellStyle="Percent">
      <calculatedColumnFormula>PO_TEAM_TOT[[#This Row],[FTM]]/PO_TEAM_TOT[[#This Row],[FTA]]</calculatedColumnFormula>
      <totalsRowFormula>PO_TEAM_TOT[[#Totals],[FTM]]/PO_TEAM_TOT[[#Totals],[FTA]]</totalsRowFormula>
    </tableColumn>
    <tableColumn id="15" xr3:uid="{AFD090E3-C34D-4BD1-858D-51E0DB8D92CE}" name="TOTAL POINTS" totalsRowFunction="sum" dataDxfId="2127" totalsRowDxfId="2126">
      <calculatedColumnFormula>SUMIF(Playoffs!$C$3:$C$35,A4,Playoffs!$Q$3:$Q$35)</calculatedColumnFormula>
    </tableColumn>
    <tableColumn id="16" xr3:uid="{F64D942D-88DE-45DD-9201-43CF33E9F089}" name="Dunks" totalsRowFunction="sum" dataDxfId="2125" totalsRowDxfId="2124">
      <calculatedColumnFormula>SUMIF(Playoffs!$C$3:$C$35,A4,Playoffs!$R$3:$R$35)</calculatedColumnFormula>
    </tableColumn>
    <tableColumn id="17" xr3:uid="{3B703717-8D73-49C2-BB88-2A4766606FF1}" name="Def. Boards" totalsRowFunction="sum" dataDxfId="2123" totalsRowDxfId="2122">
      <calculatedColumnFormula>SUMIF(Playoffs!$C$3:$C$35,A4,Playoffs!$S$3:$S$35)</calculatedColumnFormula>
    </tableColumn>
    <tableColumn id="18" xr3:uid="{CBE305C0-A51B-4D3E-9C5D-3FAF0FB63387}" name="Off. Boards" totalsRowFunction="sum" dataDxfId="2121" totalsRowDxfId="2120">
      <calculatedColumnFormula>SUMIF(Playoffs!$C$3:$C$35,A4,Playoffs!$T$3:$T$35)</calculatedColumnFormula>
    </tableColumn>
    <tableColumn id="19" xr3:uid="{678E70AF-3786-420E-B104-F7A61F34012C}" name="Total Boards" totalsRowFunction="sum" dataDxfId="2119" totalsRowDxfId="2118">
      <calculatedColumnFormula>SUMIF(Playoffs!$C$3:$C$35,A4,Playoffs!$U$3:$U$35)</calculatedColumnFormula>
    </tableColumn>
    <tableColumn id="20" xr3:uid="{763EADD9-823B-4A2D-8603-242CC71DE4D7}" name="Dimes" totalsRowFunction="sum" dataDxfId="2117" totalsRowDxfId="2116">
      <calculatedColumnFormula>SUMIF(Playoffs!$C$3:$C$35,A4,Playoffs!$V$3:$V$35)</calculatedColumnFormula>
    </tableColumn>
    <tableColumn id="21" xr3:uid="{2236F9FC-47F0-4C4E-917D-7DC1A2CA50DF}" name="Cookies" totalsRowFunction="sum" dataDxfId="2115" totalsRowDxfId="2114">
      <calculatedColumnFormula>SUMIF(Playoffs!$C$3:$C$35,A4,Playoffs!$W$3:$W$35)</calculatedColumnFormula>
    </tableColumn>
    <tableColumn id="22" xr3:uid="{4020E34F-1E9F-4643-8BC6-1EAF46CBD8DA}" name="Swats" totalsRowFunction="sum" dataDxfId="2113" totalsRowDxfId="2112">
      <calculatedColumnFormula>SUMIF(Playoffs!$C$3:$C$35,A4,Playoffs!$X$3:$X$35)</calculatedColumnFormula>
    </tableColumn>
    <tableColumn id="23" xr3:uid="{9EF95F27-DA99-46F3-9007-DA997D47F005}" name="Turnovers" totalsRowFunction="sum" dataDxfId="2111" totalsRowDxfId="2110">
      <calculatedColumnFormula>SUMIF(Playoffs!$C$3:$C$35,A4,Playoffs!$Y$3:$Y$35)</calculatedColumnFormula>
    </tableColumn>
    <tableColumn id="24" xr3:uid="{5F9BF8D4-5491-4A6B-9C14-9E956891A8D5}" name="Dimes:TO" totalsRowFunction="average" dataDxfId="2109" totalsRowDxfId="2108">
      <calculatedColumnFormula>PO_TEAM_TOT[[#This Row],[Dimes]]/PO_TEAM_TOT[[#This Row],[Turnovers]]</calculatedColumnFormula>
    </tableColumn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99FE4715-0DCA-4CBD-A2F4-7767A3B6D719}" name="LITI_Q1_HALF113193240" displayName="LITI_Q1_HALF113193240" ref="A42:W48" totalsRowShown="0" headerRowDxfId="1175" headerRowBorderDxfId="1174" tableBorderDxfId="1173">
  <autoFilter ref="A42:W48" xr:uid="{CF66A8AD-B226-4D24-8055-445EE533638B}"/>
  <tableColumns count="23">
    <tableColumn id="1" xr3:uid="{9B949682-4545-4015-AF5C-C118475DFBCD}" name="Bar Mitzvah Boys" dataDxfId="1172"/>
    <tableColumn id="2" xr3:uid="{65DF05B1-94D1-4F23-8CAC-CF254AF01B01}" name="Total FGM" dataDxfId="1171">
      <calculatedColumnFormula>LITI_Q1_HALF113193240[[#This Row],[2PT FGM]]+LITI_Q1_HALF113193240[[#This Row],[3PT FGM]]</calculatedColumnFormula>
    </tableColumn>
    <tableColumn id="3" xr3:uid="{E91BC82F-BE72-4AEF-AB26-2322BF1F8CDB}" name="Total FGA" dataDxfId="1170"/>
    <tableColumn id="4" xr3:uid="{530007A8-3133-4BD4-AAB0-8A7B3B3DB8D1}" name="Overall FG%" dataDxfId="1169" dataCellStyle="Percent">
      <calculatedColumnFormula>LITI_Q1_HALF113193240[[#This Row],[Total FGM]]/LITI_Q1_HALF113193240[[#This Row],[Total FGA]]</calculatedColumnFormula>
    </tableColumn>
    <tableColumn id="5" xr3:uid="{1F97F963-D2E8-4802-97EA-054CEA215769}" name="2PT FGM" dataDxfId="1168"/>
    <tableColumn id="6" xr3:uid="{AB02000F-5978-47E9-A02B-A46D373FD634}" name="2PT FGA" dataDxfId="1167"/>
    <tableColumn id="7" xr3:uid="{2F63EB42-C01F-4850-A900-83C4C4FB71EA}" name="2PT FG%" dataDxfId="1166" dataCellStyle="Percent">
      <calculatedColumnFormula>LITI_Q1_HALF113193240[[#This Row],[2PT FGM]]/LITI_Q1_HALF113193240[[#This Row],[2PT FGA]]</calculatedColumnFormula>
    </tableColumn>
    <tableColumn id="8" xr3:uid="{33A4039E-0054-49F4-B316-D74245F1C33A}" name="3PT FGM" dataDxfId="1165"/>
    <tableColumn id="9" xr3:uid="{C772C372-C6DD-477F-9185-87D180F7BC5D}" name="3PT FGA" dataDxfId="1164"/>
    <tableColumn id="10" xr3:uid="{54152DFA-3CDE-4BC1-93DC-AE00BA70DDD8}" name="3PT FG%" dataDxfId="1163" dataCellStyle="Percent">
      <calculatedColumnFormula>LITI_Q1_HALF113193240[[#This Row],[3PT FGM]]/LITI_Q1_HALF113193240[[#This Row],[3PT FGA]]</calculatedColumnFormula>
    </tableColumn>
    <tableColumn id="11" xr3:uid="{1EDE3DDE-AE94-4DFB-96F6-0574C78DC166}" name="FTM" dataDxfId="1162"/>
    <tableColumn id="12" xr3:uid="{26070F6F-A91F-417D-8A12-79C419394A49}" name="FTA" dataDxfId="1161"/>
    <tableColumn id="13" xr3:uid="{7BA3A752-7139-4E05-B81F-B9BA3106AC23}" name="FT %" dataDxfId="1160" dataCellStyle="Percent">
      <calculatedColumnFormula>LITI_Q1_HALF113193240[[#This Row],[FTM]]/LITI_Q1_HALF113193240[[#This Row],[FTA]]</calculatedColumnFormula>
    </tableColumn>
    <tableColumn id="14" xr3:uid="{5DB3FD21-7ACF-41EA-87A4-1534AE7CC3E8}" name="TOTAL POINTS" dataDxfId="1159">
      <calculatedColumnFormula>SUM(LITI_Q1_HALF113193240[[#This Row],[2PT FGM]]*2,LITI_Q1_HALF113193240[[#This Row],[3PT FGM]]*3,LITI_Q1_HALF113193240[[#This Row],[FTM]])</calculatedColumnFormula>
    </tableColumn>
    <tableColumn id="15" xr3:uid="{0AE908A6-69D7-42DE-8941-9102C530D680}" name="Dunks" dataDxfId="1158"/>
    <tableColumn id="16" xr3:uid="{805728E5-6179-4C28-8EC0-4CF5FEE3B484}" name="Def. Boards" dataDxfId="1157"/>
    <tableColumn id="17" xr3:uid="{F647A3B6-E59A-45D7-8F7A-998E1790A66F}" name="Off. Boards" dataDxfId="1156"/>
    <tableColumn id="18" xr3:uid="{3072A675-0A7B-4BC2-8CB8-4C650EFF335A}" name="Total Boards" dataDxfId="1155">
      <calculatedColumnFormula>LITI_Q1_HALF113193240[[#This Row],[Def. Boards]]+LITI_Q1_HALF113193240[[#This Row],[Off. Boards]]</calculatedColumnFormula>
    </tableColumn>
    <tableColumn id="19" xr3:uid="{95E91B09-4AF4-49FA-89CC-7467FED5F84D}" name="Dimes" dataDxfId="1154"/>
    <tableColumn id="20" xr3:uid="{0CE687A8-FEFB-4CB9-8E00-0B200688D6DE}" name="Cookies" dataDxfId="1153"/>
    <tableColumn id="21" xr3:uid="{C0FE63C0-D673-404B-837E-40B59DE1978B}" name="Swats" dataDxfId="1152"/>
    <tableColumn id="22" xr3:uid="{A6182B0B-8F64-4004-9FD3-D2D47F771382}" name="Turnovers" dataDxfId="1151"/>
    <tableColumn id="23" xr3:uid="{99D1A864-018C-4B89-A0A3-B2A8A9BBB114}" name="Dimes:TO" dataDxfId="1150">
      <calculatedColumnFormula>LITI_Q1_HALF113193240[[#This Row],[Dimes]]/LITI_Q1_HALF113193240[[#This Row],[Turnovers]]</calculatedColumnFormula>
    </tableColumn>
  </tableColumns>
  <tableStyleInfo name="TableStyleMedium15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E161F5BA-277D-4080-8D4E-A55CE25CE880}" name="GN_Q1_HALF114203441" displayName="GN_Q1_HALF114203441" ref="A51:W57" totalsRowShown="0" headerRowDxfId="1149" headerRowBorderDxfId="1148" tableBorderDxfId="1147">
  <autoFilter ref="A51:W57" xr:uid="{1C88CB12-5696-468C-AF76-8C36D18A2CF4}"/>
  <tableColumns count="23">
    <tableColumn id="1" xr3:uid="{128426D3-77A4-4852-BB61-F898FA5366D1}" name="Nokia Snakes" dataDxfId="1146"/>
    <tableColumn id="2" xr3:uid="{4C6EDB16-C62C-41B5-BD23-F2586F3A9482}" name="Total FGM" dataDxfId="1145">
      <calculatedColumnFormula>GN_Q1_HALF114203441[[#This Row],[2PT FGM]]+GN_Q1_HALF114203441[[#This Row],[3PT FGM]]</calculatedColumnFormula>
    </tableColumn>
    <tableColumn id="3" xr3:uid="{F8105678-7F84-42B7-84F1-37870E3D832E}" name="Total FGA" dataDxfId="1144">
      <calculatedColumnFormula>GN_Q1_HALF114203441[[#This Row],[2PT FGA]]+GN_Q1_HALF114203441[[#This Row],[3PT FGA]]</calculatedColumnFormula>
    </tableColumn>
    <tableColumn id="4" xr3:uid="{8C51D56E-C416-42A2-B9F1-8323997D509C}" name="Overall FG%" dataDxfId="1143" dataCellStyle="Percent">
      <calculatedColumnFormula>GN_Q1_HALF114203441[[#This Row],[Total FGM]]/GN_Q1_HALF114203441[[#This Row],[Total FGA]]</calculatedColumnFormula>
    </tableColumn>
    <tableColumn id="5" xr3:uid="{8B7A4ABF-A3A0-41C5-AB76-F2B341AF93C1}" name="2PT FGM" dataDxfId="1142"/>
    <tableColumn id="6" xr3:uid="{BD9753A4-A42B-40DD-8CD9-0212AC4DC076}" name="2PT FGA" dataDxfId="1141"/>
    <tableColumn id="7" xr3:uid="{3BBD8F49-4BA1-4B94-A0DE-ACCC8CD41454}" name="2PT FG%" dataDxfId="1140" dataCellStyle="Percent">
      <calculatedColumnFormula>GN_Q1_HALF114203441[[#This Row],[2PT FGM]]/GN_Q1_HALF114203441[[#This Row],[2PT FGA]]</calculatedColumnFormula>
    </tableColumn>
    <tableColumn id="8" xr3:uid="{B82E618E-6A7C-4433-83DD-D2C6206CE079}" name="3PT FGM" dataDxfId="1139"/>
    <tableColumn id="9" xr3:uid="{88C51738-25B8-40AC-8D7E-5BF7E8BBF3DA}" name="3PT FGA" dataDxfId="1138"/>
    <tableColumn id="10" xr3:uid="{4249D02E-487A-4B74-A700-14D88C1E0024}" name="3PT FG%" dataDxfId="1137" dataCellStyle="Percent">
      <calculatedColumnFormula>GN_Q1_HALF114203441[[#This Row],[3PT FGM]]/GN_Q1_HALF114203441[[#This Row],[3PT FGA]]</calculatedColumnFormula>
    </tableColumn>
    <tableColumn id="11" xr3:uid="{1A5A4CB8-974E-41FD-BF8A-DF2D1BF2DACA}" name="FTM" dataDxfId="1136"/>
    <tableColumn id="12" xr3:uid="{867F0EBB-ABAA-45A9-881E-4D90EEA4D0F8}" name="FTA" dataDxfId="1135"/>
    <tableColumn id="13" xr3:uid="{A4A7D687-F159-403E-BD55-3FC6F933EBD2}" name="FT %" dataDxfId="1134" dataCellStyle="Percent">
      <calculatedColumnFormula>GN_Q1_HALF114203441[[#This Row],[FTM]]/GN_Q1_HALF114203441[[#This Row],[FTA]]</calculatedColumnFormula>
    </tableColumn>
    <tableColumn id="14" xr3:uid="{65E8CB5F-1296-4D41-B72F-24874A5CFF7F}" name="TOTAL POINTS" dataDxfId="1133">
      <calculatedColumnFormula>SUM(GN_Q1_HALF114203441[[#This Row],[2PT FGM]]*2,GN_Q1_HALF114203441[[#This Row],[3PT FGM]]*3,GN_Q1_HALF114203441[[#This Row],[FTM]])</calculatedColumnFormula>
    </tableColumn>
    <tableColumn id="15" xr3:uid="{344BB19A-F35C-445D-8503-C04212A0A182}" name="Dunks" dataDxfId="1132"/>
    <tableColumn id="16" xr3:uid="{2C42DCD9-8D8D-4C54-A684-5E5D6570C714}" name="Def. Boards" dataDxfId="1131"/>
    <tableColumn id="17" xr3:uid="{DB563345-2BE8-4A69-BF97-1C850F99E405}" name="Off. Boards" dataDxfId="1130"/>
    <tableColumn id="18" xr3:uid="{2A4A34C5-27B4-495F-8986-6578814DCB4C}" name="Total Boards" dataDxfId="1129">
      <calculatedColumnFormula>GN_Q1_HALF114203441[[#This Row],[Def. Boards]]+GN_Q1_HALF114203441[[#This Row],[Off. Boards]]</calculatedColumnFormula>
    </tableColumn>
    <tableColumn id="19" xr3:uid="{3C096DDA-E86A-45F7-8BD3-A768112401A3}" name="Dimes" dataDxfId="1128"/>
    <tableColumn id="20" xr3:uid="{A69B9B3C-7DD5-49EE-A10B-835042D28A2A}" name="Cookies" dataDxfId="1127"/>
    <tableColumn id="21" xr3:uid="{477609CF-B33B-4A1A-88F9-673D35DCEF69}" name="Swats" dataDxfId="1126"/>
    <tableColumn id="22" xr3:uid="{45919695-6E32-49B5-BDE6-C843A2E0AF6F}" name="Turnovers" dataDxfId="1125"/>
    <tableColumn id="23" xr3:uid="{96DB54C9-799F-4877-8AF4-FAD4CFF110BE}" name="Dimes:TO" dataDxfId="1124">
      <calculatedColumnFormula>GN_Q1_HALF114203441[[#This Row],[Dimes]]/GN_Q1_HALF114203441[[#This Row],[Turnovers]]</calculatedColumnFormula>
    </tableColumn>
  </tableColumns>
  <tableStyleInfo name="TableStyleMedium14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2285BDE7-E7EC-4ACC-8E9F-E74FFDD98E91}" name="LITI_Q1_HALF113223642" displayName="LITI_Q1_HALF113223642" ref="A5:W11" totalsRowShown="0" headerRowDxfId="1123" headerRowBorderDxfId="1122" tableBorderDxfId="1121">
  <autoFilter ref="A5:W11" xr:uid="{9C7758EA-4B35-4BAF-AEBE-EDDE9A254594}"/>
  <tableColumns count="23">
    <tableColumn id="1" xr3:uid="{84E2C497-8239-4706-9731-D290C6689F54}" name="Bar Mitzvah Boys" dataDxfId="1120"/>
    <tableColumn id="2" xr3:uid="{75898C14-90D6-4FB2-B008-25535EC6DE65}" name="Total FGM" dataDxfId="1119">
      <calculatedColumnFormula>LITI_Q1_HALF113223642[[#This Row],[2PT FGM]]+LITI_Q1_HALF113223642[[#This Row],[3PT FGM]]</calculatedColumnFormula>
    </tableColumn>
    <tableColumn id="3" xr3:uid="{5655D403-3E8F-49A7-BF88-32D022A73A2C}" name="Total FGA" dataDxfId="1118"/>
    <tableColumn id="4" xr3:uid="{51C1FA3F-57A3-4AA1-AD7E-CC601D478289}" name="Overall FG%" dataDxfId="1117" dataCellStyle="Percent">
      <calculatedColumnFormula>LITI_Q1_HALF113223642[[#This Row],[Total FGM]]/LITI_Q1_HALF113223642[[#This Row],[Total FGA]]</calculatedColumnFormula>
    </tableColumn>
    <tableColumn id="5" xr3:uid="{B3FB4B11-6766-4E98-BEDB-C68AC17119A2}" name="2PT FGM" dataDxfId="1116"/>
    <tableColumn id="6" xr3:uid="{072E98A9-19C8-4FAC-A90B-792129344E9B}" name="2PT FGA" dataDxfId="1115"/>
    <tableColumn id="7" xr3:uid="{6D72408B-FC44-4D10-81C2-C6C790CC8667}" name="2PT FG%" dataDxfId="1114" dataCellStyle="Percent">
      <calculatedColumnFormula>LITI_Q1_HALF113223642[[#This Row],[2PT FGM]]/LITI_Q1_HALF113223642[[#This Row],[2PT FGA]]</calculatedColumnFormula>
    </tableColumn>
    <tableColumn id="8" xr3:uid="{4A99BF15-C498-4710-9753-E7CCCB92857B}" name="3PT FGM" dataDxfId="1113"/>
    <tableColumn id="9" xr3:uid="{FE6C24AE-BBD9-4C63-B319-2176803EACDD}" name="3PT FGA" dataDxfId="1112"/>
    <tableColumn id="10" xr3:uid="{D0E08A58-4C06-4660-9915-81616926F90C}" name="3PT FG%" dataDxfId="1111" dataCellStyle="Percent">
      <calculatedColumnFormula>LITI_Q1_HALF113223642[[#This Row],[3PT FGM]]/LITI_Q1_HALF113223642[[#This Row],[3PT FGA]]</calculatedColumnFormula>
    </tableColumn>
    <tableColumn id="11" xr3:uid="{C3CF0A7F-61FD-4D77-9F47-F1708751E24B}" name="FTM" dataDxfId="1110"/>
    <tableColumn id="12" xr3:uid="{694518EE-DD50-4361-91A7-F42E5E2917F7}" name="FTA" dataDxfId="1109"/>
    <tableColumn id="13" xr3:uid="{C6F5917F-A329-4F38-87A9-72529B3CBADC}" name="FT %" dataDxfId="1108" dataCellStyle="Percent">
      <calculatedColumnFormula>LITI_Q1_HALF113223642[[#This Row],[FTM]]/LITI_Q1_HALF113223642[[#This Row],[FTA]]</calculatedColumnFormula>
    </tableColumn>
    <tableColumn id="14" xr3:uid="{4DD0A2FB-424E-48CD-88C5-5205C59D1F41}" name="TOTAL POINTS" dataDxfId="1107">
      <calculatedColumnFormula>SUM(LITI_Q1_HALF113223642[[#This Row],[2PT FGM]]*2,LITI_Q1_HALF113223642[[#This Row],[3PT FGM]]*3,LITI_Q1_HALF113223642[[#This Row],[FTM]])</calculatedColumnFormula>
    </tableColumn>
    <tableColumn id="15" xr3:uid="{4F42E9AD-0EE1-4C8D-9F93-2D7DB0F9D7B8}" name="Dunks" dataDxfId="1106"/>
    <tableColumn id="16" xr3:uid="{69625393-C367-46FC-8B46-8C11C224E861}" name="Def. Boards" dataDxfId="1105"/>
    <tableColumn id="17" xr3:uid="{99E68128-9745-49F4-8467-37924D7B05F7}" name="Off. Boards" dataDxfId="1104"/>
    <tableColumn id="18" xr3:uid="{360E038A-2D9A-4CEA-98F1-3D133B7960CC}" name="Total Boards" dataDxfId="1103">
      <calculatedColumnFormula>LITI_Q1_HALF113223642[[#This Row],[Def. Boards]]+LITI_Q1_HALF113223642[[#This Row],[Off. Boards]]</calculatedColumnFormula>
    </tableColumn>
    <tableColumn id="19" xr3:uid="{1B4468FC-3766-4384-B6AA-011B1404240F}" name="Dimes" dataDxfId="1102"/>
    <tableColumn id="20" xr3:uid="{DC835988-4C45-4244-8968-B1706A2586C4}" name="Cookies" dataDxfId="1101"/>
    <tableColumn id="21" xr3:uid="{232A5429-F5DA-471B-9FAB-F1D5AF2E6557}" name="Swats" dataDxfId="1100"/>
    <tableColumn id="22" xr3:uid="{3E0CB31A-8915-43CE-9DDC-43E6AAC02661}" name="Turnovers" dataDxfId="1099"/>
    <tableColumn id="23" xr3:uid="{254D24F7-7A5D-4AD3-993A-9B6366DCE149}" name="Dimes:TO" dataDxfId="1098">
      <calculatedColumnFormula>LITI_Q1_HALF113223642[[#This Row],[Dimes]]/LITI_Q1_HALF113223642[[#This Row],[Turnovers]]</calculatedColumnFormula>
    </tableColumn>
  </tableColumns>
  <tableStyleInfo name="TableStyleMedium15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CF684785-0765-4DF4-AC42-6A6C457972EF}" name="GN_Q1_HALF114233743" displayName="GN_Q1_HALF114233743" ref="A14:W20" totalsRowShown="0" headerRowDxfId="1097" headerRowBorderDxfId="1096" tableBorderDxfId="1095">
  <autoFilter ref="A14:W20" xr:uid="{A35ACDB9-EF9D-4509-AF9B-CC779024F208}"/>
  <tableColumns count="23">
    <tableColumn id="1" xr3:uid="{17041765-EA55-41D2-AD6A-1038DD1FE18C}" name="Nokia Snakes" dataDxfId="1094"/>
    <tableColumn id="2" xr3:uid="{DA66B1B4-16C3-4196-BC03-58F0B9130920}" name="Total FGM" dataDxfId="1093">
      <calculatedColumnFormula>GN_Q1_HALF114233743[[#This Row],[2PT FGM]]+GN_Q1_HALF114233743[[#This Row],[3PT FGM]]</calculatedColumnFormula>
    </tableColumn>
    <tableColumn id="3" xr3:uid="{20294C30-7B4C-4B1E-A078-8963F818DB87}" name="Total FGA" dataDxfId="1092">
      <calculatedColumnFormula>GN_Q1_HALF114233743[[#This Row],[2PT FGA]]+GN_Q1_HALF114233743[[#This Row],[3PT FGA]]</calculatedColumnFormula>
    </tableColumn>
    <tableColumn id="4" xr3:uid="{5053F2D0-195E-4B0D-887D-87B05B7D1C1B}" name="Overall FG%" dataDxfId="1091" dataCellStyle="Percent">
      <calculatedColumnFormula>GN_Q1_HALF114233743[[#This Row],[Total FGM]]/GN_Q1_HALF114233743[[#This Row],[Total FGA]]</calculatedColumnFormula>
    </tableColumn>
    <tableColumn id="5" xr3:uid="{557073C8-11A4-4D21-A163-6FAB04EF388D}" name="2PT FGM" dataDxfId="1090"/>
    <tableColumn id="6" xr3:uid="{92A8CAA5-D21A-471B-9369-15E8492080F3}" name="2PT FGA" dataDxfId="1089"/>
    <tableColumn id="7" xr3:uid="{21705324-F81C-45E5-A3D1-6A6D34FBBACA}" name="2PT FG%" dataDxfId="1088" dataCellStyle="Percent">
      <calculatedColumnFormula>GN_Q1_HALF114233743[[#This Row],[2PT FGM]]/GN_Q1_HALF114233743[[#This Row],[2PT FGA]]</calculatedColumnFormula>
    </tableColumn>
    <tableColumn id="8" xr3:uid="{34EF1BAF-8CE1-4451-B455-E1BB90311262}" name="3PT FGM" dataDxfId="1087"/>
    <tableColumn id="9" xr3:uid="{6A5BB7DF-6DBD-402E-BE6F-308263E02ED4}" name="3PT FGA" dataDxfId="1086"/>
    <tableColumn id="10" xr3:uid="{1137D7AD-D7D8-48D1-9BBE-114AC18F0380}" name="3PT FG%" dataDxfId="1085" dataCellStyle="Percent">
      <calculatedColumnFormula>GN_Q1_HALF114233743[[#This Row],[3PT FGM]]/GN_Q1_HALF114233743[[#This Row],[3PT FGA]]</calculatedColumnFormula>
    </tableColumn>
    <tableColumn id="11" xr3:uid="{66A6DD76-0031-4EA4-97C5-8BB87C956EEB}" name="FTM" dataDxfId="1084"/>
    <tableColumn id="12" xr3:uid="{9B9757C7-F6F6-4EEC-B67B-3CFC6441A1B4}" name="FTA" dataDxfId="1083"/>
    <tableColumn id="13" xr3:uid="{4EA9D3F6-5B68-433A-9E9C-875F9CD4AE64}" name="FT %" dataDxfId="1082" dataCellStyle="Percent">
      <calculatedColumnFormula>GN_Q1_HALF114233743[[#This Row],[FTM]]/GN_Q1_HALF114233743[[#This Row],[FTA]]</calculatedColumnFormula>
    </tableColumn>
    <tableColumn id="14" xr3:uid="{58356962-E934-448F-B8A1-C8893B395F23}" name="TOTAL POINTS" dataDxfId="1081">
      <calculatedColumnFormula>SUM(GN_Q1_HALF114233743[[#This Row],[2PT FGM]]*2,GN_Q1_HALF114233743[[#This Row],[3PT FGM]]*3,GN_Q1_HALF114233743[[#This Row],[FTM]])</calculatedColumnFormula>
    </tableColumn>
    <tableColumn id="15" xr3:uid="{394EFFAD-2C79-4757-8FE5-B316F2604354}" name="Dunks" dataDxfId="1080"/>
    <tableColumn id="16" xr3:uid="{F6A6CCC0-5EC0-42AD-BAEA-27631524C4EE}" name="Def. Boards" dataDxfId="1079"/>
    <tableColumn id="17" xr3:uid="{F3C96C01-8536-4843-B8DD-26705798F2E1}" name="Off. Boards" dataDxfId="1078"/>
    <tableColumn id="18" xr3:uid="{112D7CB1-2E76-407A-953A-9AA4E912A5B1}" name="Total Boards" dataDxfId="1077">
      <calculatedColumnFormula>GN_Q1_HALF114233743[[#This Row],[Def. Boards]]+GN_Q1_HALF114233743[[#This Row],[Off. Boards]]</calculatedColumnFormula>
    </tableColumn>
    <tableColumn id="19" xr3:uid="{DAE64F30-BACB-4E21-BB3D-D579918E38C2}" name="Dimes" dataDxfId="1076"/>
    <tableColumn id="20" xr3:uid="{A723B627-7B09-4119-AC31-AFE4D8E7AF01}" name="Cookies" dataDxfId="1075"/>
    <tableColumn id="21" xr3:uid="{39348729-07EF-4260-AA6F-1BE4E46B8101}" name="Swats" dataDxfId="1074"/>
    <tableColumn id="22" xr3:uid="{888BDA41-98FA-41C8-AABB-DEFD88B59F4B}" name="Turnovers" dataDxfId="1073"/>
    <tableColumn id="23" xr3:uid="{481E02EE-A213-419B-8C35-FDB1F5D2B7B0}" name="Dimes:TO" dataDxfId="1072">
      <calculatedColumnFormula>GN_Q1_HALF114233743[[#This Row],[Dimes]]/GN_Q1_HALF114233743[[#This Row],[Turnovers]]</calculatedColumnFormula>
    </tableColumn>
  </tableColumns>
  <tableStyleInfo name="TableStyleMedium14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8DFBAB25-9C1C-4160-90F5-2C1134C457F0}" name="LITI_Q1_HALF11317243844" displayName="LITI_Q1_HALF11317243844" ref="A24:W30" totalsRowShown="0" headerRowDxfId="1071" headerRowBorderDxfId="1070" tableBorderDxfId="1069">
  <autoFilter ref="A24:W30" xr:uid="{23F1298D-9479-4932-AFD6-53B2063C0750}"/>
  <tableColumns count="23">
    <tableColumn id="1" xr3:uid="{140E657E-82D1-4359-B40A-BCA25A2CCF14}" name="Bar Mitzvah Boys" dataDxfId="1068"/>
    <tableColumn id="2" xr3:uid="{B57C3871-88DF-431D-A682-35E8E42CAE85}" name="Total FGM" dataDxfId="1067">
      <calculatedColumnFormula>LITI_Q1_HALF11317243844[[#This Row],[2PT FGM]]+LITI_Q1_HALF11317243844[[#This Row],[3PT FGM]]</calculatedColumnFormula>
    </tableColumn>
    <tableColumn id="3" xr3:uid="{69149B33-9E5E-4F4F-9D56-2FE5A89A45D4}" name="Total FGA" dataDxfId="1066"/>
    <tableColumn id="4" xr3:uid="{AA94D9AF-3C59-4ECD-84F5-3C9331C0955D}" name="Overall FG%" dataDxfId="1065" dataCellStyle="Percent">
      <calculatedColumnFormula>LITI_Q1_HALF11317243844[[#This Row],[Total FGM]]/LITI_Q1_HALF11317243844[[#This Row],[Total FGA]]</calculatedColumnFormula>
    </tableColumn>
    <tableColumn id="5" xr3:uid="{3B469416-3A90-4E14-88AB-25BA2CC42E88}" name="2PT FGM" dataDxfId="1064"/>
    <tableColumn id="6" xr3:uid="{C67ED9C2-F8A8-460C-8C4E-026E4988F360}" name="2PT FGA" dataDxfId="1063"/>
    <tableColumn id="7" xr3:uid="{D8F5BFD6-EDD9-4531-966D-F738CBFDEAE1}" name="2PT FG%" dataDxfId="1062" dataCellStyle="Percent">
      <calculatedColumnFormula>LITI_Q1_HALF11317243844[[#This Row],[2PT FGM]]/LITI_Q1_HALF11317243844[[#This Row],[2PT FGA]]</calculatedColumnFormula>
    </tableColumn>
    <tableColumn id="8" xr3:uid="{5D3AD636-C529-419D-921D-85C2EB36D0C5}" name="3PT FGM" dataDxfId="1061"/>
    <tableColumn id="9" xr3:uid="{52CF2D66-B089-45D0-ABBC-87E0523242ED}" name="3PT FGA" dataDxfId="1060"/>
    <tableColumn id="10" xr3:uid="{8E89C1E5-A858-4D3A-B44E-BBF7182015B4}" name="3PT FG%" dataDxfId="1059" dataCellStyle="Percent">
      <calculatedColumnFormula>LITI_Q1_HALF11317243844[[#This Row],[3PT FGM]]/LITI_Q1_HALF11317243844[[#This Row],[3PT FGA]]</calculatedColumnFormula>
    </tableColumn>
    <tableColumn id="11" xr3:uid="{C4390B5C-B152-4E2A-A83E-8FA4441F8E72}" name="FTM" dataDxfId="1058"/>
    <tableColumn id="12" xr3:uid="{4A5675CF-2663-45DE-AAAE-94E3A1D86127}" name="FTA" dataDxfId="1057"/>
    <tableColumn id="13" xr3:uid="{97A70D72-9E0A-48AC-90B9-4EE395D09C3C}" name="FT %" dataDxfId="1056" dataCellStyle="Percent">
      <calculatedColumnFormula>LITI_Q1_HALF11317243844[[#This Row],[FTM]]/LITI_Q1_HALF11317243844[[#This Row],[FTA]]</calculatedColumnFormula>
    </tableColumn>
    <tableColumn id="14" xr3:uid="{05AB8851-D9F7-4671-8C15-D991F2EF6AA5}" name="TOTAL POINTS" dataDxfId="1055">
      <calculatedColumnFormula>SUM(LITI_Q1_HALF11317243844[[#This Row],[2PT FGM]]*2,LITI_Q1_HALF11317243844[[#This Row],[3PT FGM]]*3,LITI_Q1_HALF11317243844[[#This Row],[FTM]])</calculatedColumnFormula>
    </tableColumn>
    <tableColumn id="15" xr3:uid="{D5024FA5-0593-4C72-AFB2-942E8BD6425D}" name="Dunks" dataDxfId="1054"/>
    <tableColumn id="16" xr3:uid="{5495C0BE-832B-4AB8-B2DE-17CC16F44561}" name="Def. Boards" dataDxfId="1053"/>
    <tableColumn id="17" xr3:uid="{18ABE54B-1974-41E7-8C9F-5BD17E918D57}" name="Off. Boards" dataDxfId="1052"/>
    <tableColumn id="18" xr3:uid="{2199B71C-FAC2-4DF8-9A7B-EE9557619BF5}" name="Total Boards" dataDxfId="1051">
      <calculatedColumnFormula>LITI_Q1_HALF11317243844[[#This Row],[Def. Boards]]+LITI_Q1_HALF11317243844[[#This Row],[Off. Boards]]</calculatedColumnFormula>
    </tableColumn>
    <tableColumn id="19" xr3:uid="{268987A7-45FC-40C1-897A-08ACBB8E38FB}" name="Dimes" dataDxfId="1050"/>
    <tableColumn id="20" xr3:uid="{B6B93AFB-A12D-478F-A119-140439F58E8A}" name="Cookies" dataDxfId="1049"/>
    <tableColumn id="21" xr3:uid="{6EBF650E-ED39-4760-88E5-9407F07851EF}" name="Swats" dataDxfId="1048"/>
    <tableColumn id="22" xr3:uid="{C744ED09-9820-4B6F-9BEA-45D2F325F70A}" name="Turnovers" dataDxfId="1047"/>
    <tableColumn id="23" xr3:uid="{D1E08ADB-1147-443A-87E9-3150F0F9E7FC}" name="Dimes:TO" dataDxfId="1046">
      <calculatedColumnFormula>LITI_Q1_HALF11317243844[[#This Row],[Dimes]]/LITI_Q1_HALF11317243844[[#This Row],[Turnovers]]</calculatedColumnFormula>
    </tableColumn>
  </tableColumns>
  <tableStyleInfo name="TableStyleMedium15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4EFE6420-6C73-49F6-811D-97315B64B354}" name="GN_Q1_HALF11418253945" displayName="GN_Q1_HALF11418253945" ref="A33:W39" totalsRowShown="0" headerRowDxfId="1045" headerRowBorderDxfId="1044" tableBorderDxfId="1043">
  <autoFilter ref="A33:W39" xr:uid="{AEFCD1CE-9C8C-4B24-910C-B3878230C411}"/>
  <tableColumns count="23">
    <tableColumn id="1" xr3:uid="{79CB237B-1242-49FB-9B4F-DD56DF38B222}" name="Nokia Snakes" dataDxfId="1042"/>
    <tableColumn id="2" xr3:uid="{3C16F6C6-D3E1-43FD-A13A-040C08A2B86A}" name="Total FGM" dataDxfId="1041">
      <calculatedColumnFormula>GN_Q1_HALF11418253945[[#This Row],[2PT FGM]]+GN_Q1_HALF11418253945[[#This Row],[3PT FGM]]</calculatedColumnFormula>
    </tableColumn>
    <tableColumn id="3" xr3:uid="{580FCECE-C3A4-4A7A-8CDA-5275BC46D1E2}" name="Total FGA" dataDxfId="1040">
      <calculatedColumnFormula>GN_Q1_HALF11418253945[[#This Row],[2PT FGA]]+GN_Q1_HALF11418253945[[#This Row],[3PT FGA]]</calculatedColumnFormula>
    </tableColumn>
    <tableColumn id="4" xr3:uid="{F85048ED-26C9-49F3-A7DB-C7667EEE2013}" name="Overall FG%" dataDxfId="1039" dataCellStyle="Percent">
      <calculatedColumnFormula>GN_Q1_HALF11418253945[[#This Row],[Total FGM]]/GN_Q1_HALF11418253945[[#This Row],[Total FGA]]</calculatedColumnFormula>
    </tableColumn>
    <tableColumn id="5" xr3:uid="{2C6C4D9D-E709-4B37-AE2B-ADCB6F23C7C9}" name="2PT FGM" dataDxfId="1038"/>
    <tableColumn id="6" xr3:uid="{AC175072-D8E4-45E9-BCDA-7EB9477355BD}" name="2PT FGA" dataDxfId="1037"/>
    <tableColumn id="7" xr3:uid="{AE3E3CBE-172C-4541-AC9C-C011200494D6}" name="2PT FG%" dataDxfId="1036" dataCellStyle="Percent">
      <calculatedColumnFormula>GN_Q1_HALF11418253945[[#This Row],[2PT FGM]]/GN_Q1_HALF11418253945[[#This Row],[2PT FGA]]</calculatedColumnFormula>
    </tableColumn>
    <tableColumn id="8" xr3:uid="{5A4BF2C0-EDA8-4DC3-ACAC-2FF547261A41}" name="3PT FGM" dataDxfId="1035"/>
    <tableColumn id="9" xr3:uid="{3F66DFA0-4A3D-4E0A-AFC1-A0E23629C05C}" name="3PT FGA" dataDxfId="1034"/>
    <tableColumn id="10" xr3:uid="{117C4B64-C9A6-46F9-9DF2-7BD351B1F0AF}" name="3PT FG%" dataDxfId="1033" dataCellStyle="Percent">
      <calculatedColumnFormula>GN_Q1_HALF11418253945[[#This Row],[3PT FGM]]/GN_Q1_HALF11418253945[[#This Row],[3PT FGA]]</calculatedColumnFormula>
    </tableColumn>
    <tableColumn id="11" xr3:uid="{DC56BAA8-2A1C-41D4-BDB4-C585A65F7936}" name="FTM" dataDxfId="1032"/>
    <tableColumn id="12" xr3:uid="{07C002B8-C646-4ED4-A06A-5408D959A4FC}" name="FTA" dataDxfId="1031"/>
    <tableColumn id="13" xr3:uid="{8158D6B9-8289-4394-B73C-90440E084A7F}" name="FT %" dataDxfId="1030" dataCellStyle="Percent">
      <calculatedColumnFormula>GN_Q1_HALF11418253945[[#This Row],[FTM]]/GN_Q1_HALF11418253945[[#This Row],[FTA]]</calculatedColumnFormula>
    </tableColumn>
    <tableColumn id="14" xr3:uid="{5BA62A0D-382D-4913-8BD1-A9293EF58940}" name="TOTAL POINTS" dataDxfId="1029">
      <calculatedColumnFormula>SUM(GN_Q1_HALF11418253945[[#This Row],[2PT FGM]]*2,GN_Q1_HALF11418253945[[#This Row],[3PT FGM]]*3,GN_Q1_HALF11418253945[[#This Row],[FTM]])</calculatedColumnFormula>
    </tableColumn>
    <tableColumn id="15" xr3:uid="{B3A8C149-1890-49B3-9C54-3F8D346EED81}" name="Dunks" dataDxfId="1028"/>
    <tableColumn id="16" xr3:uid="{030AC1A3-FF52-48E4-8E97-710C33FE8516}" name="Def. Boards" dataDxfId="1027"/>
    <tableColumn id="17" xr3:uid="{CDA349EA-9DE8-4223-BF13-0F328C2A8DA7}" name="Off. Boards" dataDxfId="1026"/>
    <tableColumn id="18" xr3:uid="{809DED3A-20F8-4DCE-99A1-2C80B29B17C1}" name="Total Boards" dataDxfId="1025">
      <calculatedColumnFormula>GN_Q1_HALF11418253945[[#This Row],[Def. Boards]]+GN_Q1_HALF11418253945[[#This Row],[Off. Boards]]</calculatedColumnFormula>
    </tableColumn>
    <tableColumn id="19" xr3:uid="{F109ADAF-EB13-4F42-9B31-C97D74ECF132}" name="Dimes" dataDxfId="1024"/>
    <tableColumn id="20" xr3:uid="{309DDD75-CB27-4798-9247-A8DFF2F2DF90}" name="Cookies" dataDxfId="1023"/>
    <tableColumn id="21" xr3:uid="{EF475386-5C93-4EE4-ADF6-D646C01617F1}" name="Swats" dataDxfId="1022"/>
    <tableColumn id="22" xr3:uid="{2C622685-9AB8-40A7-A0C8-8003570F9005}" name="Turnovers" dataDxfId="1021"/>
    <tableColumn id="23" xr3:uid="{C8B8D520-3911-48BB-8D96-730655B46559}" name="Dimes:TO" dataDxfId="1020">
      <calculatedColumnFormula>GN_Q1_HALF11418253945[[#This Row],[Dimes]]/GN_Q1_HALF11418253945[[#This Row],[Turnovers]]</calculatedColumnFormula>
    </tableColumn>
  </tableColumns>
  <tableStyleInfo name="TableStyleMedium14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D82971E8-BD89-4A33-BE3E-4ED011D6E28E}" name="LITI_Q1_HALF11319324046" displayName="LITI_Q1_HALF11319324046" ref="A42:W48" totalsRowShown="0" headerRowDxfId="1019" headerRowBorderDxfId="1018" tableBorderDxfId="1017">
  <autoFilter ref="A42:W48" xr:uid="{64A6DD24-9449-4346-8B97-70D6A2E40967}"/>
  <tableColumns count="23">
    <tableColumn id="1" xr3:uid="{AACA5E43-EF5F-4345-9C13-41CF80EA03E5}" name="Bar Mitzvah Boys" dataDxfId="1016"/>
    <tableColumn id="2" xr3:uid="{5F1049FA-F9A8-4941-9AE0-B114005F7DD8}" name="Total FGM" dataDxfId="1015">
      <calculatedColumnFormula>LITI_Q1_HALF11319324046[[#This Row],[2PT FGM]]+LITI_Q1_HALF11319324046[[#This Row],[3PT FGM]]</calculatedColumnFormula>
    </tableColumn>
    <tableColumn id="3" xr3:uid="{082C9905-E09A-4A58-85BD-434C1B47C2A6}" name="Total FGA" dataDxfId="1014"/>
    <tableColumn id="4" xr3:uid="{389050BB-8220-489D-B581-CD97122B4812}" name="Overall FG%" dataDxfId="1013" dataCellStyle="Percent">
      <calculatedColumnFormula>LITI_Q1_HALF11319324046[[#This Row],[Total FGM]]/LITI_Q1_HALF11319324046[[#This Row],[Total FGA]]</calculatedColumnFormula>
    </tableColumn>
    <tableColumn id="5" xr3:uid="{227B1FDF-6BDA-42ED-AF99-07E3F6D32CB3}" name="2PT FGM" dataDxfId="1012"/>
    <tableColumn id="6" xr3:uid="{838207B5-5CA8-4D0B-9735-01D59BFF7DB0}" name="2PT FGA" dataDxfId="1011"/>
    <tableColumn id="7" xr3:uid="{95591359-0C05-498B-B0E1-6CF7115CB948}" name="2PT FG%" dataDxfId="1010" dataCellStyle="Percent">
      <calculatedColumnFormula>LITI_Q1_HALF11319324046[[#This Row],[2PT FGM]]/LITI_Q1_HALF11319324046[[#This Row],[2PT FGA]]</calculatedColumnFormula>
    </tableColumn>
    <tableColumn id="8" xr3:uid="{93E1E18F-1120-413D-B033-A8A7925F6D4C}" name="3PT FGM" dataDxfId="1009"/>
    <tableColumn id="9" xr3:uid="{97B29172-734D-48F1-BE24-F2F76A837687}" name="3PT FGA" dataDxfId="1008"/>
    <tableColumn id="10" xr3:uid="{CD038A9D-249A-4B8F-ABF9-C6FF1F91C799}" name="3PT FG%" dataDxfId="1007" dataCellStyle="Percent">
      <calculatedColumnFormula>LITI_Q1_HALF11319324046[[#This Row],[3PT FGM]]/LITI_Q1_HALF11319324046[[#This Row],[3PT FGA]]</calculatedColumnFormula>
    </tableColumn>
    <tableColumn id="11" xr3:uid="{C48797CC-1DA2-45F1-9F74-CBEDE9D280BA}" name="FTM" dataDxfId="1006"/>
    <tableColumn id="12" xr3:uid="{2D44B8DD-E269-48CE-9190-C6ED6F8A2394}" name="FTA" dataDxfId="1005"/>
    <tableColumn id="13" xr3:uid="{3F2DB881-975E-4811-A594-9A38582B9817}" name="FT %" dataDxfId="1004" dataCellStyle="Percent">
      <calculatedColumnFormula>LITI_Q1_HALF11319324046[[#This Row],[FTM]]/LITI_Q1_HALF11319324046[[#This Row],[FTA]]</calculatedColumnFormula>
    </tableColumn>
    <tableColumn id="14" xr3:uid="{1534B4D6-5456-4D00-8659-711FD8A0EA21}" name="TOTAL POINTS" dataDxfId="1003">
      <calculatedColumnFormula>SUM(LITI_Q1_HALF11319324046[[#This Row],[2PT FGM]]*2,LITI_Q1_HALF11319324046[[#This Row],[3PT FGM]]*3,LITI_Q1_HALF11319324046[[#This Row],[FTM]])</calculatedColumnFormula>
    </tableColumn>
    <tableColumn id="15" xr3:uid="{C3B414C9-C8AA-42B5-A7C7-BB37F663E144}" name="Dunks" dataDxfId="1002"/>
    <tableColumn id="16" xr3:uid="{BB056813-EEF6-439E-B317-C7AD0D43E7EB}" name="Def. Boards" dataDxfId="1001"/>
    <tableColumn id="17" xr3:uid="{3A769AB4-42AB-4FB3-BE74-DAA7F9D6B16D}" name="Off. Boards" dataDxfId="1000"/>
    <tableColumn id="18" xr3:uid="{391306F0-01AB-4984-BF89-3B7CD750536E}" name="Total Boards" dataDxfId="999">
      <calculatedColumnFormula>LITI_Q1_HALF11319324046[[#This Row],[Def. Boards]]+LITI_Q1_HALF11319324046[[#This Row],[Off. Boards]]</calculatedColumnFormula>
    </tableColumn>
    <tableColumn id="19" xr3:uid="{10722FEC-8C9C-42F9-94BB-BA526AFF0714}" name="Dimes" dataDxfId="998"/>
    <tableColumn id="20" xr3:uid="{5C3F2FAD-3DFE-41AC-9FCB-1822250D2948}" name="Cookies" dataDxfId="997"/>
    <tableColumn id="21" xr3:uid="{809A572D-944B-49CB-BBEE-6700C4C2D242}" name="Swats" dataDxfId="996"/>
    <tableColumn id="22" xr3:uid="{2D7EC30E-6433-4BF4-9A0D-7DC452BA108C}" name="Turnovers" dataDxfId="995"/>
    <tableColumn id="23" xr3:uid="{1AF17EBC-B006-44C4-AC74-F5BC7E2A8D7A}" name="Dimes:TO" dataDxfId="994">
      <calculatedColumnFormula>LITI_Q1_HALF11319324046[[#This Row],[Dimes]]/LITI_Q1_HALF11319324046[[#This Row],[Turnovers]]</calculatedColumnFormula>
    </tableColumn>
  </tableColumns>
  <tableStyleInfo name="TableStyleMedium15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74EDAFE4-2766-421A-BD91-D1F5AC0F2108}" name="GN_Q1_HALF11420344147" displayName="GN_Q1_HALF11420344147" ref="A51:W57" totalsRowShown="0" headerRowDxfId="993" headerRowBorderDxfId="992" tableBorderDxfId="991">
  <autoFilter ref="A51:W57" xr:uid="{1ECAEA8C-5486-4C6E-851B-FA5E3E846F4A}"/>
  <tableColumns count="23">
    <tableColumn id="1" xr3:uid="{49D9A498-4EAC-43FC-8408-6CE9F24F4ED5}" name="Nokia Snakes" dataDxfId="990"/>
    <tableColumn id="2" xr3:uid="{F698DAE9-6FB0-48DB-A60C-7C42E70FA424}" name="Total FGM" dataDxfId="989">
      <calculatedColumnFormula>GN_Q1_HALF11420344147[[#This Row],[2PT FGM]]+GN_Q1_HALF11420344147[[#This Row],[3PT FGM]]</calculatedColumnFormula>
    </tableColumn>
    <tableColumn id="3" xr3:uid="{24CE2733-0DBA-48ED-9613-63AC16481573}" name="Total FGA" dataDxfId="988">
      <calculatedColumnFormula>GN_Q1_HALF11420344147[[#This Row],[2PT FGA]]+GN_Q1_HALF11420344147[[#This Row],[3PT FGA]]</calculatedColumnFormula>
    </tableColumn>
    <tableColumn id="4" xr3:uid="{98FB090D-97BD-46CA-AAF2-62BEB6DF1B53}" name="Overall FG%" dataDxfId="987" dataCellStyle="Percent">
      <calculatedColumnFormula>GN_Q1_HALF11420344147[[#This Row],[Total FGM]]/GN_Q1_HALF11420344147[[#This Row],[Total FGA]]</calculatedColumnFormula>
    </tableColumn>
    <tableColumn id="5" xr3:uid="{BF205C2A-C4C2-4193-B9D7-45E5677524DE}" name="2PT FGM" dataDxfId="986"/>
    <tableColumn id="6" xr3:uid="{16F13066-02A0-43C7-9848-B4A4F2C4CDCC}" name="2PT FGA" dataDxfId="985"/>
    <tableColumn id="7" xr3:uid="{5DC21F4D-64F3-4AC7-8440-7478EF382E15}" name="2PT FG%" dataDxfId="984" dataCellStyle="Percent">
      <calculatedColumnFormula>GN_Q1_HALF11420344147[[#This Row],[2PT FGM]]/GN_Q1_HALF11420344147[[#This Row],[2PT FGA]]</calculatedColumnFormula>
    </tableColumn>
    <tableColumn id="8" xr3:uid="{9CDE8448-6831-4723-B1BE-A43B7ABEB863}" name="3PT FGM" dataDxfId="983"/>
    <tableColumn id="9" xr3:uid="{50E63428-702B-46BC-AEAE-0DB43B5239EB}" name="3PT FGA" dataDxfId="982"/>
    <tableColumn id="10" xr3:uid="{1B30276D-B852-49CF-99EB-AE6FA4335C51}" name="3PT FG%" dataDxfId="981" dataCellStyle="Percent">
      <calculatedColumnFormula>GN_Q1_HALF11420344147[[#This Row],[3PT FGM]]/GN_Q1_HALF11420344147[[#This Row],[3PT FGA]]</calculatedColumnFormula>
    </tableColumn>
    <tableColumn id="11" xr3:uid="{1C6683B0-5F0D-435A-B474-FFBAAC6FE8AB}" name="FTM" dataDxfId="980"/>
    <tableColumn id="12" xr3:uid="{BE4A0C24-C10F-422B-9F4B-39F48BEDB463}" name="FTA" dataDxfId="979"/>
    <tableColumn id="13" xr3:uid="{7A40DAF0-0F9B-4A8B-8AB1-6B36EBBB85D1}" name="FT %" dataDxfId="978" dataCellStyle="Percent">
      <calculatedColumnFormula>GN_Q1_HALF11420344147[[#This Row],[FTM]]/GN_Q1_HALF11420344147[[#This Row],[FTA]]</calculatedColumnFormula>
    </tableColumn>
    <tableColumn id="14" xr3:uid="{E1FC25A9-BECC-4A78-8B5F-04E41BA9BE97}" name="TOTAL POINTS" dataDxfId="977">
      <calculatedColumnFormula>SUM(GN_Q1_HALF11420344147[[#This Row],[2PT FGM]]*2,GN_Q1_HALF11420344147[[#This Row],[3PT FGM]]*3,GN_Q1_HALF11420344147[[#This Row],[FTM]])</calculatedColumnFormula>
    </tableColumn>
    <tableColumn id="15" xr3:uid="{9471D8C8-2DF8-4586-ADB2-56B46AE531A6}" name="Dunks" dataDxfId="976"/>
    <tableColumn id="16" xr3:uid="{ED6BAD80-CF85-433F-B7A9-9254DB00C04F}" name="Def. Boards" dataDxfId="975"/>
    <tableColumn id="17" xr3:uid="{BFF5B7B6-8451-42E3-9963-15EEF35C47E8}" name="Off. Boards" dataDxfId="974"/>
    <tableColumn id="18" xr3:uid="{A991D438-C8B2-4116-90FE-004EDD6F51EA}" name="Total Boards" dataDxfId="973">
      <calculatedColumnFormula>GN_Q1_HALF11420344147[[#This Row],[Def. Boards]]+GN_Q1_HALF11420344147[[#This Row],[Off. Boards]]</calculatedColumnFormula>
    </tableColumn>
    <tableColumn id="19" xr3:uid="{D352CBC8-537A-4A95-88FD-FE93F5924CC6}" name="Dimes" dataDxfId="972"/>
    <tableColumn id="20" xr3:uid="{8B80DEF2-5E85-480D-AAC5-9CAC08E91A65}" name="Cookies" dataDxfId="971"/>
    <tableColumn id="21" xr3:uid="{82ADAFB9-CE28-48EE-9CA5-F987E6438255}" name="Swats" dataDxfId="970"/>
    <tableColumn id="22" xr3:uid="{90822BA8-797F-4805-8CD1-396C53BEF83B}" name="Turnovers" dataDxfId="969"/>
    <tableColumn id="23" xr3:uid="{AE6C9EE1-B5D3-4550-B380-C622546C6862}" name="Dimes:TO" dataDxfId="968">
      <calculatedColumnFormula>GN_Q1_HALF11420344147[[#This Row],[Dimes]]/GN_Q1_HALF11420344147[[#This Row],[Turnovers]]</calculatedColumnFormula>
    </tableColumn>
  </tableColumns>
  <tableStyleInfo name="TableStyleMedium14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89148E7-7FD6-4AF7-A4F6-B1A732909114}" name="LITI_Q1_HALF1132248" displayName="LITI_Q1_HALF1132248" ref="A5:W11" totalsRowShown="0" headerRowDxfId="967" headerRowBorderDxfId="966" tableBorderDxfId="965">
  <autoFilter ref="A5:W11" xr:uid="{A7CFE0EB-3F70-4FF6-B9BD-526A97D48CEB}"/>
  <tableColumns count="23">
    <tableColumn id="1" xr3:uid="{DC2CAC96-248B-4E61-9E6E-5A146E2AC2D6}" name="Bar Mitzvah Boys" dataDxfId="964"/>
    <tableColumn id="2" xr3:uid="{E67A0656-9BF6-4292-98F7-6A7CA1507A05}" name="Total FGM" dataDxfId="963">
      <calculatedColumnFormula>LITI_Q1_HALF1132248[[#This Row],[2PT FGM]]+LITI_Q1_HALF1132248[[#This Row],[3PT FGM]]</calculatedColumnFormula>
    </tableColumn>
    <tableColumn id="3" xr3:uid="{6F7D3C2B-92E7-4DB8-8731-B1560FE14B4B}" name="Total FGA" dataDxfId="962"/>
    <tableColumn id="4" xr3:uid="{A3159C82-8DFA-4166-BB01-DC6CE530D894}" name="Overall FG%" dataDxfId="961" dataCellStyle="Percent">
      <calculatedColumnFormula>LITI_Q1_HALF1132248[[#This Row],[Total FGM]]/LITI_Q1_HALF1132248[[#This Row],[Total FGA]]</calculatedColumnFormula>
    </tableColumn>
    <tableColumn id="5" xr3:uid="{A4DB7AE6-B0C3-4D3A-B6A7-5439DD805662}" name="2PT FGM" dataDxfId="960"/>
    <tableColumn id="6" xr3:uid="{247E2243-DECF-4B5E-A102-79F9B1BB671D}" name="2PT FGA" dataDxfId="959"/>
    <tableColumn id="7" xr3:uid="{D4D70E59-3D3F-42AA-ACAE-24DC8CAB594D}" name="2PT FG%" dataDxfId="958" dataCellStyle="Percent">
      <calculatedColumnFormula>LITI_Q1_HALF1132248[[#This Row],[2PT FGM]]/LITI_Q1_HALF1132248[[#This Row],[2PT FGA]]</calculatedColumnFormula>
    </tableColumn>
    <tableColumn id="8" xr3:uid="{29E8F3C5-4B21-4889-8719-FD31A0E5DC57}" name="3PT FGM" dataDxfId="957"/>
    <tableColumn id="9" xr3:uid="{6B200947-B480-447F-8CCD-C29B606C42C0}" name="3PT FGA" dataDxfId="956"/>
    <tableColumn id="10" xr3:uid="{86FF8257-9440-471B-9378-F1D00501F3F0}" name="3PT FG%" dataDxfId="955" dataCellStyle="Percent">
      <calculatedColumnFormula>LITI_Q1_HALF1132248[[#This Row],[3PT FGM]]/LITI_Q1_HALF1132248[[#This Row],[3PT FGA]]</calculatedColumnFormula>
    </tableColumn>
    <tableColumn id="11" xr3:uid="{3760656D-9C95-49E2-B224-F4234B757F3E}" name="FTM" dataDxfId="954"/>
    <tableColumn id="12" xr3:uid="{5C31BD29-E429-49D9-9986-DB6309A6186F}" name="FTA" dataDxfId="953"/>
    <tableColumn id="13" xr3:uid="{6FEEAC77-DAAD-4E7D-AB6F-C189340FF8B6}" name="FT %" dataDxfId="952" dataCellStyle="Percent">
      <calculatedColumnFormula>LITI_Q1_HALF1132248[[#This Row],[FTM]]/LITI_Q1_HALF1132248[[#This Row],[FTA]]</calculatedColumnFormula>
    </tableColumn>
    <tableColumn id="14" xr3:uid="{FE57BB04-D661-4C1D-A3D8-69936C16719E}" name="TOTAL POINTS" dataDxfId="951">
      <calculatedColumnFormula>SUM(LITI_Q1_HALF1132248[[#This Row],[2PT FGM]]*2,LITI_Q1_HALF1132248[[#This Row],[3PT FGM]]*3,LITI_Q1_HALF1132248[[#This Row],[FTM]])</calculatedColumnFormula>
    </tableColumn>
    <tableColumn id="15" xr3:uid="{67AF352A-1498-40E3-8D32-CD675E6E78DA}" name="Dunks" dataDxfId="950"/>
    <tableColumn id="16" xr3:uid="{BD060037-EDDD-4275-BFBB-DB764040C9B7}" name="Def. Boards" dataDxfId="949"/>
    <tableColumn id="17" xr3:uid="{EA125D8C-A408-43BC-9D47-E340676A7B56}" name="Off. Boards" dataDxfId="948"/>
    <tableColumn id="18" xr3:uid="{67275069-6AEC-4CA0-AE7F-96D3068B1048}" name="Total Boards" dataDxfId="947">
      <calculatedColumnFormula>LITI_Q1_HALF1132248[[#This Row],[Def. Boards]]+LITI_Q1_HALF1132248[[#This Row],[Off. Boards]]</calculatedColumnFormula>
    </tableColumn>
    <tableColumn id="19" xr3:uid="{5B23E9A9-6C63-4031-97C9-F8EB0E941174}" name="Dimes" dataDxfId="946"/>
    <tableColumn id="20" xr3:uid="{128D6F85-E862-4D37-B1B7-9D71923CC0BA}" name="Cookies" dataDxfId="945"/>
    <tableColumn id="21" xr3:uid="{706A49B4-A524-4C62-92AB-20014B0EFEF3}" name="Swats" dataDxfId="944"/>
    <tableColumn id="22" xr3:uid="{FAC024CB-B0FE-485E-8A85-1B5815AF860C}" name="Turnovers" dataDxfId="943"/>
    <tableColumn id="23" xr3:uid="{B1890CFC-1FFC-4947-B420-C23D5313D43E}" name="Dimes:TO" dataDxfId="942">
      <calculatedColumnFormula>LITI_Q1_HALF1132248[[#This Row],[Dimes]]/LITI_Q1_HALF1132248[[#This Row],[Turnovers]]</calculatedColumnFormula>
    </tableColumn>
  </tableColumns>
  <tableStyleInfo name="TableStyleMedium15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98DA090C-B05A-4119-AE30-89A96CA35C3C}" name="GN_Q1_HALF1142349" displayName="GN_Q1_HALF1142349" ref="A14:W20" totalsRowShown="0" headerRowDxfId="941" headerRowBorderDxfId="940" tableBorderDxfId="939">
  <autoFilter ref="A14:W20" xr:uid="{C5911758-3CAD-40E1-B5D0-0063CB2525B8}"/>
  <tableColumns count="23">
    <tableColumn id="1" xr3:uid="{B00010A1-5AF3-480C-9486-8D397C2C9D10}" name="Nokia Snakes" dataDxfId="938"/>
    <tableColumn id="2" xr3:uid="{48283E63-B27A-43DE-A592-EC314D9CE419}" name="Total FGM" dataDxfId="937">
      <calculatedColumnFormula>GN_Q1_HALF1142349[[#This Row],[2PT FGM]]+GN_Q1_HALF1142349[[#This Row],[3PT FGM]]</calculatedColumnFormula>
    </tableColumn>
    <tableColumn id="3" xr3:uid="{8753436F-4F57-482B-B6CA-96EB552B2D88}" name="Total FGA" dataDxfId="936">
      <calculatedColumnFormula>GN_Q1_HALF1142349[[#This Row],[2PT FGA]]+GN_Q1_HALF1142349[[#This Row],[3PT FGA]]</calculatedColumnFormula>
    </tableColumn>
    <tableColumn id="4" xr3:uid="{B1476962-1347-4802-8B24-A1C9F2CF7963}" name="Overall FG%" dataDxfId="935" dataCellStyle="Percent">
      <calculatedColumnFormula>GN_Q1_HALF1142349[[#This Row],[Total FGM]]/GN_Q1_HALF1142349[[#This Row],[Total FGA]]</calculatedColumnFormula>
    </tableColumn>
    <tableColumn id="5" xr3:uid="{467204C8-555E-4129-914C-DC68B9614056}" name="2PT FGM" dataDxfId="934"/>
    <tableColumn id="6" xr3:uid="{0989A1FB-CBA3-416F-8DF5-E03CF3D38BCC}" name="2PT FGA" dataDxfId="933"/>
    <tableColumn id="7" xr3:uid="{30F73B93-8B50-4F60-A6C8-65C321F0AAC8}" name="2PT FG%" dataDxfId="932" dataCellStyle="Percent">
      <calculatedColumnFormula>GN_Q1_HALF1142349[[#This Row],[2PT FGM]]/GN_Q1_HALF1142349[[#This Row],[2PT FGA]]</calculatedColumnFormula>
    </tableColumn>
    <tableColumn id="8" xr3:uid="{49DA3E81-D328-4627-BB73-52DE6D08E450}" name="3PT FGM" dataDxfId="931"/>
    <tableColumn id="9" xr3:uid="{85E67B2A-22FA-4390-AE88-24DEACA75293}" name="3PT FGA" dataDxfId="930"/>
    <tableColumn id="10" xr3:uid="{1DB065B0-C5B9-43B6-A95E-0A45F2961D22}" name="3PT FG%" dataDxfId="929" dataCellStyle="Percent">
      <calculatedColumnFormula>GN_Q1_HALF1142349[[#This Row],[3PT FGM]]/GN_Q1_HALF1142349[[#This Row],[3PT FGA]]</calculatedColumnFormula>
    </tableColumn>
    <tableColumn id="11" xr3:uid="{9391F6F0-8835-4B12-B054-93EC7631FE72}" name="FTM" dataDxfId="928"/>
    <tableColumn id="12" xr3:uid="{A4674652-5F7E-4BD4-9BFB-8A3804D998DB}" name="FTA" dataDxfId="927"/>
    <tableColumn id="13" xr3:uid="{9AFF98A1-4445-4096-B483-1DA384FAE319}" name="FT %" dataDxfId="926" dataCellStyle="Percent">
      <calculatedColumnFormula>GN_Q1_HALF1142349[[#This Row],[FTM]]/GN_Q1_HALF1142349[[#This Row],[FTA]]</calculatedColumnFormula>
    </tableColumn>
    <tableColumn id="14" xr3:uid="{1D33CB0D-9418-4C89-AB69-94A05554A3CC}" name="TOTAL POINTS" dataDxfId="925">
      <calculatedColumnFormula>SUM(GN_Q1_HALF1142349[[#This Row],[2PT FGM]]*2,GN_Q1_HALF1142349[[#This Row],[3PT FGM]]*3,GN_Q1_HALF1142349[[#This Row],[FTM]])</calculatedColumnFormula>
    </tableColumn>
    <tableColumn id="15" xr3:uid="{AD2CA034-926E-48F9-B1AF-5AE6FA7C1F88}" name="Dunks" dataDxfId="924"/>
    <tableColumn id="16" xr3:uid="{547610D0-183B-47CD-8892-4AC5E79170DE}" name="Def. Boards" dataDxfId="923"/>
    <tableColumn id="17" xr3:uid="{60F91DBE-67EF-4CE8-AD5E-7A5CECDFBC20}" name="Off. Boards" dataDxfId="922"/>
    <tableColumn id="18" xr3:uid="{DF9B3416-3810-415D-BD80-2FB499DB10CE}" name="Total Boards" dataDxfId="921">
      <calculatedColumnFormula>GN_Q1_HALF1142349[[#This Row],[Def. Boards]]+GN_Q1_HALF1142349[[#This Row],[Off. Boards]]</calculatedColumnFormula>
    </tableColumn>
    <tableColumn id="19" xr3:uid="{5E2F59A0-FC92-4C5F-B272-A22908C3D536}" name="Dimes" dataDxfId="920"/>
    <tableColumn id="20" xr3:uid="{32899C4E-1770-4328-B867-E3BBEDCF9B04}" name="Cookies" dataDxfId="919"/>
    <tableColumn id="21" xr3:uid="{2DE7C1B4-AB0A-4048-A07D-DAFB665150DC}" name="Swats" dataDxfId="918"/>
    <tableColumn id="22" xr3:uid="{5A44AA90-EE86-48A3-BA9D-4DD19C23BAD4}" name="Turnovers" dataDxfId="917"/>
    <tableColumn id="23" xr3:uid="{8CE9865C-5BDB-47C9-9965-0BA8A68D4AB2}" name="Dimes:TO" dataDxfId="916">
      <calculatedColumnFormula>GN_Q1_HALF1142349[[#This Row],[Dimes]]/GN_Q1_HALF1142349[[#This Row],[Turnovers]]</calculatedColumnFormula>
    </tableColumn>
  </tableColumns>
  <tableStyleInfo name="TableStyleMedium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FE1B336C-ED28-4379-A85C-BF41C0B37EF9}" name="PO_TEAM_AVG" displayName="PO_TEAM_AVG" ref="A13:X19" totalsRowCount="1" headerRowDxfId="2107" dataDxfId="2106">
  <autoFilter ref="A13:X18" xr:uid="{80C59E8B-9839-45A1-91B7-15E7DE0FAC17}"/>
  <sortState ref="A14:X18">
    <sortCondition ref="A13:A18"/>
  </sortState>
  <tableColumns count="24">
    <tableColumn id="1" xr3:uid="{B8A26579-44F5-4CDB-B8E9-358361AEB673}" name="Team"/>
    <tableColumn id="2" xr3:uid="{38BB31E9-1E49-49C1-B4A6-02A250F16BEE}" name="Games Played" dataDxfId="2105" totalsRowDxfId="2104"/>
    <tableColumn id="3" xr3:uid="{4AFC4478-53E1-4A14-AF9A-A71204D3DB6A}" name="Total FGM" totalsRowFunction="average" dataDxfId="2103" totalsRowDxfId="2102">
      <calculatedColumnFormula>SUM(SUMIF($A$4:$A$8,PO_TEAM_AVG[[#This Row],[Team]],$C$4:$C$8)/B14)</calculatedColumnFormula>
    </tableColumn>
    <tableColumn id="4" xr3:uid="{C932B952-3698-4B4A-B5B3-0545CB27D830}" name="Total FGA" totalsRowFunction="average" dataDxfId="2101" totalsRowDxfId="2100">
      <calculatedColumnFormula>SUM(SUMIF($A$4:$A$8,PO_TEAM_AVG[[#This Row],[Team]],$D$4:$D$8)/B14)</calculatedColumnFormula>
    </tableColumn>
    <tableColumn id="5" xr3:uid="{638E2F35-717C-470C-A85C-7487A03022BA}" name="Overall FG%" totalsRowFunction="custom" dataDxfId="2099" totalsRowDxfId="2098" dataCellStyle="Percent">
      <calculatedColumnFormula>PO_TEAM_AVG[[#This Row],[Total FGM]]/PO_TEAM_AVG[[#This Row],[Total FGA]]</calculatedColumnFormula>
      <totalsRowFormula>PO_TEAM_AVG[[#Totals],[Total FGM]]/PO_TEAM_AVG[[#Totals],[Total FGA]]</totalsRowFormula>
    </tableColumn>
    <tableColumn id="6" xr3:uid="{6A031B4F-497D-4176-A5F7-63405A3C7BEC}" name="2PT FGM" totalsRowFunction="average" dataDxfId="2097" totalsRowDxfId="2096">
      <calculatedColumnFormula>SUM(SUMIF($A$4:$A$8,PO_TEAM_AVG[[#This Row],[Team]],$F$4:$F$8)/B14)</calculatedColumnFormula>
    </tableColumn>
    <tableColumn id="7" xr3:uid="{DA40D632-4CDC-449A-B6EA-E0EDF9D364AA}" name="2PT FGA" totalsRowFunction="average" dataDxfId="2095" totalsRowDxfId="2094">
      <calculatedColumnFormula>SUM(SUMIF($A$4:$A$8,PO_TEAM_AVG[[#This Row],[Team]],$G$4:$G$8)/B14)</calculatedColumnFormula>
    </tableColumn>
    <tableColumn id="8" xr3:uid="{5E6C0149-36E3-43D7-84ED-001261266D77}" name="2PT FG%" totalsRowFunction="custom" dataDxfId="2093" totalsRowDxfId="2092" dataCellStyle="Percent">
      <calculatedColumnFormula>PO_TEAM_AVG[[#This Row],[2PT FGM]]/PO_TEAM_AVG[[#This Row],[2PT FGA]]</calculatedColumnFormula>
      <totalsRowFormula>PO_TEAM_AVG[[#Totals],[2PT FGM]]/PO_TEAM_AVG[[#Totals],[2PT FGA]]</totalsRowFormula>
    </tableColumn>
    <tableColumn id="9" xr3:uid="{10BA39FD-EAA5-4B8D-AF7F-0A6173B95E9E}" name="3PT FGM" totalsRowFunction="average" dataDxfId="2091" totalsRowDxfId="2090">
      <calculatedColumnFormula>SUM(SUMIF($A$4:$A$8,PO_TEAM_AVG[[#This Row],[Team]],$I$4:$I$8)/B14)</calculatedColumnFormula>
    </tableColumn>
    <tableColumn id="10" xr3:uid="{02922DC7-11C7-4396-8F2C-C54EA62CAEDF}" name="3PT FGA" totalsRowFunction="average" dataDxfId="2089" totalsRowDxfId="2088">
      <calculatedColumnFormula>SUM(SUMIF($A$4:$A$8,PO_TEAM_AVG[[#This Row],[Team]],$J$4:$J$8)/B14)</calculatedColumnFormula>
    </tableColumn>
    <tableColumn id="11" xr3:uid="{CE181C80-01DB-4730-A31A-D365BBCE5BDB}" name="3PT FG%" totalsRowFunction="custom" dataDxfId="2087" totalsRowDxfId="2086" dataCellStyle="Percent">
      <calculatedColumnFormula>PO_TEAM_AVG[[#This Row],[3PT FGM]]/PO_TEAM_AVG[[#This Row],[3PT FGA]]</calculatedColumnFormula>
      <totalsRowFormula>PO_TEAM_AVG[[#Totals],[3PT FGM]]/PO_TEAM_AVG[[#Totals],[3PT FGA]]</totalsRowFormula>
    </tableColumn>
    <tableColumn id="12" xr3:uid="{2B5AD251-52E8-42B7-85C7-AE2DB174D125}" name="FTM" totalsRowFunction="average" dataDxfId="2085" totalsRowDxfId="2084">
      <calculatedColumnFormula>SUM(SUMIF($A$4:$A$8,PO_TEAM_AVG[[#This Row],[Team]],$L$4:$L$8)/B14)</calculatedColumnFormula>
    </tableColumn>
    <tableColumn id="13" xr3:uid="{BC66A2DB-603D-4E06-B2BA-BC3426D31444}" name="FTA" totalsRowFunction="average" dataDxfId="2083" totalsRowDxfId="2082">
      <calculatedColumnFormula>SUM(SUMIF($A$4:$A$8,PO_TEAM_AVG[[#This Row],[Team]],$M$4:$M$8)/B14)</calculatedColumnFormula>
    </tableColumn>
    <tableColumn id="14" xr3:uid="{95420120-E81E-41BC-94D7-3CF0230BDAB5}" name="FT %" totalsRowFunction="custom" dataDxfId="2081" totalsRowDxfId="2080" dataCellStyle="Percent">
      <calculatedColumnFormula>PO_TEAM_AVG[[#This Row],[FTM]]/PO_TEAM_AVG[[#This Row],[FTA]]</calculatedColumnFormula>
      <totalsRowFormula>PO_TEAM_AVG[[#Totals],[FTM]]/PO_TEAM_AVG[[#Totals],[FTA]]</totalsRowFormula>
    </tableColumn>
    <tableColumn id="15" xr3:uid="{A28B5850-0249-40D9-8DBD-12A99A2C9D8E}" name="TOTAL POINTS" totalsRowFunction="average" dataDxfId="2079" totalsRowDxfId="2078">
      <calculatedColumnFormula>SUM(SUMIF($A$4:$A$8,PO_TEAM_AVG[[#This Row],[Team]],$O$4:$O$8)/B14)</calculatedColumnFormula>
    </tableColumn>
    <tableColumn id="16" xr3:uid="{35801D4A-57F0-4F82-ADCA-775A90C02F9A}" name="Dunks" totalsRowFunction="average" dataDxfId="2077" totalsRowDxfId="2076">
      <calculatedColumnFormula>SUM(SUMIF($A$4:$A$8,PO_TEAM_AVG[[#This Row],[Team]],$P$4:$P$8)/B14)</calculatedColumnFormula>
    </tableColumn>
    <tableColumn id="17" xr3:uid="{92A15AE4-2F77-403A-819E-E41C065573FD}" name="Def. Boards" totalsRowFunction="average" dataDxfId="2075" totalsRowDxfId="2074">
      <calculatedColumnFormula>SUM(SUMIF($A$4:$A$8,PO_TEAM_AVG[[#This Row],[Team]],$Q$4:$Q$8)/B14)</calculatedColumnFormula>
    </tableColumn>
    <tableColumn id="18" xr3:uid="{87D7BC3C-21E7-424D-9603-5E33B6AB8A0F}" name="Off. Boards" totalsRowFunction="average" dataDxfId="2073" totalsRowDxfId="2072">
      <calculatedColumnFormula>SUM(SUMIF($A$4:$A$8,PO_TEAM_AVG[[#This Row],[Team]],$R$4:$R$8)/B14)</calculatedColumnFormula>
    </tableColumn>
    <tableColumn id="19" xr3:uid="{1EEE7363-B534-4C7B-8E71-D401182D9120}" name="Total Boards" totalsRowFunction="average" dataDxfId="2071" totalsRowDxfId="2070">
      <calculatedColumnFormula>SUM(SUMIF($A$4:$A$8,PO_TEAM_AVG[[#This Row],[Team]],$S$4:$S$8)/B14)</calculatedColumnFormula>
    </tableColumn>
    <tableColumn id="20" xr3:uid="{1769E7A6-6E24-4677-A95B-131C2926FB1B}" name="Dimes" totalsRowFunction="average" dataDxfId="2069" totalsRowDxfId="2068">
      <calculatedColumnFormula>SUM(SUMIF($A$4:$A$8,PO_TEAM_AVG[[#This Row],[Team]],$T$4:$T$8)/B14)</calculatedColumnFormula>
    </tableColumn>
    <tableColumn id="21" xr3:uid="{66517D26-ADDB-4593-B3E8-2649517A18C3}" name="Cookies" totalsRowFunction="average" dataDxfId="2067" totalsRowDxfId="2066">
      <calculatedColumnFormula>SUM(SUMIF($A$4:$A$8,PO_TEAM_AVG[[#This Row],[Team]],$U$4:$U$8)/B14)</calculatedColumnFormula>
    </tableColumn>
    <tableColumn id="22" xr3:uid="{1939BE9A-04FF-4B04-9A9D-E520E8B83C1F}" name="Swats" totalsRowFunction="average" dataDxfId="2065" totalsRowDxfId="2064">
      <calculatedColumnFormula>SUM(SUMIF($A$4:$A$8,PO_TEAM_AVG[[#This Row],[Team]],$V$4:$V$8)/B14)</calculatedColumnFormula>
    </tableColumn>
    <tableColumn id="23" xr3:uid="{56FAE2EA-A91F-410D-BDC3-47A4C1D87FCD}" name="Turnovers" totalsRowFunction="average" dataDxfId="2063" totalsRowDxfId="2062">
      <calculatedColumnFormula>SUM(SUMIF($A$4:$A$8,PO_TEAM_AVG[[#This Row],[Team]],$W$4:$W$8)/B14)</calculatedColumnFormula>
    </tableColumn>
    <tableColumn id="24" xr3:uid="{D5175F42-D262-4F93-B32D-B8CED233DE59}" name="Dimes:TO" totalsRowFunction="average" dataDxfId="2061" totalsRowDxfId="2060">
      <calculatedColumnFormula>PO_TEAM_AVG[[#This Row],[Dimes]]/PO_TEAM_AVG[[#This Row],[Turnovers]]</calculatedColumnFormula>
    </tableColumn>
  </tableColumns>
  <tableStyleInfo name="TableStyleMedium2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C84E5101-258C-4409-B486-BC7D53D193B8}" name="LITI_Q1_HALF113172450" displayName="LITI_Q1_HALF113172450" ref="A24:W30" totalsRowShown="0" headerRowDxfId="915" headerRowBorderDxfId="914" tableBorderDxfId="913">
  <autoFilter ref="A24:W30" xr:uid="{73CA7FF5-6F09-421C-9DDA-5E28B53340FA}"/>
  <tableColumns count="23">
    <tableColumn id="1" xr3:uid="{7DAC9917-E856-4306-8761-68395CA20BF6}" name="Bar Mitzvah Boys" dataDxfId="912"/>
    <tableColumn id="2" xr3:uid="{480D0043-5918-4FF6-9A74-18D005FA4F52}" name="Total FGM" dataDxfId="911">
      <calculatedColumnFormula>LITI_Q1_HALF113172450[[#This Row],[2PT FGM]]+LITI_Q1_HALF113172450[[#This Row],[3PT FGM]]</calculatedColumnFormula>
    </tableColumn>
    <tableColumn id="3" xr3:uid="{EF2F68C9-A5F2-4706-AF48-525A5AC1CF95}" name="Total FGA" dataDxfId="910"/>
    <tableColumn id="4" xr3:uid="{670B08A8-334F-4F32-81AE-78EF20F6D0FD}" name="Overall FG%" dataDxfId="909" dataCellStyle="Percent">
      <calculatedColumnFormula>LITI_Q1_HALF113172450[[#This Row],[Total FGM]]/LITI_Q1_HALF113172450[[#This Row],[Total FGA]]</calculatedColumnFormula>
    </tableColumn>
    <tableColumn id="5" xr3:uid="{A3E99CDD-526C-4B79-8F5E-A5F2D7CCBBC3}" name="2PT FGM" dataDxfId="908"/>
    <tableColumn id="6" xr3:uid="{D7F9C450-8E8D-434B-8BBD-095A0FD40340}" name="2PT FGA" dataDxfId="907"/>
    <tableColumn id="7" xr3:uid="{E432C60D-9945-4BC4-9BF7-E992923732C3}" name="2PT FG%" dataDxfId="906" dataCellStyle="Percent">
      <calculatedColumnFormula>LITI_Q1_HALF113172450[[#This Row],[2PT FGM]]/LITI_Q1_HALF113172450[[#This Row],[2PT FGA]]</calculatedColumnFormula>
    </tableColumn>
    <tableColumn id="8" xr3:uid="{B45EE6F9-4A5B-496B-B82B-000E0905DD11}" name="3PT FGM" dataDxfId="905"/>
    <tableColumn id="9" xr3:uid="{06491283-B08E-4B88-96F8-AB18F0327DA8}" name="3PT FGA" dataDxfId="904"/>
    <tableColumn id="10" xr3:uid="{8A0F894A-D79E-405F-BB6A-87192EB5BFC6}" name="3PT FG%" dataDxfId="903" dataCellStyle="Percent">
      <calculatedColumnFormula>LITI_Q1_HALF113172450[[#This Row],[3PT FGM]]/LITI_Q1_HALF113172450[[#This Row],[3PT FGA]]</calculatedColumnFormula>
    </tableColumn>
    <tableColumn id="11" xr3:uid="{0BDDFB9E-97B7-4649-922E-47CF8B34AA00}" name="FTM" dataDxfId="902"/>
    <tableColumn id="12" xr3:uid="{FE058831-B3EC-4800-8539-349ADFA2265A}" name="FTA" dataDxfId="901"/>
    <tableColumn id="13" xr3:uid="{37ACCF24-8BFB-44A6-A7D5-F2DEE8607DFF}" name="FT %" dataDxfId="900" dataCellStyle="Percent">
      <calculatedColumnFormula>LITI_Q1_HALF113172450[[#This Row],[FTM]]/LITI_Q1_HALF113172450[[#This Row],[FTA]]</calculatedColumnFormula>
    </tableColumn>
    <tableColumn id="14" xr3:uid="{7A651182-C738-4462-990D-72E821CAD07B}" name="TOTAL POINTS" dataDxfId="899">
      <calculatedColumnFormula>SUM(LITI_Q1_HALF113172450[[#This Row],[2PT FGM]]*2,LITI_Q1_HALF113172450[[#This Row],[3PT FGM]]*3,LITI_Q1_HALF113172450[[#This Row],[FTM]])</calculatedColumnFormula>
    </tableColumn>
    <tableColumn id="15" xr3:uid="{7562F98F-6DD9-4F30-9EDF-A7B5B3C3AA06}" name="Dunks" dataDxfId="898"/>
    <tableColumn id="16" xr3:uid="{1B71656C-8041-4762-A835-10E5DE4A6D2B}" name="Def. Boards" dataDxfId="897"/>
    <tableColumn id="17" xr3:uid="{7BA640D3-210F-4CD4-9840-AFAC4B964932}" name="Off. Boards" dataDxfId="896"/>
    <tableColumn id="18" xr3:uid="{C80C30F9-ECC1-4DF1-9DE4-08BB63764B5B}" name="Total Boards" dataDxfId="895">
      <calculatedColumnFormula>LITI_Q1_HALF113172450[[#This Row],[Def. Boards]]+LITI_Q1_HALF113172450[[#This Row],[Off. Boards]]</calculatedColumnFormula>
    </tableColumn>
    <tableColumn id="19" xr3:uid="{E42F72C3-D0DC-4765-8910-AB6B34FA940E}" name="Dimes" dataDxfId="894"/>
    <tableColumn id="20" xr3:uid="{46DC184E-C8DA-44F6-A930-1EE355675839}" name="Cookies" dataDxfId="893"/>
    <tableColumn id="21" xr3:uid="{A8C463BA-F375-4C8A-865E-B39F8C95E28C}" name="Swats" dataDxfId="892"/>
    <tableColumn id="22" xr3:uid="{500D0C65-F55E-4D55-A8F2-8995BA949873}" name="Turnovers" dataDxfId="891"/>
    <tableColumn id="23" xr3:uid="{F6352EEC-F716-4EA3-A9B7-F75714E9735B}" name="Dimes:TO" dataDxfId="890">
      <calculatedColumnFormula>LITI_Q1_HALF113172450[[#This Row],[Dimes]]/LITI_Q1_HALF113172450[[#This Row],[Turnovers]]</calculatedColumnFormula>
    </tableColumn>
  </tableColumns>
  <tableStyleInfo name="TableStyleMedium15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6DCE1F9-63A8-4569-BB05-BCB8ED97098E}" name="GN_Q1_HALF114182551" displayName="GN_Q1_HALF114182551" ref="A33:W39" totalsRowShown="0" headerRowDxfId="889" headerRowBorderDxfId="888" tableBorderDxfId="887">
  <autoFilter ref="A33:W39" xr:uid="{DBC3CB41-1210-4FC0-B332-D9F1AB47E3BC}"/>
  <tableColumns count="23">
    <tableColumn id="1" xr3:uid="{15AE1CEE-C218-4863-81B3-5E2A514E3895}" name="Nokia Snakes" dataDxfId="886"/>
    <tableColumn id="2" xr3:uid="{3FD2FFA3-A1FA-4C81-A6ED-5F7AA7079B96}" name="Total FGM" dataDxfId="885">
      <calculatedColumnFormula>GN_Q1_HALF114182551[[#This Row],[2PT FGM]]+GN_Q1_HALF114182551[[#This Row],[3PT FGM]]</calculatedColumnFormula>
    </tableColumn>
    <tableColumn id="3" xr3:uid="{8BA90AE8-8236-4CE2-A914-055E192F25DB}" name="Total FGA" dataDxfId="884">
      <calculatedColumnFormula>GN_Q1_HALF114182551[[#This Row],[2PT FGA]]+GN_Q1_HALF114182551[[#This Row],[3PT FGA]]</calculatedColumnFormula>
    </tableColumn>
    <tableColumn id="4" xr3:uid="{76C55B6C-956B-4E45-9E72-F2F30DCD01DD}" name="Overall FG%" dataDxfId="883" dataCellStyle="Percent">
      <calculatedColumnFormula>GN_Q1_HALF114182551[[#This Row],[Total FGM]]/GN_Q1_HALF114182551[[#This Row],[Total FGA]]</calculatedColumnFormula>
    </tableColumn>
    <tableColumn id="5" xr3:uid="{92AB8422-A787-4349-8FD6-BC83072C036C}" name="2PT FGM" dataDxfId="882"/>
    <tableColumn id="6" xr3:uid="{46C7DC86-5C78-45D1-A0F3-8A6433F714EA}" name="2PT FGA" dataDxfId="881"/>
    <tableColumn id="7" xr3:uid="{2475EBD0-4296-4627-8B81-540978F4CBD3}" name="2PT FG%" dataDxfId="880" dataCellStyle="Percent">
      <calculatedColumnFormula>GN_Q1_HALF114182551[[#This Row],[2PT FGM]]/GN_Q1_HALF114182551[[#This Row],[2PT FGA]]</calculatedColumnFormula>
    </tableColumn>
    <tableColumn id="8" xr3:uid="{3F132140-51C4-4C44-9EBC-4117F5446F4E}" name="3PT FGM" dataDxfId="879"/>
    <tableColumn id="9" xr3:uid="{199C5B32-994B-4741-8FC5-8B1250EDFCC8}" name="3PT FGA" dataDxfId="878"/>
    <tableColumn id="10" xr3:uid="{5D1BDC6D-37F7-4A98-9A1F-D9C27129BCF8}" name="3PT FG%" dataDxfId="877" dataCellStyle="Percent">
      <calculatedColumnFormula>GN_Q1_HALF114182551[[#This Row],[3PT FGM]]/GN_Q1_HALF114182551[[#This Row],[3PT FGA]]</calculatedColumnFormula>
    </tableColumn>
    <tableColumn id="11" xr3:uid="{8685823E-DF8B-4A27-8D4A-34DAF1EAE393}" name="FTM" dataDxfId="876"/>
    <tableColumn id="12" xr3:uid="{3184797E-3899-4CBF-853C-530A6130E30D}" name="FTA" dataDxfId="875"/>
    <tableColumn id="13" xr3:uid="{1FE7EC05-8C08-427A-AFED-490468C51C53}" name="FT %" dataDxfId="874" dataCellStyle="Percent">
      <calculatedColumnFormula>GN_Q1_HALF114182551[[#This Row],[FTM]]/GN_Q1_HALF114182551[[#This Row],[FTA]]</calculatedColumnFormula>
    </tableColumn>
    <tableColumn id="14" xr3:uid="{2B6B5018-57A6-4E04-A02C-5082D5C33F3E}" name="TOTAL POINTS" dataDxfId="873">
      <calculatedColumnFormula>SUM(GN_Q1_HALF114182551[[#This Row],[2PT FGM]]*2,GN_Q1_HALF114182551[[#This Row],[3PT FGM]]*3,GN_Q1_HALF114182551[[#This Row],[FTM]])</calculatedColumnFormula>
    </tableColumn>
    <tableColumn id="15" xr3:uid="{3C4E0D9A-00FA-4876-A54F-2551D1DF3C70}" name="Dunks" dataDxfId="872"/>
    <tableColumn id="16" xr3:uid="{091CAB05-E478-4C07-93DC-1A21238CE892}" name="Def. Boards" dataDxfId="871"/>
    <tableColumn id="17" xr3:uid="{F88240E6-CAC5-4633-8713-21FAF4D9E02D}" name="Off. Boards" dataDxfId="870"/>
    <tableColumn id="18" xr3:uid="{DFF6EBB7-DA18-4D0E-BE90-EFC213FDD0A4}" name="Total Boards" dataDxfId="869">
      <calculatedColumnFormula>GN_Q1_HALF114182551[[#This Row],[Def. Boards]]+GN_Q1_HALF114182551[[#This Row],[Off. Boards]]</calculatedColumnFormula>
    </tableColumn>
    <tableColumn id="19" xr3:uid="{17E00AC8-0E3E-4472-8867-9B81A6BF29E3}" name="Dimes" dataDxfId="868"/>
    <tableColumn id="20" xr3:uid="{E5D6C301-9746-47E6-B522-C69455605AA4}" name="Cookies" dataDxfId="867"/>
    <tableColumn id="21" xr3:uid="{46718820-9446-4209-BF8F-C5991E562F66}" name="Swats" dataDxfId="866"/>
    <tableColumn id="22" xr3:uid="{E341496F-E91A-4526-BB2E-F7E138539E18}" name="Turnovers" dataDxfId="865"/>
    <tableColumn id="23" xr3:uid="{C3CD6744-7280-469D-9E9C-5326F057A179}" name="Dimes:TO" dataDxfId="864">
      <calculatedColumnFormula>GN_Q1_HALF114182551[[#This Row],[Dimes]]/GN_Q1_HALF114182551[[#This Row],[Turnovers]]</calculatedColumnFormula>
    </tableColumn>
  </tableColumns>
  <tableStyleInfo name="TableStyleMedium14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89AC9A36-3A76-4FC8-8700-2B0292D2EC89}" name="LITI_Q1_HALF113193252" displayName="LITI_Q1_HALF113193252" ref="A42:W48" totalsRowShown="0" headerRowDxfId="863" headerRowBorderDxfId="862" tableBorderDxfId="861">
  <autoFilter ref="A42:W48" xr:uid="{AD65EAF9-4574-475A-B186-FF2952A00881}"/>
  <tableColumns count="23">
    <tableColumn id="1" xr3:uid="{286C2945-2668-40E1-95BC-7C62DF8A62E8}" name="Bar Mitzvah Boys" dataDxfId="860"/>
    <tableColumn id="2" xr3:uid="{8A0042CE-01E1-4E56-8CA6-FC92EC3BBF30}" name="Total FGM" dataDxfId="859">
      <calculatedColumnFormula>LITI_Q1_HALF113193252[[#This Row],[2PT FGM]]+LITI_Q1_HALF113193252[[#This Row],[3PT FGM]]</calculatedColumnFormula>
    </tableColumn>
    <tableColumn id="3" xr3:uid="{96143D7B-8587-4594-82DC-70E2526095B3}" name="Total FGA" dataDxfId="858"/>
    <tableColumn id="4" xr3:uid="{1AB7AC48-743B-48DA-ACE8-9D72DC624073}" name="Overall FG%" dataDxfId="857" dataCellStyle="Percent">
      <calculatedColumnFormula>LITI_Q1_HALF113193252[[#This Row],[Total FGM]]/LITI_Q1_HALF113193252[[#This Row],[Total FGA]]</calculatedColumnFormula>
    </tableColumn>
    <tableColumn id="5" xr3:uid="{0F9996F1-0D51-4BCC-B369-91CAB7E0DBCE}" name="2PT FGM" dataDxfId="856"/>
    <tableColumn id="6" xr3:uid="{18BFE9A7-2E01-4DE4-899B-61BF7F553D19}" name="2PT FGA" dataDxfId="855"/>
    <tableColumn id="7" xr3:uid="{5664EF76-58B5-4B74-B9B1-E0371A7B2458}" name="2PT FG%" dataDxfId="854" dataCellStyle="Percent">
      <calculatedColumnFormula>LITI_Q1_HALF113193252[[#This Row],[2PT FGM]]/LITI_Q1_HALF113193252[[#This Row],[2PT FGA]]</calculatedColumnFormula>
    </tableColumn>
    <tableColumn id="8" xr3:uid="{0E114445-BCAE-48DF-B26E-EAF8736E7341}" name="3PT FGM" dataDxfId="853"/>
    <tableColumn id="9" xr3:uid="{2AC86671-49DC-404F-87B5-56055142FC97}" name="3PT FGA" dataDxfId="852"/>
    <tableColumn id="10" xr3:uid="{7E690971-3D11-40A0-8CC7-191042BF98A0}" name="3PT FG%" dataDxfId="851" dataCellStyle="Percent">
      <calculatedColumnFormula>LITI_Q1_HALF113193252[[#This Row],[3PT FGM]]/LITI_Q1_HALF113193252[[#This Row],[3PT FGA]]</calculatedColumnFormula>
    </tableColumn>
    <tableColumn id="11" xr3:uid="{8D8DF055-4C08-4014-9CFB-9173EFED2322}" name="FTM" dataDxfId="850"/>
    <tableColumn id="12" xr3:uid="{5D6368AA-BF5F-4E31-A5B0-2932E270F648}" name="FTA" dataDxfId="849"/>
    <tableColumn id="13" xr3:uid="{F8FE3065-1744-47D9-895D-577CABA01F6C}" name="FT %" dataDxfId="848" dataCellStyle="Percent">
      <calculatedColumnFormula>LITI_Q1_HALF113193252[[#This Row],[FTM]]/LITI_Q1_HALF113193252[[#This Row],[FTA]]</calculatedColumnFormula>
    </tableColumn>
    <tableColumn id="14" xr3:uid="{BC995D7F-489C-4371-AEE7-06414A4EBF71}" name="TOTAL POINTS" dataDxfId="847">
      <calculatedColumnFormula>SUM(LITI_Q1_HALF113193252[[#This Row],[2PT FGM]]*2,LITI_Q1_HALF113193252[[#This Row],[3PT FGM]]*3,LITI_Q1_HALF113193252[[#This Row],[FTM]])</calculatedColumnFormula>
    </tableColumn>
    <tableColumn id="15" xr3:uid="{7FCBA0FB-889F-4DA1-9BB6-E8A87D192FF9}" name="Dunks" dataDxfId="846"/>
    <tableColumn id="16" xr3:uid="{62F5AB0A-A9A0-418B-82D7-4BD0BF35D0CC}" name="Def. Boards" dataDxfId="845"/>
    <tableColumn id="17" xr3:uid="{FC7C11C7-63C1-4E94-B408-7F12382F81F9}" name="Off. Boards" dataDxfId="844"/>
    <tableColumn id="18" xr3:uid="{9AD10A10-D056-438F-8AF8-92548A266899}" name="Total Boards" dataDxfId="843">
      <calculatedColumnFormula>LITI_Q1_HALF113193252[[#This Row],[Def. Boards]]+LITI_Q1_HALF113193252[[#This Row],[Off. Boards]]</calculatedColumnFormula>
    </tableColumn>
    <tableColumn id="19" xr3:uid="{73C70492-2C26-4E0D-B68A-CFD2F5E366C8}" name="Dimes" dataDxfId="842"/>
    <tableColumn id="20" xr3:uid="{13C193DB-5628-4F16-A4A5-4FB4EC8A03EC}" name="Cookies" dataDxfId="841"/>
    <tableColumn id="21" xr3:uid="{854B5379-EB04-4FCA-9104-A280E8A18152}" name="Swats" dataDxfId="840"/>
    <tableColumn id="22" xr3:uid="{6F48325D-CD99-4071-92BC-7B4FC783CD3F}" name="Turnovers" dataDxfId="839"/>
    <tableColumn id="23" xr3:uid="{5E8130BC-1F02-410F-BC9E-634A052B7991}" name="Dimes:TO" dataDxfId="838">
      <calculatedColumnFormula>LITI_Q1_HALF113193252[[#This Row],[Dimes]]/LITI_Q1_HALF113193252[[#This Row],[Turnovers]]</calculatedColumnFormula>
    </tableColumn>
  </tableColumns>
  <tableStyleInfo name="TableStyleMedium15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906A67C5-83A4-4DD9-865C-AD9B49D6AC9B}" name="GN_Q1_HALF114203453" displayName="GN_Q1_HALF114203453" ref="A51:W57" totalsRowShown="0" headerRowDxfId="837" headerRowBorderDxfId="836" tableBorderDxfId="835">
  <autoFilter ref="A51:W57" xr:uid="{D8781F42-C102-45A8-9EF2-EAE4F1D48416}"/>
  <tableColumns count="23">
    <tableColumn id="1" xr3:uid="{5FF7E802-2147-455F-BAF4-E869C1F64B47}" name="Nokia Snakes" dataDxfId="834"/>
    <tableColumn id="2" xr3:uid="{55B7DEB2-307B-4A84-AF44-F59916E47CA9}" name="Total FGM" dataDxfId="833">
      <calculatedColumnFormula>GN_Q1_HALF114203453[[#This Row],[2PT FGM]]+GN_Q1_HALF114203453[[#This Row],[3PT FGM]]</calculatedColumnFormula>
    </tableColumn>
    <tableColumn id="3" xr3:uid="{DF9645CB-1640-4F2A-BCB9-BC3639079DC5}" name="Total FGA" dataDxfId="832">
      <calculatedColumnFormula>GN_Q1_HALF114203453[[#This Row],[2PT FGA]]+GN_Q1_HALF114203453[[#This Row],[3PT FGA]]</calculatedColumnFormula>
    </tableColumn>
    <tableColumn id="4" xr3:uid="{AD7A6CD2-21E4-4611-B046-E47CD45D333F}" name="Overall FG%" dataDxfId="831" dataCellStyle="Percent">
      <calculatedColumnFormula>GN_Q1_HALF114203453[[#This Row],[Total FGM]]/GN_Q1_HALF114203453[[#This Row],[Total FGA]]</calculatedColumnFormula>
    </tableColumn>
    <tableColumn id="5" xr3:uid="{B915E3E3-6CDC-4EA9-AE33-A3EE69D325F0}" name="2PT FGM" dataDxfId="830"/>
    <tableColumn id="6" xr3:uid="{13B8FBE3-EB59-4401-8111-D804962AC4F2}" name="2PT FGA" dataDxfId="829"/>
    <tableColumn id="7" xr3:uid="{BA0E7C8E-970E-4503-81D4-6BB347218233}" name="2PT FG%" dataDxfId="828" dataCellStyle="Percent">
      <calculatedColumnFormula>GN_Q1_HALF114203453[[#This Row],[2PT FGM]]/GN_Q1_HALF114203453[[#This Row],[2PT FGA]]</calculatedColumnFormula>
    </tableColumn>
    <tableColumn id="8" xr3:uid="{359AF100-52E5-4394-8AF8-460631D75E98}" name="3PT FGM" dataDxfId="827"/>
    <tableColumn id="9" xr3:uid="{F004E4B6-DCE3-4363-AD11-ADBDD264CB5A}" name="3PT FGA" dataDxfId="826"/>
    <tableColumn id="10" xr3:uid="{739E4869-0DF7-4723-B68F-7447D8F9EE5C}" name="3PT FG%" dataDxfId="825" dataCellStyle="Percent">
      <calculatedColumnFormula>GN_Q1_HALF114203453[[#This Row],[3PT FGM]]/GN_Q1_HALF114203453[[#This Row],[3PT FGA]]</calculatedColumnFormula>
    </tableColumn>
    <tableColumn id="11" xr3:uid="{B1619FB1-C813-4996-A73A-A864BAE8C50B}" name="FTM" dataDxfId="824"/>
    <tableColumn id="12" xr3:uid="{50241CCA-39F6-43FD-B365-387A0F2DD728}" name="FTA" dataDxfId="823"/>
    <tableColumn id="13" xr3:uid="{83DA2D79-50CC-498E-A39B-2B5234A945BC}" name="FT %" dataDxfId="822" dataCellStyle="Percent">
      <calculatedColumnFormula>GN_Q1_HALF114203453[[#This Row],[FTM]]/GN_Q1_HALF114203453[[#This Row],[FTA]]</calculatedColumnFormula>
    </tableColumn>
    <tableColumn id="14" xr3:uid="{8FB00092-ACA6-4A7A-A30E-25421970651B}" name="TOTAL POINTS" dataDxfId="821">
      <calculatedColumnFormula>SUM(GN_Q1_HALF114203453[[#This Row],[2PT FGM]]*2,GN_Q1_HALF114203453[[#This Row],[3PT FGM]]*3,GN_Q1_HALF114203453[[#This Row],[FTM]])</calculatedColumnFormula>
    </tableColumn>
    <tableColumn id="15" xr3:uid="{66F73165-3E87-41D7-AF6A-2E090B87841C}" name="Dunks" dataDxfId="820"/>
    <tableColumn id="16" xr3:uid="{4A6000F5-8575-4D41-81A7-69173528ACDD}" name="Def. Boards" dataDxfId="819"/>
    <tableColumn id="17" xr3:uid="{B07B841D-6CB9-4821-8132-37D72F39369B}" name="Off. Boards" dataDxfId="818"/>
    <tableColumn id="18" xr3:uid="{0C2C0227-7F08-413F-8106-D867E4F256DA}" name="Total Boards" dataDxfId="817">
      <calculatedColumnFormula>GN_Q1_HALF114203453[[#This Row],[Def. Boards]]+GN_Q1_HALF114203453[[#This Row],[Off. Boards]]</calculatedColumnFormula>
    </tableColumn>
    <tableColumn id="19" xr3:uid="{27A87751-2CFB-4739-89B4-3610779D2ABE}" name="Dimes" dataDxfId="816"/>
    <tableColumn id="20" xr3:uid="{9DAEE049-77E7-4DCF-8622-1B7535B1EF34}" name="Cookies" dataDxfId="815"/>
    <tableColumn id="21" xr3:uid="{E007C0AB-DC03-4D23-9D60-96767BE996A9}" name="Swats" dataDxfId="814"/>
    <tableColumn id="22" xr3:uid="{55353ACE-E39E-4D6E-833E-64D972CED9CF}" name="Turnovers" dataDxfId="813"/>
    <tableColumn id="23" xr3:uid="{BEF92666-66E3-43AF-B984-20615886DB08}" name="Dimes:TO" dataDxfId="812">
      <calculatedColumnFormula>GN_Q1_HALF114203453[[#This Row],[Dimes]]/GN_Q1_HALF114203453[[#This Row],[Turnovers]]</calculatedColumnFormula>
    </tableColumn>
  </tableColumns>
  <tableStyleInfo name="TableStyleMedium14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F3CCF8FA-92F3-4D9B-AEDD-CC3DC92E1DC0}" name="Overall_TOT" displayName="Overall_TOT" ref="A3:Z34" totalsRowShown="0" headerRowDxfId="811">
  <autoFilter ref="A3:Z34" xr:uid="{990336D7-3C7C-4521-A812-CB5EBC1AF5E6}"/>
  <sortState ref="A4:Z34">
    <sortCondition ref="C3:C34"/>
  </sortState>
  <tableColumns count="26">
    <tableColumn id="1" xr3:uid="{FC6D3A9D-54A7-4BF8-B402-36262AAA4394}" name="Name" dataDxfId="810"/>
    <tableColumn id="2" xr3:uid="{FEFCF371-2CB8-45E3-ABDD-D99D59CBCB84}" name="Baller"/>
    <tableColumn id="3" xr3:uid="{12937460-5E14-4E3C-BD99-6671236437E0}" name="Team"/>
    <tableColumn id="26" xr3:uid="{A534CC3E-96A2-439A-BFE1-15145C034858}" name="Games Played" dataDxfId="809">
      <calculatedColumnFormula>SUMIF(RR_TOT[Baller],Overall_TOT[[#This Row],[Baller]],RR_TOT[Games Played])+SUMIF(PO_TOT[Baller],Overall_TOT[[#This Row],[Baller]],PO_TOT[Games Played])</calculatedColumnFormula>
    </tableColumn>
    <tableColumn id="4" xr3:uid="{0A7509AE-0B7D-44C0-8FBD-7912564CEB98}" name="Total FGM" dataDxfId="808">
      <calculatedColumnFormula>SUMIF(RR_TOT[Baller],Overall_TOT[[#This Row],[Baller]],RR_TOT[Total FGM])+SUMIF(PO_TOT[Baller],Overall_TOT[[#This Row],[Baller]],PO_TOT[Total FGM])</calculatedColumnFormula>
    </tableColumn>
    <tableColumn id="5" xr3:uid="{4E994767-E36E-4FF5-8336-AC574DC6D350}" name="Total FGA" dataDxfId="807">
      <calculatedColumnFormula>SUMIF(RR_TOT[Baller],Overall_TOT[[#This Row],[Baller]],RR_TOT[Total FGA])+SUMIF(PO_TOT[Baller],Overall_TOT[[#This Row],[Baller]],PO_TOT[Total FGA])</calculatedColumnFormula>
    </tableColumn>
    <tableColumn id="6" xr3:uid="{F153DA64-F766-4217-BF2E-064812561C38}" name="Overall FG%" dataDxfId="806" dataCellStyle="Percent">
      <calculatedColumnFormula>Overall_TOT[[#This Row],[Total FGM]]/Overall_TOT[[#This Row],[Total FGA]]</calculatedColumnFormula>
    </tableColumn>
    <tableColumn id="7" xr3:uid="{1FC240F6-0811-46E0-A30A-78B37F3F1CA1}" name="2PT FGM" dataDxfId="805">
      <calculatedColumnFormula>SUMIF(RR_TOT[Baller],Overall_TOT[[#This Row],[Baller]],RR_TOT[2PT FGM])+SUMIF(PO_TOT[Baller],Overall_TOT[[#This Row],[Baller]],PO_TOT[2PT FGM])</calculatedColumnFormula>
    </tableColumn>
    <tableColumn id="8" xr3:uid="{71A750E2-4A3A-417B-AA4E-9F98EC5360E3}" name="2PT FGA" dataDxfId="804">
      <calculatedColumnFormula>SUMIF(RR_TOT[Baller],Overall_TOT[[#This Row],[Baller]],RR_TOT[2PT FGA])+SUMIF(PO_TOT[Baller],Overall_TOT[[#This Row],[Baller]],PO_TOT[2PT FGA])</calculatedColumnFormula>
    </tableColumn>
    <tableColumn id="9" xr3:uid="{6848FF93-D9B1-4B5D-9DAE-C2AB5BF0DCED}" name="2PT FG%" dataDxfId="803" dataCellStyle="Percent">
      <calculatedColumnFormula>Overall_TOT[[#This Row],[2PT FGM]]/Overall_TOT[[#This Row],[2PT FGA]]</calculatedColumnFormula>
    </tableColumn>
    <tableColumn id="10" xr3:uid="{1156BE93-6AB5-4573-9F64-6EF647927254}" name="3PT FGM" dataDxfId="802">
      <calculatedColumnFormula>SUMIF(RR_TOT[Baller],Overall_TOT[[#This Row],[Baller]],RR_TOT[3PT FGM])+SUMIF(PO_TOT[Baller],Overall_TOT[[#This Row],[Baller]],PO_TOT[3PT FGM])</calculatedColumnFormula>
    </tableColumn>
    <tableColumn id="11" xr3:uid="{E4E80AA0-A422-49B2-B440-A3EFC9AFFE25}" name="3PT FGA" dataDxfId="801">
      <calculatedColumnFormula>SUMIF(RR_TOT[Baller],Overall_TOT[[#This Row],[Baller]],RR_TOT[3PT FGA])+SUMIF(PO_TOT[Baller],Overall_TOT[[#This Row],[Baller]],PO_TOT[3PT FGA])</calculatedColumnFormula>
    </tableColumn>
    <tableColumn id="12" xr3:uid="{51CABEC0-3ED5-45C7-8D6C-EEC9E5DC0633}" name="3PT FG%" dataDxfId="800" dataCellStyle="Percent">
      <calculatedColumnFormula>Overall_TOT[[#This Row],[3PT FGM]]/Overall_TOT[[#This Row],[3PT FGA]]</calculatedColumnFormula>
    </tableColumn>
    <tableColumn id="13" xr3:uid="{42258EAE-108A-480D-8511-BE9575B1825A}" name="FTM" dataDxfId="799">
      <calculatedColumnFormula>SUMIF(RR_TOT[Baller],Overall_TOT[[#This Row],[Baller]],RR_TOT[FTM])+SUMIF(PO_TOT[Baller],Overall_TOT[[#This Row],[Baller]],PO_TOT[FTM])</calculatedColumnFormula>
    </tableColumn>
    <tableColumn id="14" xr3:uid="{2F0A1932-BA22-4FA6-84A3-C60D00FF7D4C}" name="FTA" dataDxfId="798">
      <calculatedColumnFormula>SUMIF(RR_TOT[Baller],Overall_TOT[[#This Row],[Baller]],RR_TOT[FTA])+SUMIF(PO_TOT[Baller],Overall_TOT[[#This Row],[Baller]],PO_TOT[FTA])</calculatedColumnFormula>
    </tableColumn>
    <tableColumn id="15" xr3:uid="{0E1F253E-CDA2-4886-96B3-6B555DECA4F2}" name="FT %" dataDxfId="797" dataCellStyle="Percent">
      <calculatedColumnFormula>Overall_TOT[[#This Row],[FTM]]/Overall_TOT[[#This Row],[FTA]]</calculatedColumnFormula>
    </tableColumn>
    <tableColumn id="16" xr3:uid="{BD87BBDF-618A-4D6A-B1C4-FF1A69925004}" name="TOTAL POINTS" dataDxfId="796">
      <calculatedColumnFormula>SUMIF(RR_TOT[Baller],Overall_TOT[[#This Row],[Baller]],RR_TOT[TOTAL POINTS])+SUMIF(PO_TOT[Baller],Overall_TOT[[#This Row],[Baller]],PO_TOT[TOTAL POINTS])</calculatedColumnFormula>
    </tableColumn>
    <tableColumn id="17" xr3:uid="{DB506AB7-7D43-4012-9365-5ED78AFBE9C2}" name="Dunks" dataDxfId="795">
      <calculatedColumnFormula>SUMIF(RR_TOT[Baller],Overall_TOT[[#This Row],[Baller]],RR_TOT[Dunks])+SUMIF(PO_TOT[Baller],Overall_TOT[[#This Row],[Baller]],PO_TOT[Dunks])</calculatedColumnFormula>
    </tableColumn>
    <tableColumn id="18" xr3:uid="{C12EF165-2F41-4C1F-A3BC-3FBA58490AC9}" name="Def. Boards" dataDxfId="794">
      <calculatedColumnFormula>SUMIF(RR_TOT[Baller],Overall_TOT[[#This Row],[Baller]],RR_TOT[Def. Boards])+SUMIF(PO_TOT[Baller],Overall_TOT[[#This Row],[Baller]],PO_TOT[Def. Boards])</calculatedColumnFormula>
    </tableColumn>
    <tableColumn id="19" xr3:uid="{1A976F97-F91E-4DEA-B370-7672B329924A}" name="Off. Boards" dataDxfId="793">
      <calculatedColumnFormula>SUMIF(RR_TOT[Baller],Overall_TOT[[#This Row],[Baller]],RR_TOT[Off. Boards])+SUMIF(PO_TOT[Baller],Overall_TOT[[#This Row],[Baller]],PO_TOT[Off. Boards])</calculatedColumnFormula>
    </tableColumn>
    <tableColumn id="20" xr3:uid="{06088312-EF3F-492B-AD1F-BA06BA42D6A7}" name="Total Boards" dataDxfId="792">
      <calculatedColumnFormula>SUMIF(RR_TOT[Baller],Overall_TOT[[#This Row],[Baller]],RR_TOT[Total Boards])+SUMIF(PO_TOT[Baller],Overall_TOT[[#This Row],[Baller]],PO_TOT[Total Boards])</calculatedColumnFormula>
    </tableColumn>
    <tableColumn id="21" xr3:uid="{329C136F-6DA7-4375-B3E4-ECC1FA5ACCE8}" name="Dimes" dataDxfId="791">
      <calculatedColumnFormula>SUMIF(RR_TOT[Baller],Overall_TOT[[#This Row],[Baller]],RR_TOT[Dimes])+SUMIF(PO_TOT[Baller],Overall_TOT[[#This Row],[Baller]],PO_TOT[Dimes])</calculatedColumnFormula>
    </tableColumn>
    <tableColumn id="22" xr3:uid="{E299BBF6-B6F1-4AC7-9838-5BC470EBD765}" name="Cookies" dataDxfId="790">
      <calculatedColumnFormula>SUMIF(RR_TOT[Baller],Overall_TOT[[#This Row],[Baller]],RR_TOT[Cookies])+SUMIF(PO_TOT[Baller],Overall_TOT[[#This Row],[Baller]],PO_TOT[Cookies])</calculatedColumnFormula>
    </tableColumn>
    <tableColumn id="23" xr3:uid="{9FA0E94B-D009-4F30-BA3D-5F7A48AB3127}" name="Swats" dataDxfId="789">
      <calculatedColumnFormula>SUMIF(RR_TOT[Baller],Overall_TOT[[#This Row],[Baller]],RR_TOT[Swats])+SUMIF(PO_TOT[Baller],Overall_TOT[[#This Row],[Baller]],PO_TOT[Swats])</calculatedColumnFormula>
    </tableColumn>
    <tableColumn id="24" xr3:uid="{CD336695-5FF7-4ABA-A3DE-3C6CF49DCF2E}" name="Turnovers" dataDxfId="788">
      <calculatedColumnFormula>SUMIF(RR_TOT[Baller],Overall_TOT[[#This Row],[Baller]],RR_TOT[Turnovers])+SUMIF(PO_TOT[Baller],Overall_TOT[[#This Row],[Baller]],PO_TOT[Turnovers])</calculatedColumnFormula>
    </tableColumn>
    <tableColumn id="25" xr3:uid="{B7F7B563-104A-4579-9D1B-1F2C721AB303}" name="Dimes:TO" dataDxfId="787" dataCellStyle="Percent">
      <calculatedColumnFormula>Overall_TOT[[#This Row],[Dimes]]/Overall_TOT[[#This Row],[Turnovers]]</calculatedColumnFormula>
    </tableColumn>
  </tableColumns>
  <tableStyleInfo name="TableStyleMedium2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E950D1F3-0CA0-403B-B592-37C1747FAB0E}" name="Overall_AVG" displayName="Overall_AVG" ref="A37:Z68" totalsRowShown="0" headerRowDxfId="786">
  <autoFilter ref="A37:Z68" xr:uid="{3A270A04-CDCF-40E9-9C1A-592BC97313AD}"/>
  <sortState ref="A38:Z68">
    <sortCondition ref="C37:C68"/>
  </sortState>
  <tableColumns count="26">
    <tableColumn id="1" xr3:uid="{B7C8DBA4-DEA7-42C4-92BC-2466F419597B}" name="Name" dataDxfId="785"/>
    <tableColumn id="2" xr3:uid="{39712EAA-B9AC-4CE2-90D3-1A960F532E56}" name="Baller"/>
    <tableColumn id="3" xr3:uid="{A7AEA660-4067-4EB5-9269-B70CD8B76E26}" name="Team"/>
    <tableColumn id="26" xr3:uid="{FE20DF43-819D-4EC7-B7C2-A6730A0D1A63}" name="Games Played" dataDxfId="784">
      <calculatedColumnFormula>SUMIF($B$4:$B$34,B38,$D$4:$D$34)</calculatedColumnFormula>
    </tableColumn>
    <tableColumn id="4" xr3:uid="{98B23694-9BDB-4C0C-A0C5-80A29FAD492A}" name="Total FGM" dataDxfId="783">
      <calculatedColumnFormula>SUM((SUMIF($B$4:$B$34,Overall_AVG[[#This Row],[Baller]],$E$4:$E$34))/Overall_AVG[[#This Row],[Games Played]])</calculatedColumnFormula>
    </tableColumn>
    <tableColumn id="5" xr3:uid="{155ABC30-C977-4B77-AD93-D02048CD50BD}" name="Total FGA" dataDxfId="782">
      <calculatedColumnFormula>SUM((SUMIF($B$4:$B$34,Overall_AVG[[#This Row],[Baller]],$F$4:$F$34))/Overall_AVG[[#This Row],[Games Played]])</calculatedColumnFormula>
    </tableColumn>
    <tableColumn id="6" xr3:uid="{5F532D43-FC5D-4F3F-8E85-E59EEEC0FA4F}" name="Overall FG%" dataDxfId="781" dataCellStyle="Percent">
      <calculatedColumnFormula>Overall_AVG[[#This Row],[Total FGM]]/Overall_AVG[[#This Row],[Total FGA]]</calculatedColumnFormula>
    </tableColumn>
    <tableColumn id="7" xr3:uid="{CEE7BF24-56A8-444E-800B-91257DCF35CC}" name="2PT FGM" dataDxfId="780">
      <calculatedColumnFormula>SUM((SUMIF($B$4:$B$34,Overall_AVG[[#This Row],[Baller]],$H$4:$H$34))/Overall_AVG[[#This Row],[Games Played]])</calculatedColumnFormula>
    </tableColumn>
    <tableColumn id="8" xr3:uid="{115B5CC1-2345-4ED0-9C4B-513CABC2BECF}" name="2PT FGA" dataDxfId="779">
      <calculatedColumnFormula>SUM((SUMIF($B$4:$B$34,Overall_AVG[[#This Row],[Baller]],$I$4:$I$34))/Overall_AVG[[#This Row],[Games Played]])</calculatedColumnFormula>
    </tableColumn>
    <tableColumn id="9" xr3:uid="{83C2747D-DE41-4ACC-90FE-BF31EFEEA301}" name="2PT FG%" dataDxfId="778" dataCellStyle="Percent">
      <calculatedColumnFormula>Overall_AVG[[#This Row],[2PT FGM]]/Overall_AVG[[#This Row],[2PT FGA]]</calculatedColumnFormula>
    </tableColumn>
    <tableColumn id="10" xr3:uid="{BFC1CA23-0E04-41B0-8BD5-BECE57E94F48}" name="3PT FGM" dataDxfId="777">
      <calculatedColumnFormula>SUM((SUMIF($B$4:$B$34,Overall_AVG[[#This Row],[Baller]],$K$4:$K$34))/Overall_AVG[[#This Row],[Games Played]])</calculatedColumnFormula>
    </tableColumn>
    <tableColumn id="11" xr3:uid="{F8EA07F1-87AD-4456-BD73-A92E1DDDC05F}" name="3PT FGA" dataDxfId="776">
      <calculatedColumnFormula>SUM((SUMIF($B$4:$B$34,Overall_AVG[[#This Row],[Baller]],$L$4:$L$34))/Overall_AVG[[#This Row],[Games Played]])</calculatedColumnFormula>
    </tableColumn>
    <tableColumn id="12" xr3:uid="{E69F6A92-C316-46BF-997D-62E98D25F224}" name="3PT FG%" dataDxfId="775" dataCellStyle="Percent">
      <calculatedColumnFormula>Overall_AVG[[#This Row],[3PT FGM]]/Overall_AVG[[#This Row],[3PT FGA]]</calculatedColumnFormula>
    </tableColumn>
    <tableColumn id="13" xr3:uid="{CDA92686-4EFE-4ECD-A165-26B4D62DBECD}" name="FTM" dataDxfId="774">
      <calculatedColumnFormula>SUM((SUMIF($B$4:$B$34,Overall_AVG[[#This Row],[Baller]],$N$4:$N$34))/Overall_AVG[[#This Row],[Games Played]])</calculatedColumnFormula>
    </tableColumn>
    <tableColumn id="14" xr3:uid="{D20ACF19-D4C1-415B-AE53-8C6246D6F9BA}" name="FTA" dataDxfId="773">
      <calculatedColumnFormula>SUM((SUMIF($B$4:$B$34,Overall_AVG[[#This Row],[Baller]],$O$4:$O$34))/Overall_AVG[[#This Row],[Games Played]])</calculatedColumnFormula>
    </tableColumn>
    <tableColumn id="15" xr3:uid="{C3403790-051D-47A9-B0E5-53DC87C91767}" name="FT %" dataDxfId="772" dataCellStyle="Percent">
      <calculatedColumnFormula>Overall_AVG[[#This Row],[FTM]]/Overall_AVG[[#This Row],[FTA]]</calculatedColumnFormula>
    </tableColumn>
    <tableColumn id="16" xr3:uid="{A21F8E61-CCD2-402D-A911-1FA3F75F0D4E}" name="AVERAGE POINTS" dataDxfId="771">
      <calculatedColumnFormula>SUM((SUMIF($B$4:$B$34,Overall_AVG[[#This Row],[Baller]],$Q$4:$Q$34))/Overall_AVG[[#This Row],[Games Played]])</calculatedColumnFormula>
    </tableColumn>
    <tableColumn id="17" xr3:uid="{80B448F8-6E20-4AE5-8FB9-6C84EE80365D}" name="Dunks" dataDxfId="770">
      <calculatedColumnFormula>SUM((SUMIF($B$4:$B$34,Overall_AVG[[#This Row],[Baller]],$R$4:$R$34))/Overall_AVG[[#This Row],[Games Played]])</calculatedColumnFormula>
    </tableColumn>
    <tableColumn id="18" xr3:uid="{158F7D0E-B6B3-4B6D-AC65-2617DBF995D1}" name="Def. Boards" dataDxfId="769">
      <calculatedColumnFormula>SUM((SUMIF($B$4:$B$34,Overall_AVG[[#This Row],[Baller]],$S$4:$S$34))/Overall_AVG[[#This Row],[Games Played]])</calculatedColumnFormula>
    </tableColumn>
    <tableColumn id="19" xr3:uid="{6AD40AA1-4C77-4D36-B4BD-FEFD7873DFA3}" name="Off. Boards" dataDxfId="768">
      <calculatedColumnFormula>SUM((SUMIF($B$4:$B$34,Overall_AVG[[#This Row],[Baller]],$T$4:$T$34))/Overall_AVG[[#This Row],[Games Played]])</calculatedColumnFormula>
    </tableColumn>
    <tableColumn id="20" xr3:uid="{72C7D619-9932-40A8-B026-015AEC95B338}" name="Total Boards" dataDxfId="767">
      <calculatedColumnFormula>SUM((SUMIF($B$4:$B$34,Overall_AVG[[#This Row],[Baller]],$U$4:$U$34))/Overall_AVG[[#This Row],[Games Played]])</calculatedColumnFormula>
    </tableColumn>
    <tableColumn id="21" xr3:uid="{7FE2C166-7CDA-403F-B1E9-57648EC90DBF}" name="Dimes" dataDxfId="766">
      <calculatedColumnFormula>SUM((SUMIF($B$4:$B$34,Overall_AVG[[#This Row],[Baller]],$V$4:$V$34))/Overall_AVG[[#This Row],[Games Played]])</calculatedColumnFormula>
    </tableColumn>
    <tableColumn id="22" xr3:uid="{BBFDD356-D4AA-4474-B423-24A4043A5AC4}" name="Cookies" dataDxfId="765">
      <calculatedColumnFormula>SUM((SUMIF($B$4:$B$34,Overall_AVG[[#This Row],[Baller]],$W$4:$W$34))/Overall_AVG[[#This Row],[Games Played]])</calculatedColumnFormula>
    </tableColumn>
    <tableColumn id="23" xr3:uid="{7110F79E-44D9-4424-85BC-3B0514B34FE2}" name="Swats" dataDxfId="764">
      <calculatedColumnFormula>SUM((SUMIF($B$4:$B$34,Overall_AVG[[#This Row],[Baller]],$X$4:$X$34))/Overall_AVG[[#This Row],[Games Played]])</calculatedColumnFormula>
    </tableColumn>
    <tableColumn id="24" xr3:uid="{46AFCB11-F061-4703-99DD-0F6FB361C16E}" name="Turnovers" dataDxfId="763">
      <calculatedColumnFormula>SUM((SUMIF($B$4:$B$34,Overall_AVG[[#This Row],[Baller]],$Y$4:$Y$34))/Overall_AVG[[#This Row],[Games Played]])</calculatedColumnFormula>
    </tableColumn>
    <tableColumn id="25" xr3:uid="{0ACAE66B-B282-4D4E-A997-73C0DC57C0B7}" name="Dimes:TO" dataDxfId="762" dataCellStyle="Percent">
      <calculatedColumnFormula>Overall_AVG[[#This Row],[Dimes]]/Overall_AVG[[#This Row],[Turnovers]]</calculatedColumnFormula>
    </tableColumn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4CD9F232-DA33-44E5-9E95-FE3C0FD10CFF}" name="OVERALL_TEAM_TOT" displayName="OVERALL_TEAM_TOT" ref="A3:X9" totalsRowCount="1" headerRowDxfId="761">
  <autoFilter ref="A3:X8" xr:uid="{86DADCA0-9B01-4B42-837E-738EB913AF2B}"/>
  <sortState ref="A4:X8">
    <sortCondition ref="A3:A8"/>
  </sortState>
  <tableColumns count="24">
    <tableColumn id="1" xr3:uid="{33AFF584-4CB1-4855-BFB1-523C927EB566}" name="Team" dataDxfId="760"/>
    <tableColumn id="2" xr3:uid="{A8F841B7-DF3C-43BD-9B00-7C79702B47EF}" name="Games Played" dataDxfId="759" totalsRowDxfId="758"/>
    <tableColumn id="3" xr3:uid="{92F8B5EF-3923-4D2F-BC2A-302A2EC6AD33}" name="Total FGM" totalsRowFunction="sum" dataDxfId="757" totalsRowDxfId="756">
      <calculatedColumnFormula>SUMIF(Overall!$C$3:$C$34,A4,Overall!$E$3:$E$34)</calculatedColumnFormula>
    </tableColumn>
    <tableColumn id="4" xr3:uid="{080D576E-69B5-42C2-9348-2BB31DB476D0}" name="Total FGA" totalsRowFunction="sum" dataDxfId="755" totalsRowDxfId="754">
      <calculatedColumnFormula>SUMIF(Overall!$C$3:$C$34,A4,Overall!$F$3:$F$34)</calculatedColumnFormula>
    </tableColumn>
    <tableColumn id="5" xr3:uid="{D3E7E48E-0E85-4C31-81EC-8D07D33563B7}" name="Overall FG%" totalsRowFunction="custom" dataDxfId="753" totalsRowDxfId="752" dataCellStyle="Percent">
      <calculatedColumnFormula>OVERALL_TEAM_TOT[[#This Row],[Total FGM]]/OVERALL_TEAM_TOT[[#This Row],[Total FGA]]</calculatedColumnFormula>
      <totalsRowFormula>OVERALL_TEAM_TOT[[#Totals],[Total FGM]]/OVERALL_TEAM_TOT[[#Totals],[Total FGA]]</totalsRowFormula>
    </tableColumn>
    <tableColumn id="6" xr3:uid="{EA916644-EED7-462F-9943-EEEF765EF5CB}" name="2PT FGM" totalsRowFunction="sum" dataDxfId="751" totalsRowDxfId="750">
      <calculatedColumnFormula>SUMIF(Overall!$C$3:$C$34,A4,Overall!$H$3:$H$34)</calculatedColumnFormula>
    </tableColumn>
    <tableColumn id="7" xr3:uid="{4E294913-1CE9-45A0-94E7-4FF95125FAB9}" name="2PT FGA" totalsRowFunction="sum" dataDxfId="749" totalsRowDxfId="748">
      <calculatedColumnFormula>SUMIF(Overall!$C$3:$C$34,A4,Overall!$I$3:$I$34)</calculatedColumnFormula>
    </tableColumn>
    <tableColumn id="8" xr3:uid="{537F17FF-D10E-4523-B9C2-386C3D374999}" name="2PT FG%" totalsRowFunction="custom" dataDxfId="747" totalsRowDxfId="746" dataCellStyle="Percent">
      <calculatedColumnFormula>OVERALL_TEAM_TOT[[#This Row],[2PT FGM]]/OVERALL_TEAM_TOT[[#This Row],[2PT FGA]]</calculatedColumnFormula>
      <totalsRowFormula>OVERALL_TEAM_TOT[[#Totals],[2PT FGM]]/OVERALL_TEAM_TOT[[#Totals],[2PT FGA]]</totalsRowFormula>
    </tableColumn>
    <tableColumn id="9" xr3:uid="{C0445B71-5AE6-4BA3-99E4-89D320BF7312}" name="3PT FGM" totalsRowFunction="sum" dataDxfId="745" totalsRowDxfId="744">
      <calculatedColumnFormula>SUMIF(Overall!$C$3:$C$34,A4,Overall!$K$3:$K$34)</calculatedColumnFormula>
    </tableColumn>
    <tableColumn id="10" xr3:uid="{B42D346D-DEF6-4285-BACB-C49E8BA5DA0F}" name="3PT FGA" totalsRowFunction="sum" dataDxfId="743" totalsRowDxfId="742">
      <calculatedColumnFormula>SUMIF(Overall!$C$3:$C$34,A4,Overall!$L$3:$L$34)</calculatedColumnFormula>
    </tableColumn>
    <tableColumn id="11" xr3:uid="{73AB2479-07B3-4603-9E69-B93B5EA7E663}" name="3PT FG%" totalsRowFunction="custom" dataDxfId="741" totalsRowDxfId="740" dataCellStyle="Percent">
      <calculatedColumnFormula>OVERALL_TEAM_TOT[[#This Row],[3PT FGM]]/OVERALL_TEAM_TOT[[#This Row],[3PT FGA]]</calculatedColumnFormula>
      <totalsRowFormula>OVERALL_TEAM_TOT[[#Totals],[3PT FGM]]/OVERALL_TEAM_TOT[[#Totals],[3PT FGA]]</totalsRowFormula>
    </tableColumn>
    <tableColumn id="12" xr3:uid="{817297F5-4862-495F-971B-0644BD95AC38}" name="FTM" totalsRowFunction="sum" dataDxfId="739" totalsRowDxfId="738">
      <calculatedColumnFormula>SUMIF(Overall!$C$3:$C$34,A4,Overall!$N$3:$N$34)</calculatedColumnFormula>
    </tableColumn>
    <tableColumn id="13" xr3:uid="{DFEF4EA2-117F-46D8-8EDC-7A59A350063D}" name="FTA" totalsRowFunction="sum" dataDxfId="737" totalsRowDxfId="736">
      <calculatedColumnFormula>SUMIF(Overall!$C$3:$C$34,A4,Overall!$O$3:$O$34)</calculatedColumnFormula>
    </tableColumn>
    <tableColumn id="14" xr3:uid="{469F9971-8516-44A4-BAA9-68473D4FEEA6}" name="FT %" totalsRowFunction="custom" dataDxfId="735" totalsRowDxfId="734" dataCellStyle="Percent">
      <calculatedColumnFormula>OVERALL_TEAM_TOT[[#This Row],[FTM]]/OVERALL_TEAM_TOT[[#This Row],[FTA]]</calculatedColumnFormula>
      <totalsRowFormula>OVERALL_TEAM_TOT[[#Totals],[FTM]]/OVERALL_TEAM_TOT[[#Totals],[FTA]]</totalsRowFormula>
    </tableColumn>
    <tableColumn id="15" xr3:uid="{E920CE6C-BEF6-4AB3-9345-C386FF7387FB}" name="TOTAL POINTS" totalsRowFunction="sum" dataDxfId="733" totalsRowDxfId="732">
      <calculatedColumnFormula>SUMIF(Overall!$C$3:$C$34,A4,Overall!$Q$3:$Q$34)</calculatedColumnFormula>
    </tableColumn>
    <tableColumn id="16" xr3:uid="{DE268E1F-3E45-47DE-87A7-C3895AC21B32}" name="Dunks" totalsRowFunction="sum" dataDxfId="731" totalsRowDxfId="730">
      <calculatedColumnFormula>SUMIF(Overall!$C$3:$C$34,A4,Overall!$R$3:$R$34)</calculatedColumnFormula>
    </tableColumn>
    <tableColumn id="17" xr3:uid="{1C232E6B-FE0C-44B2-8789-C2DD6920A62E}" name="Def. Boards" totalsRowFunction="sum" dataDxfId="729" totalsRowDxfId="728">
      <calculatedColumnFormula>SUMIF(Overall!$C$3:$C$34,A4,Overall!$S$3:$S$34)</calculatedColumnFormula>
    </tableColumn>
    <tableColumn id="18" xr3:uid="{3D77AF43-9404-4073-A521-F10A3982EDAA}" name="Off. Boards" totalsRowFunction="sum" dataDxfId="727" totalsRowDxfId="726">
      <calculatedColumnFormula>SUMIF(Overall!$C$3:$C$34,A4,Overall!$T$3:$T$34)</calculatedColumnFormula>
    </tableColumn>
    <tableColumn id="19" xr3:uid="{B6594D39-C90E-453A-979F-5E3CAA696C1B}" name="Total Boards" totalsRowFunction="sum" dataDxfId="725" totalsRowDxfId="724">
      <calculatedColumnFormula>SUMIF(Overall!$C$3:$C$34,A4,Overall!$U$3:$U$34)</calculatedColumnFormula>
    </tableColumn>
    <tableColumn id="20" xr3:uid="{867FB412-A720-4CA1-9748-F82BCB73D597}" name="Dimes" totalsRowFunction="sum" dataDxfId="723" totalsRowDxfId="722">
      <calculatedColumnFormula>SUMIF(Overall!$C$3:$C$34,A4,Overall!$V$3:$V$34)</calculatedColumnFormula>
    </tableColumn>
    <tableColumn id="21" xr3:uid="{5646B0A6-F2FF-4E26-8D16-B5DB48C9970B}" name="Cookies" totalsRowFunction="sum" dataDxfId="721" totalsRowDxfId="720">
      <calculatedColumnFormula>SUMIF(Overall!$C$3:$C$34,A4,Overall!$W$3:$W$34)</calculatedColumnFormula>
    </tableColumn>
    <tableColumn id="22" xr3:uid="{C442B668-3B1C-4068-9C31-B19582E89D62}" name="Swats" totalsRowFunction="sum" dataDxfId="719" totalsRowDxfId="718">
      <calculatedColumnFormula>SUMIF(Overall!$C$3:$C$34,A4,Overall!$X$3:$X$34)</calculatedColumnFormula>
    </tableColumn>
    <tableColumn id="23" xr3:uid="{B1B290D2-23AE-4F98-8EF4-EF970DE54D7B}" name="Turnovers" totalsRowFunction="sum" dataDxfId="717" totalsRowDxfId="716">
      <calculatedColumnFormula>SUMIF(Overall!$C$3:$C$34,A4,Overall!$Y$3:$Y$34)</calculatedColumnFormula>
    </tableColumn>
    <tableColumn id="24" xr3:uid="{BBF59A6A-76BF-4550-8F13-8FDE079EBDE9}" name="Dimes:TO" totalsRowFunction="custom" dataDxfId="715" totalsRowDxfId="714">
      <calculatedColumnFormula>OVERALL_TEAM_TOT[[#This Row],[Dimes]]/OVERALL_TEAM_TOT[[#This Row],[Turnovers]]</calculatedColumnFormula>
      <totalsRowFormula>OVERALL_TEAM_TOT[[#Totals],[Dimes]]/OVERALL_TEAM_TOT[[#Totals],[Turnovers]]</totalsRowFormula>
    </tableColumn>
  </tableColumns>
  <tableStyleInfo name="TableStyleMedium2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32FB47E4-E17C-4084-BDE3-F3CD5B2B84C8}" name="OVERALL_TEAM_AVG" displayName="OVERALL_TEAM_AVG" ref="A13:X19" totalsRowCount="1" headerRowDxfId="713" dataDxfId="712">
  <autoFilter ref="A13:X18" xr:uid="{600A9E89-C04E-4C37-9892-D808D1D8CA79}"/>
  <sortState ref="A14:X18">
    <sortCondition ref="A13:A18"/>
  </sortState>
  <tableColumns count="24">
    <tableColumn id="1" xr3:uid="{07795A0A-7920-439B-ABA8-F1D5822A0FEB}" name="Team" dataDxfId="711"/>
    <tableColumn id="2" xr3:uid="{67609EDC-E1D0-4D5F-A579-EE1D965D638E}" name="Games Played" dataDxfId="710" totalsRowDxfId="709"/>
    <tableColumn id="3" xr3:uid="{D374AB83-D594-41FE-8D34-F70A3C523302}" name="Total FGM" totalsRowFunction="average" dataDxfId="708" totalsRowDxfId="707">
      <calculatedColumnFormula>SUM(SUMIF($A$4:$A$8,OVERALL_TEAM_AVG[[#This Row],[Team]],$C$4:$C$8)/B14)</calculatedColumnFormula>
    </tableColumn>
    <tableColumn id="4" xr3:uid="{F79F84AE-D1C1-4878-B221-90DCB7F0CC5D}" name="Total FGA" totalsRowFunction="average" dataDxfId="706" totalsRowDxfId="705">
      <calculatedColumnFormula>SUM(SUMIF($A$4:$A$8,OVERALL_TEAM_AVG[[#This Row],[Team]],$D$4:$D$8)/B14)</calculatedColumnFormula>
    </tableColumn>
    <tableColumn id="5" xr3:uid="{F8F15C6F-2123-4B80-A72A-C5F7B0905634}" name="Overall FG%" totalsRowFunction="custom" dataDxfId="704" totalsRowDxfId="703" dataCellStyle="Percent">
      <calculatedColumnFormula>OVERALL_TEAM_AVG[[#This Row],[Total FGM]]/OVERALL_TEAM_AVG[[#This Row],[Total FGA]]</calculatedColumnFormula>
      <totalsRowFormula>OVERALL_TEAM_AVG[[#Totals],[Total FGM]]/OVERALL_TEAM_AVG[[#Totals],[Total FGA]]</totalsRowFormula>
    </tableColumn>
    <tableColumn id="6" xr3:uid="{A7FA99E2-2222-4C4D-9F5A-D4AD79523D43}" name="2PT FGM" totalsRowFunction="average" dataDxfId="702" totalsRowDxfId="701">
      <calculatedColumnFormula>SUM(SUMIF($A$4:$A$8,OVERALL_TEAM_AVG[[#This Row],[Team]],$F$4:$F$8)/B14)</calculatedColumnFormula>
    </tableColumn>
    <tableColumn id="7" xr3:uid="{637EB7E4-614B-4382-9E2F-949F10212C31}" name="2PT FGA" totalsRowFunction="average" dataDxfId="700" totalsRowDxfId="699">
      <calculatedColumnFormula>SUM(SUMIF($A$4:$A$8,OVERALL_TEAM_AVG[[#This Row],[Team]],$G$4:$G$8)/B14)</calculatedColumnFormula>
    </tableColumn>
    <tableColumn id="8" xr3:uid="{3915F077-C90D-466B-9194-7120B1F6CF9B}" name="2PT FG%" totalsRowFunction="custom" dataDxfId="698" totalsRowDxfId="697" dataCellStyle="Percent">
      <calculatedColumnFormula>OVERALL_TEAM_AVG[[#This Row],[2PT FGM]]/OVERALL_TEAM_AVG[[#This Row],[2PT FGA]]</calculatedColumnFormula>
      <totalsRowFormula>OVERALL_TEAM_AVG[[#Totals],[2PT FGM]]/OVERALL_TEAM_AVG[[#Totals],[2PT FGA]]</totalsRowFormula>
    </tableColumn>
    <tableColumn id="9" xr3:uid="{C601ED0B-4DBA-4FBE-8D0D-C542F16B2AE7}" name="3PT FGM" totalsRowFunction="average" dataDxfId="696" totalsRowDxfId="695">
      <calculatedColumnFormula>SUM(SUMIF($A$4:$A$8,OVERALL_TEAM_AVG[[#This Row],[Team]],$I$4:$I$8)/B14)</calculatedColumnFormula>
    </tableColumn>
    <tableColumn id="10" xr3:uid="{D2AF73DA-973E-4E08-A019-856A685B23B5}" name="3PT FGA" totalsRowFunction="average" dataDxfId="694" totalsRowDxfId="693">
      <calculatedColumnFormula>SUM(SUMIF($A$4:$A$8,OVERALL_TEAM_AVG[[#This Row],[Team]],$J$4:$J$8)/B14)</calculatedColumnFormula>
    </tableColumn>
    <tableColumn id="11" xr3:uid="{C8638F11-0474-4217-9AD9-D3E856BF0C3C}" name="3PT FG%" totalsRowFunction="custom" dataDxfId="692" totalsRowDxfId="691" dataCellStyle="Percent">
      <calculatedColumnFormula>OVERALL_TEAM_AVG[[#This Row],[3PT FGM]]/OVERALL_TEAM_AVG[[#This Row],[3PT FGA]]</calculatedColumnFormula>
      <totalsRowFormula>OVERALL_TEAM_AVG[[#Totals],[3PT FGM]]/OVERALL_TEAM_AVG[[#Totals],[3PT FGA]]</totalsRowFormula>
    </tableColumn>
    <tableColumn id="12" xr3:uid="{9EDB87B5-BD7D-4005-942A-9C5A65410600}" name="FTM" totalsRowFunction="average" dataDxfId="690" totalsRowDxfId="689">
      <calculatedColumnFormula>SUM(SUMIF($A$4:$A$8,OVERALL_TEAM_AVG[[#This Row],[Team]],$L$4:$L$8)/B14)</calculatedColumnFormula>
    </tableColumn>
    <tableColumn id="13" xr3:uid="{2C3543C7-F8E1-47E4-A9CA-EEA56B686E25}" name="FTA" totalsRowFunction="average" dataDxfId="688" totalsRowDxfId="687">
      <calculatedColumnFormula>SUM(SUMIF($A$4:$A$8,OVERALL_TEAM_AVG[[#This Row],[Team]],$M$4:$M$8)/B14)</calculatedColumnFormula>
    </tableColumn>
    <tableColumn id="14" xr3:uid="{AA82A6EE-66BE-4436-9649-ED6F208AE385}" name="FT %" totalsRowFunction="custom" dataDxfId="686" totalsRowDxfId="685" dataCellStyle="Percent">
      <calculatedColumnFormula>OVERALL_TEAM_AVG[[#This Row],[FTM]]/OVERALL_TEAM_AVG[[#This Row],[FTA]]</calculatedColumnFormula>
      <totalsRowFormula>OVERALL_TEAM_AVG[[#Totals],[FTM]]/OVERALL_TEAM_AVG[[#Totals],[FTA]]</totalsRowFormula>
    </tableColumn>
    <tableColumn id="15" xr3:uid="{A54629E3-AD9A-4744-A0F6-5A4771AB93BE}" name="TOTAL POINTS" totalsRowFunction="average" dataDxfId="684" totalsRowDxfId="683">
      <calculatedColumnFormula>SUM(SUMIF($A$4:$A$8,OVERALL_TEAM_AVG[[#This Row],[Team]],$O$4:$O$8)/B14)</calculatedColumnFormula>
    </tableColumn>
    <tableColumn id="16" xr3:uid="{A444279B-E75D-4205-BCC5-B4D08EA5DCE8}" name="Dunks" totalsRowFunction="average" dataDxfId="682" totalsRowDxfId="681">
      <calculatedColumnFormula>SUM(SUMIF($A$4:$A$8,OVERALL_TEAM_AVG[[#This Row],[Team]],$P$4:$P$8)/B14)</calculatedColumnFormula>
    </tableColumn>
    <tableColumn id="17" xr3:uid="{6D4B5097-4CB7-4AF6-87E9-E4DE4D526C74}" name="Def. Boards" totalsRowFunction="average" dataDxfId="680" totalsRowDxfId="679">
      <calculatedColumnFormula>SUM(SUMIF($A$4:$A$8,OVERALL_TEAM_AVG[[#This Row],[Team]],$Q$4:$Q$8)/B14)</calculatedColumnFormula>
    </tableColumn>
    <tableColumn id="18" xr3:uid="{BD135AF2-97FB-4EDD-9E33-941ED3A504C9}" name="Off. Boards" totalsRowFunction="average" dataDxfId="678" totalsRowDxfId="677">
      <calculatedColumnFormula>SUM(SUMIF($A$4:$A$8,OVERALL_TEAM_AVG[[#This Row],[Team]],$R$4:$R$8)/B14)</calculatedColumnFormula>
    </tableColumn>
    <tableColumn id="19" xr3:uid="{36B934B3-F017-4138-90BE-6841FCDC43E7}" name="Total Boards" totalsRowFunction="average" dataDxfId="676" totalsRowDxfId="675">
      <calculatedColumnFormula>SUM(SUMIF($A$4:$A$8,OVERALL_TEAM_AVG[[#This Row],[Team]],$S$4:$S$8)/B14)</calculatedColumnFormula>
    </tableColumn>
    <tableColumn id="20" xr3:uid="{9EB4E15F-3A84-4590-A86E-6D8FCEFDCA33}" name="Dimes" totalsRowFunction="average" dataDxfId="674" totalsRowDxfId="673">
      <calculatedColumnFormula>SUM(SUMIF($A$4:$A$8,OVERALL_TEAM_AVG[[#This Row],[Team]],$T$4:$T$8)/B14)</calculatedColumnFormula>
    </tableColumn>
    <tableColumn id="21" xr3:uid="{84DC529E-BAD5-455B-8121-9571E2860DE5}" name="Cookies" totalsRowFunction="average" dataDxfId="672" totalsRowDxfId="671">
      <calculatedColumnFormula>SUM(SUMIF($A$4:$A$8,OVERALL_TEAM_AVG[[#This Row],[Team]],$U$4:$U$8)/B14)</calculatedColumnFormula>
    </tableColumn>
    <tableColumn id="22" xr3:uid="{A87CF569-CA1A-4E31-9F30-D5FCC6E314FF}" name="Swats" totalsRowFunction="average" dataDxfId="670" totalsRowDxfId="669">
      <calculatedColumnFormula>SUM(SUMIF($A$4:$A$8,OVERALL_TEAM_AVG[[#This Row],[Team]],$V$4:$V$8)/B14)</calculatedColumnFormula>
    </tableColumn>
    <tableColumn id="23" xr3:uid="{4C67DBBE-FE96-49DE-AC19-28E8C9A8183F}" name="Turnovers" totalsRowFunction="average" dataDxfId="668" totalsRowDxfId="667">
      <calculatedColumnFormula>SUM(SUMIF($A$4:$A$8,OVERALL_TEAM_AVG[[#This Row],[Team]],$W$4:$W$8)/B14)</calculatedColumnFormula>
    </tableColumn>
    <tableColumn id="24" xr3:uid="{8EABAB59-4AD4-4B89-A848-C5E35C85E580}" name="Dimes:TO" totalsRowFunction="custom" dataDxfId="666" totalsRowDxfId="665">
      <calculatedColumnFormula>OVERALL_TEAM_AVG[[#This Row],[Dimes]]/OVERALL_TEAM_AVG[[#This Row],[Turnovers]]</calculatedColumnFormula>
      <totalsRowFormula>OVERALL_TEAM_AVG[[#Totals],[Dimes]]/OVERALL_TEAM_AVG[[#Totals],[Turnovers]]</totalsRowFormula>
    </tableColumn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6A28795-587F-4278-97F6-F5C6AFA8DD27}" name="RR_TOT" displayName="RR_TOT" ref="A3:Z34" totalsRowShown="0" headerRowDxfId="664">
  <autoFilter ref="A3:Z34" xr:uid="{64BC8F68-1828-44D5-B81D-38122B2656CB}"/>
  <sortState ref="A4:Z34">
    <sortCondition descending="1" ref="G3:G34"/>
  </sortState>
  <tableColumns count="26">
    <tableColumn id="1" xr3:uid="{E46D7EEB-872D-433E-97FF-074F373B2690}" name="Name" dataDxfId="663"/>
    <tableColumn id="2" xr3:uid="{2F7B5E2F-FFE5-4B23-BBFD-7598C827F074}" name="Baller"/>
    <tableColumn id="3" xr3:uid="{EFEDF55E-4ACB-4FE1-B732-83D2D3EB9938}" name="Team"/>
    <tableColumn id="26" xr3:uid="{99A1A26C-BA47-49B5-8643-5DF0345B9386}" name="Games Played" dataDxfId="662"/>
    <tableColumn id="4" xr3:uid="{5916043F-36DA-4D0A-B3C0-F008CED3A5CC}" name="Total FGM" dataDxfId="661">
      <calculatedColumnFormula>SUMIF(RR_Games!$A:$A,$B:$B,RR_Games!B:B)</calculatedColumnFormula>
    </tableColumn>
    <tableColumn id="5" xr3:uid="{CF8CBFD7-E608-40A3-ACF4-F564F5410849}" name="Total FGA" dataDxfId="660">
      <calculatedColumnFormula>SUMIF(RR_Games!$A:$A,$B:$B,RR_Games!C:C)</calculatedColumnFormula>
    </tableColumn>
    <tableColumn id="6" xr3:uid="{60C2BE74-0F4D-4455-9727-B2DA4113A004}" name="Overall FG%" dataDxfId="659" dataCellStyle="Percent">
      <calculatedColumnFormula>RR_TOT[[#This Row],[Total FGM]]/RR_TOT[[#This Row],[Total FGA]]</calculatedColumnFormula>
    </tableColumn>
    <tableColumn id="7" xr3:uid="{141F4705-7CEA-4862-BF34-FC3C100CB089}" name="2PT FGM" dataDxfId="658">
      <calculatedColumnFormula>SUMIF(RR_Games!$A:$A,$B:$B,RR_Games!E:E)</calculatedColumnFormula>
    </tableColumn>
    <tableColumn id="8" xr3:uid="{6FD813C4-A857-4777-97BF-9784C3BD2A34}" name="2PT FGA" dataDxfId="657">
      <calculatedColumnFormula>SUMIF(RR_Games!$A:$A,$B:$B,RR_Games!F:F)</calculatedColumnFormula>
    </tableColumn>
    <tableColumn id="9" xr3:uid="{3A966385-77A5-4B0F-97DC-342E0078B288}" name="2PT FG%" dataDxfId="656" dataCellStyle="Percent">
      <calculatedColumnFormula>RR_TOT[[#This Row],[2PT FGM]]/RR_TOT[[#This Row],[2PT FGA]]</calculatedColumnFormula>
    </tableColumn>
    <tableColumn id="10" xr3:uid="{64DE8C84-A895-4B96-8EBC-BD492AE5D3FB}" name="3PT FGM" dataDxfId="655">
      <calculatedColumnFormula>SUMIF(RR_Games!$A:$A,$B:$B,RR_Games!H:H)</calculatedColumnFormula>
    </tableColumn>
    <tableColumn id="11" xr3:uid="{60AFCC43-3BAF-499F-8135-6B57ECAE5D4C}" name="3PT FGA" dataDxfId="654">
      <calculatedColumnFormula>SUMIF(RR_Games!$A:$A,$B:$B,RR_Games!I:I)</calculatedColumnFormula>
    </tableColumn>
    <tableColumn id="12" xr3:uid="{868AE40A-D05A-4FC4-B665-ECF05C1C3C3B}" name="3PT FG%" dataDxfId="653" dataCellStyle="Percent">
      <calculatedColumnFormula>RR_TOT[[#This Row],[3PT FGM]]/RR_TOT[[#This Row],[3PT FGA]]</calculatedColumnFormula>
    </tableColumn>
    <tableColumn id="13" xr3:uid="{9D279B11-59EA-4D95-B7A6-408D3206DBD3}" name="FTM" dataDxfId="652">
      <calculatedColumnFormula>SUMIF(RR_Games!$A:$A,$B:$B,RR_Games!K:K)</calculatedColumnFormula>
    </tableColumn>
    <tableColumn id="14" xr3:uid="{DDD63783-3FDE-4362-9882-1501BEAE5CD5}" name="FTA" dataDxfId="651">
      <calculatedColumnFormula>SUMIF(RR_Games!$A:$A,$B:$B,RR_Games!L:L)</calculatedColumnFormula>
    </tableColumn>
    <tableColumn id="15" xr3:uid="{269C196F-F8A9-488A-8AEF-41F131E97F2D}" name="FT %" dataDxfId="650" dataCellStyle="Percent">
      <calculatedColumnFormula>RR_TOT[[#This Row],[FTM]]/RR_TOT[[#This Row],[FTA]]</calculatedColumnFormula>
    </tableColumn>
    <tableColumn id="16" xr3:uid="{EF2C3EDF-722E-4357-BC31-ED8ABBAD28AC}" name="TOTAL POINTS" dataDxfId="649">
      <calculatedColumnFormula>SUMIF(RR_Games!$A:$A,$B:$B,RR_Games!N:N)</calculatedColumnFormula>
    </tableColumn>
    <tableColumn id="17" xr3:uid="{B367D011-3DAA-47A6-9253-3A96A5960E4E}" name="Dunks" dataDxfId="648">
      <calculatedColumnFormula>SUMIF(RR_Games!$A:$A,$B:$B,RR_Games!O:O)</calculatedColumnFormula>
    </tableColumn>
    <tableColumn id="18" xr3:uid="{BD353223-6323-46D2-A096-105147987344}" name="Def. Boards" dataDxfId="647">
      <calculatedColumnFormula>SUMIF(RR_Games!$A:$A,$B:$B,RR_Games!P:P)</calculatedColumnFormula>
    </tableColumn>
    <tableColumn id="19" xr3:uid="{D7D2E5C5-3DE8-4E3B-B30B-E2E75BF0A3D0}" name="Off. Boards" dataDxfId="646">
      <calculatedColumnFormula>SUMIF(RR_Games!$A:$A,$B:$B,RR_Games!Q:Q)</calculatedColumnFormula>
    </tableColumn>
    <tableColumn id="20" xr3:uid="{B52C6D0B-2C13-4F3F-9CA8-11E139C6850D}" name="Total Boards" dataDxfId="645">
      <calculatedColumnFormula>SUMIF(RR_Games!$A:$A,$B:$B,RR_Games!R:R)</calculatedColumnFormula>
    </tableColumn>
    <tableColumn id="21" xr3:uid="{ACFA79E4-6BCF-4E00-B4A6-5D7BB949ABDC}" name="Dimes" dataDxfId="644">
      <calculatedColumnFormula>SUMIF(RR_Games!$A:$A,$B:$B,RR_Games!S:S)</calculatedColumnFormula>
    </tableColumn>
    <tableColumn id="22" xr3:uid="{6F8D8B9D-2CB8-4299-91BD-8FDD42E1B5F5}" name="Cookies" dataDxfId="643">
      <calculatedColumnFormula>SUMIF(RR_Games!$A:$A,$B:$B,RR_Games!T:T)</calculatedColumnFormula>
    </tableColumn>
    <tableColumn id="23" xr3:uid="{EF875CE2-E4FE-42ED-9BF0-A1043D7BA765}" name="Swats" dataDxfId="642">
      <calculatedColumnFormula>SUMIF(RR_Games!$A:$A,$B:$B,RR_Games!U:U)</calculatedColumnFormula>
    </tableColumn>
    <tableColumn id="24" xr3:uid="{F6660425-BFA8-4059-8AE4-5B2D2B8E49F3}" name="Turnovers" dataDxfId="641">
      <calculatedColumnFormula>SUMIF(RR_Games!$A:$A,$B:$B,RR_Games!V:V)</calculatedColumnFormula>
    </tableColumn>
    <tableColumn id="25" xr3:uid="{E146154E-21A4-4B15-BC74-D30C5B51EB35}" name="Dimes:TO" dataDxfId="640" dataCellStyle="Percent">
      <calculatedColumnFormula>RR_TOT[[#This Row],[Dimes]]/RR_TOT[[#This Row],[Turnovers]]</calculatedColumnFormula>
    </tableColumn>
  </tableColumns>
  <tableStyleInfo name="TableStyleMedium2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E4484A4-5B3B-42CC-B329-61EBCDAA94CA}" name="RR_AVG" displayName="RR_AVG" ref="A37:Z68" totalsRowShown="0" headerRowDxfId="639">
  <autoFilter ref="A37:Z68" xr:uid="{40A22063-AB4B-491D-A8AB-DCFF9E35E170}"/>
  <sortState ref="A38:Z68">
    <sortCondition descending="1" ref="Z37:Z68"/>
  </sortState>
  <tableColumns count="26">
    <tableColumn id="1" xr3:uid="{FEC3108D-7D8C-4925-A0F2-CBB6AC6E015F}" name="Name" dataDxfId="638"/>
    <tableColumn id="2" xr3:uid="{4868046C-9729-4A3D-AA3E-E3F389C5F861}" name="Baller"/>
    <tableColumn id="3" xr3:uid="{C87DD32C-481E-4D8B-9A0A-6C6ADCDC2B22}" name="Team"/>
    <tableColumn id="26" xr3:uid="{6E01A037-E20E-4424-8FE2-FE5346EFE4D8}" name="Games Played" dataDxfId="637">
      <calculatedColumnFormula>SUMIF($B$4:$B$34,B38,$D$4:$D$34)</calculatedColumnFormula>
    </tableColumn>
    <tableColumn id="4" xr3:uid="{6AC09359-156F-467E-945A-DE77FAC0C20E}" name="Total FGM" dataDxfId="636">
      <calculatedColumnFormula>SUM((SUMIF($B$4:$B$34,RR_AVG[[#This Row],[Baller]],$E$4:$E$34))/RR_AVG[[#This Row],[Games Played]])</calculatedColumnFormula>
    </tableColumn>
    <tableColumn id="5" xr3:uid="{AFF2E5C7-B9A0-477D-97DC-32C4AFC9F10F}" name="Total FGA" dataDxfId="635">
      <calculatedColumnFormula>SUM((SUMIF($B$4:$B$34,RR_AVG[[#This Row],[Baller]],$F$4:$F$34))/RR_AVG[[#This Row],[Games Played]])</calculatedColumnFormula>
    </tableColumn>
    <tableColumn id="6" xr3:uid="{416F725E-E4C3-44A6-B2E3-715A6A6919AA}" name="Overall FG%" dataDxfId="634" dataCellStyle="Percent">
      <calculatedColumnFormula>RR_AVG[[#This Row],[Total FGM]]/RR_AVG[[#This Row],[Total FGA]]</calculatedColumnFormula>
    </tableColumn>
    <tableColumn id="7" xr3:uid="{4A33FD81-DD0C-4E11-8D9B-E57508507B5A}" name="2PT FGM" dataDxfId="633">
      <calculatedColumnFormula>SUM((SUMIF($B$4:$B$34,RR_AVG[[#This Row],[Baller]],$H$4:$H$34))/RR_AVG[[#This Row],[Games Played]])</calculatedColumnFormula>
    </tableColumn>
    <tableColumn id="8" xr3:uid="{0C582A4A-F2EC-4B99-BD6A-B855538E5CEF}" name="2PT FGA" dataDxfId="632">
      <calculatedColumnFormula>SUM((SUMIF($B$4:$B$34,RR_AVG[[#This Row],[Baller]],$I$4:$I$34))/RR_AVG[[#This Row],[Games Played]])</calculatedColumnFormula>
    </tableColumn>
    <tableColumn id="9" xr3:uid="{4B8224DE-BCCD-4E95-99FC-93B72EF8D383}" name="2PT FG%" dataDxfId="631" dataCellStyle="Percent">
      <calculatedColumnFormula>RR_AVG[[#This Row],[2PT FGM]]/RR_AVG[[#This Row],[2PT FGA]]</calculatedColumnFormula>
    </tableColumn>
    <tableColumn id="10" xr3:uid="{E42072D3-6BD7-44F1-97BB-FBCBD8A2DE8A}" name="3PT FGM" dataDxfId="630">
      <calculatedColumnFormula>SUM((SUMIF($B$4:$B$34,RR_AVG[[#This Row],[Baller]],$K$4:$K$34))/RR_AVG[[#This Row],[Games Played]])</calculatedColumnFormula>
    </tableColumn>
    <tableColumn id="11" xr3:uid="{64C4C79A-0E71-4DB3-8679-F1F16C0B4041}" name="3PT FGA" dataDxfId="629">
      <calculatedColumnFormula>SUM((SUMIF($B$4:$B$34,RR_AVG[[#This Row],[Baller]],$L$4:$L$34))/RR_AVG[[#This Row],[Games Played]])</calculatedColumnFormula>
    </tableColumn>
    <tableColumn id="12" xr3:uid="{5F440C7D-9629-4F93-AD43-99FE3E3C17DD}" name="3PT FG%" dataDxfId="628" dataCellStyle="Percent">
      <calculatedColumnFormula>RR_AVG[[#This Row],[3PT FGM]]/RR_AVG[[#This Row],[3PT FGA]]</calculatedColumnFormula>
    </tableColumn>
    <tableColumn id="13" xr3:uid="{B047CC94-020D-40EF-91C9-A814C499BCE0}" name="FTM" dataDxfId="627">
      <calculatedColumnFormula>SUM((SUMIF($B$4:$B$34,RR_AVG[[#This Row],[Baller]],$N$4:$N$34))/RR_AVG[[#This Row],[Games Played]])</calculatedColumnFormula>
    </tableColumn>
    <tableColumn id="14" xr3:uid="{30DFB95A-F47F-4F2E-A8C3-A5FD19A20642}" name="FTA" dataDxfId="626">
      <calculatedColumnFormula>SUM((SUMIF($B$4:$B$34,RR_AVG[[#This Row],[Baller]],$O$4:$O$34))/RR_AVG[[#This Row],[Games Played]])</calculatedColumnFormula>
    </tableColumn>
    <tableColumn id="15" xr3:uid="{6E0C4AA9-919A-4B2D-8F36-2498E4307D09}" name="FT %" dataDxfId="625" dataCellStyle="Percent">
      <calculatedColumnFormula>RR_AVG[[#This Row],[FTM]]/RR_AVG[[#This Row],[FTA]]</calculatedColumnFormula>
    </tableColumn>
    <tableColumn id="16" xr3:uid="{785052F7-7A8F-47E9-AF9E-9DC54567F6D5}" name="AVERAGE POINTS" dataDxfId="624">
      <calculatedColumnFormula>SUM((SUMIF($B$4:$B$34,RR_AVG[[#This Row],[Baller]],$Q$4:$Q$34))/RR_AVG[[#This Row],[Games Played]])</calculatedColumnFormula>
    </tableColumn>
    <tableColumn id="17" xr3:uid="{A974CDA0-C597-40C5-A5FD-C421978FC158}" name="Dunks" dataDxfId="623">
      <calculatedColumnFormula>SUM((SUMIF($B$4:$B$34,RR_AVG[[#This Row],[Baller]],$R$4:$R$34))/RR_AVG[[#This Row],[Games Played]])</calculatedColumnFormula>
    </tableColumn>
    <tableColumn id="18" xr3:uid="{F6B7CFC4-BD07-4215-A489-423F1458FA5C}" name="Def. Boards" dataDxfId="622">
      <calculatedColumnFormula>SUM((SUMIF($B$4:$B$34,RR_AVG[[#This Row],[Baller]],$S$4:$S$34))/RR_AVG[[#This Row],[Games Played]])</calculatedColumnFormula>
    </tableColumn>
    <tableColumn id="19" xr3:uid="{742C24E6-FA09-4F28-B4C5-18223EC81D4E}" name="Off. Boards" dataDxfId="621">
      <calculatedColumnFormula>SUM((SUMIF($B$4:$B$34,RR_AVG[[#This Row],[Baller]],$T$4:$T$34))/RR_AVG[[#This Row],[Games Played]])</calculatedColumnFormula>
    </tableColumn>
    <tableColumn id="20" xr3:uid="{F1629DE9-8F2D-441A-B15B-6E11B9D7061A}" name="Total Boards" dataDxfId="620">
      <calculatedColumnFormula>SUM((SUMIF($B$4:$B$34,RR_AVG[[#This Row],[Baller]],$U$4:$U$34))/RR_AVG[[#This Row],[Games Played]])</calculatedColumnFormula>
    </tableColumn>
    <tableColumn id="21" xr3:uid="{11A95C8C-8E98-4C25-A181-0F963811C1C7}" name="Dimes" dataDxfId="619">
      <calculatedColumnFormula>SUM((SUMIF($B$4:$B$34,RR_AVG[[#This Row],[Baller]],$V$4:$V$34))/RR_AVG[[#This Row],[Games Played]])</calculatedColumnFormula>
    </tableColumn>
    <tableColumn id="22" xr3:uid="{DD6EF159-0953-403F-A20E-8788EAC26107}" name="Cookies" dataDxfId="618">
      <calculatedColumnFormula>SUM((SUMIF($B$4:$B$34,RR_AVG[[#This Row],[Baller]],$W$4:$W$34))/RR_AVG[[#This Row],[Games Played]])</calculatedColumnFormula>
    </tableColumn>
    <tableColumn id="23" xr3:uid="{5A3F6D80-4D22-40F0-AAA4-962AF8664503}" name="Swats" dataDxfId="617">
      <calculatedColumnFormula>SUM((SUMIF($B$4:$B$34,RR_AVG[[#This Row],[Baller]],$X$4:$X$34))/RR_AVG[[#This Row],[Games Played]])</calculatedColumnFormula>
    </tableColumn>
    <tableColumn id="24" xr3:uid="{4C7E3592-A499-451D-93CC-A997D1284B80}" name="Turnovers" dataDxfId="616">
      <calculatedColumnFormula>SUM((SUMIF($B$4:$B$34,RR_AVG[[#This Row],[Baller]],$Y$4:$Y$34))/RR_AVG[[#This Row],[Games Played]])</calculatedColumnFormula>
    </tableColumn>
    <tableColumn id="25" xr3:uid="{6235EDB2-413B-4682-BE01-F228A213AF3F}" name="Dimes:TO" dataDxfId="615" dataCellStyle="Percent">
      <calculatedColumnFormula>RR_AVG[[#This Row],[Dimes]]/RR_AVG[[#This Row],[Turnovers]]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10464C59-642C-40D2-A45A-393085394BB1}" name="LITI_Q1_HALF1" displayName="LITI_Q1_HALF1" ref="A30:W36" totalsRowShown="0" headerRowDxfId="2059" headerRowBorderDxfId="2058" tableBorderDxfId="2057">
  <autoFilter ref="A30:W36" xr:uid="{77AC3174-EA19-49C6-95F9-F7C5AF6E7F77}"/>
  <tableColumns count="23">
    <tableColumn id="1" xr3:uid="{A60A6B76-4EFD-41BC-817B-7AC36439F14E}" name="Bar Mitzvah Boys" dataDxfId="2056"/>
    <tableColumn id="2" xr3:uid="{BB4992D8-39D8-4249-B289-59F028081011}" name="Total FGM" dataDxfId="2055">
      <calculatedColumnFormula>LITI_Q1_HALF1[[#This Row],[2PT FGM]]+LITI_Q1_HALF1[[#This Row],[3PT FGM]]</calculatedColumnFormula>
    </tableColumn>
    <tableColumn id="3" xr3:uid="{D42292F0-1D74-4D50-8789-2EB8E0FDA993}" name="Total FGA" dataDxfId="2054"/>
    <tableColumn id="4" xr3:uid="{AEFF2710-B8B6-435E-A1A5-BD81AC364843}" name="Overall FG%" dataDxfId="2053" dataCellStyle="Percent">
      <calculatedColumnFormula>LITI_Q1_HALF1[[#This Row],[Total FGM]]/LITI_Q1_HALF1[[#This Row],[Total FGA]]</calculatedColumnFormula>
    </tableColumn>
    <tableColumn id="5" xr3:uid="{E2D9ABC1-FE05-40A8-9838-1D1E5AB581EE}" name="2PT FGM" dataDxfId="2052"/>
    <tableColumn id="6" xr3:uid="{25E7D600-E964-4109-B2D3-D28ED957EEBB}" name="2PT FGA" dataDxfId="2051"/>
    <tableColumn id="7" xr3:uid="{1988EE70-BA27-4888-8D89-2AEDA9180C2B}" name="2PT FG%" dataDxfId="2050" dataCellStyle="Percent">
      <calculatedColumnFormula>LITI_Q1_HALF1[[#This Row],[Total FGM]]/LITI_Q1_HALF1[[#This Row],[Total FGA]]</calculatedColumnFormula>
    </tableColumn>
    <tableColumn id="8" xr3:uid="{59B5747C-CB70-4194-9759-ADF410EAEBA1}" name="3PT FGM" dataDxfId="2049"/>
    <tableColumn id="9" xr3:uid="{0AD5AFF6-26AB-4465-BFA6-9627B590C522}" name="3PT FGA" dataDxfId="2048"/>
    <tableColumn id="10" xr3:uid="{B1D98B66-C937-4F89-9595-C7B4FFBD4B3C}" name="3PT FG%" dataDxfId="2047" dataCellStyle="Percent">
      <calculatedColumnFormula>LITI_Q1_HALF1[[#This Row],[3PT FGM]]/LITI_Q1_HALF1[[#This Row],[3PT FGA]]</calculatedColumnFormula>
    </tableColumn>
    <tableColumn id="11" xr3:uid="{873260E1-C762-4E3B-8BD3-BA8F2DC993A0}" name="FTM" dataDxfId="2046"/>
    <tableColumn id="12" xr3:uid="{26734F67-A18C-47C0-AFE2-4F09BB6B7DFB}" name="FTA" dataDxfId="2045"/>
    <tableColumn id="13" xr3:uid="{F334AA32-6340-4CC9-8FF4-3AE6756FD706}" name="FT %" dataDxfId="2044" dataCellStyle="Percent">
      <calculatedColumnFormula>LITI_Q1_HALF1[[#This Row],[FTM]]/LITI_Q1_HALF1[[#This Row],[FTA]]</calculatedColumnFormula>
    </tableColumn>
    <tableColumn id="14" xr3:uid="{CE55F021-6D7B-4623-8DFF-F657E7C82591}" name="TOTAL POINTS" dataDxfId="2043">
      <calculatedColumnFormula>SUM(LITI_Q1_HALF1[[#This Row],[2PT FGM]]*2,LITI_Q1_HALF1[[#This Row],[3PT FGM]]*3,LITI_Q1_HALF1[[#This Row],[FTM]])</calculatedColumnFormula>
    </tableColumn>
    <tableColumn id="15" xr3:uid="{E03C2E25-4829-4C66-964F-231591D1D112}" name="Dunks" dataDxfId="2042"/>
    <tableColumn id="16" xr3:uid="{9AC8A8ED-48E3-4FD7-B08C-681A048AB3BE}" name="Def. Boards" dataDxfId="2041"/>
    <tableColumn id="17" xr3:uid="{9E230A12-B733-4CC6-BF76-31DC82554ADA}" name="Off. Boards" dataDxfId="2040"/>
    <tableColumn id="18" xr3:uid="{AE21399E-951F-4A6A-8A41-77FC10465503}" name="Total Boards" dataDxfId="2039">
      <calculatedColumnFormula>LITI_Q1_HALF1[[#This Row],[Def. Boards]]+LITI_Q1_HALF1[[#This Row],[Off. Boards]]</calculatedColumnFormula>
    </tableColumn>
    <tableColumn id="19" xr3:uid="{38D0899A-73BD-418A-8305-76C98FFA778C}" name="Dimes" dataDxfId="2038"/>
    <tableColumn id="20" xr3:uid="{BEA29DD8-5F90-4AF2-B1B5-D21AB79F7B00}" name="Cookies" dataDxfId="2037"/>
    <tableColumn id="21" xr3:uid="{714079FC-BC1B-4AF5-8F37-2E191214DE7F}" name="Swats" dataDxfId="2036"/>
    <tableColumn id="22" xr3:uid="{56F84F31-A34E-45EC-A3F2-A151E42D8CE0}" name="Turnovers" dataDxfId="2035"/>
    <tableColumn id="23" xr3:uid="{7F19D45F-E9AB-45DB-8841-C608F06B461D}" name="Dimes:TO" dataDxfId="2034">
      <calculatedColumnFormula>LITI_Q1_HALF1[[#This Row],[Dimes]]/LITI_Q1_HALF1[[#This Row],[Turnovers]]</calculatedColumnFormula>
    </tableColumn>
  </tableColumns>
  <tableStyleInfo name="TableStyleMedium15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72BE848E-DADB-4BCE-A324-4247B7990614}" name="RR_TEAM_TOT" displayName="RR_TEAM_TOT" ref="A3:X9" totalsRowCount="1" headerRowDxfId="614">
  <autoFilter ref="A3:X8" xr:uid="{0C264853-190A-4949-8CC7-5C6D44DA3F76}"/>
  <sortState ref="A4:X7">
    <sortCondition descending="1" ref="X3:X8"/>
  </sortState>
  <tableColumns count="24">
    <tableColumn id="1" xr3:uid="{0251E26E-8BEF-4AE7-9469-5B73AAA4CF97}" name="Team"/>
    <tableColumn id="2" xr3:uid="{11F9C0F6-E278-4120-B80A-57A94200D3FC}" name="Games Played" dataDxfId="613" totalsRowDxfId="612"/>
    <tableColumn id="3" xr3:uid="{935AB730-66FF-424D-B9E5-54B7B37E136E}" name="Total FGM" totalsRowFunction="sum" dataDxfId="611" totalsRowDxfId="610">
      <calculatedColumnFormula>SUMIF(RR!$C$3:$C$34,A4,RR!$E$3:$E$34)</calculatedColumnFormula>
    </tableColumn>
    <tableColumn id="4" xr3:uid="{2080767D-04A9-424B-9927-D0836B0B8229}" name="Total FGA" totalsRowFunction="sum" dataDxfId="609" totalsRowDxfId="608">
      <calculatedColumnFormula>SUMIF(RR!$C$3:$C$34,A4,RR!$F$3:$F$34)</calculatedColumnFormula>
    </tableColumn>
    <tableColumn id="5" xr3:uid="{80C460D7-584B-49D3-B96C-392FB6EA066A}" name="Overall FG%" totalsRowFunction="custom" dataDxfId="607" totalsRowDxfId="606" dataCellStyle="Percent">
      <calculatedColumnFormula>RR_TEAM_TOT[[#This Row],[Total FGM]]/RR_TEAM_TOT[[#This Row],[Total FGA]]</calculatedColumnFormula>
      <totalsRowFormula>RR_TEAM_TOT[[#Totals],[Total FGM]]/RR_TEAM_TOT[[#Totals],[Total FGA]]</totalsRowFormula>
    </tableColumn>
    <tableColumn id="6" xr3:uid="{94F7DC78-5EF0-4A24-B6EC-F4CD8A2600F3}" name="2PT FGM" totalsRowFunction="sum" dataDxfId="605" totalsRowDxfId="604">
      <calculatedColumnFormula>SUMIF(RR!$C$3:$C$34,A4,RR!$H$3:$H$34)</calculatedColumnFormula>
    </tableColumn>
    <tableColumn id="7" xr3:uid="{ADF36A8F-DDE5-42BD-84F2-684B3D2E028D}" name="2PT FGA" totalsRowFunction="sum" dataDxfId="603" totalsRowDxfId="602">
      <calculatedColumnFormula>SUMIF(RR!$C$3:$C$34,A4,RR!$I$3:$I$34)</calculatedColumnFormula>
    </tableColumn>
    <tableColumn id="8" xr3:uid="{B0547DE6-D039-4AE8-B4DF-46113D0938C6}" name="2PT FG%" totalsRowFunction="custom" dataDxfId="601" totalsRowDxfId="600" dataCellStyle="Percent">
      <calculatedColumnFormula>RR_TEAM_TOT[[#This Row],[2PT FGM]]/RR_TEAM_TOT[[#This Row],[2PT FGA]]</calculatedColumnFormula>
      <totalsRowFormula>RR_TEAM_TOT[[#Totals],[2PT FGM]]/RR_TEAM_TOT[[#Totals],[2PT FGA]]</totalsRowFormula>
    </tableColumn>
    <tableColumn id="9" xr3:uid="{7B9FCD3B-9EA7-4B49-BC30-5454B982C019}" name="3PT FGM" totalsRowFunction="sum" dataDxfId="599" totalsRowDxfId="598">
      <calculatedColumnFormula>SUMIF(RR!$C$3:$C$34,A4,RR!$K$3:$K$34)</calculatedColumnFormula>
    </tableColumn>
    <tableColumn id="10" xr3:uid="{BE63422D-2F64-4813-BE37-F4C19F6085A2}" name="3PT FGA" totalsRowFunction="sum" dataDxfId="597" totalsRowDxfId="596">
      <calculatedColumnFormula>SUMIF(RR!$C$3:$C$34,A4,RR!$L$3:$L$34)</calculatedColumnFormula>
    </tableColumn>
    <tableColumn id="11" xr3:uid="{D1D98BA4-5F2F-4D63-AC2E-48AC243B1C5A}" name="3PT FG%" totalsRowFunction="custom" dataDxfId="595" totalsRowDxfId="594" dataCellStyle="Percent">
      <calculatedColumnFormula>RR_TEAM_TOT[[#This Row],[3PT FGM]]/RR_TEAM_TOT[[#This Row],[3PT FGA]]</calculatedColumnFormula>
      <totalsRowFormula>RR_TEAM_TOT[[#Totals],[3PT FGM]]/RR_TEAM_TOT[[#Totals],[3PT FGA]]</totalsRowFormula>
    </tableColumn>
    <tableColumn id="12" xr3:uid="{D24A5891-706A-4A20-8C5A-BC3D3A831F8F}" name="FTM" totalsRowFunction="sum" dataDxfId="593" totalsRowDxfId="592">
      <calculatedColumnFormula>SUMIF(RR!$C$3:$C$34,A4,RR!$N$3:$N$34)</calculatedColumnFormula>
    </tableColumn>
    <tableColumn id="13" xr3:uid="{09A90900-ABCE-46D1-9617-5FEDAF7EB0FC}" name="FTA" totalsRowFunction="sum" dataDxfId="591" totalsRowDxfId="590">
      <calculatedColumnFormula>SUMIF(RR!$C$3:$C$34,A4,RR!$O$3:$O$34)</calculatedColumnFormula>
    </tableColumn>
    <tableColumn id="14" xr3:uid="{0C88AB52-0A68-422C-A54D-BAE0CAA45326}" name="FT %" totalsRowFunction="custom" dataDxfId="589" totalsRowDxfId="588" dataCellStyle="Percent">
      <calculatedColumnFormula>RR_TEAM_TOT[[#This Row],[FTM]]/RR_TEAM_TOT[[#This Row],[FTA]]</calculatedColumnFormula>
      <totalsRowFormula>RR_TEAM_TOT[[#Totals],[FTM]]/RR_TEAM_TOT[[#Totals],[FTA]]</totalsRowFormula>
    </tableColumn>
    <tableColumn id="15" xr3:uid="{6468EC3A-1E98-4674-AC02-5E817E310EF0}" name="TOTAL POINTS" totalsRowFunction="sum" dataDxfId="587" totalsRowDxfId="586">
      <calculatedColumnFormula>SUMIF(RR!$C$3:$C$34,A4,RR!$Q$3:$Q$34)</calculatedColumnFormula>
    </tableColumn>
    <tableColumn id="16" xr3:uid="{0DC6F64D-A824-4F8A-89D3-D53002C67493}" name="Dunks" totalsRowFunction="sum" dataDxfId="585" totalsRowDxfId="584">
      <calculatedColumnFormula>SUMIF(RR!$C$3:$C$34,A4,RR!$R$3:$R$34)</calculatedColumnFormula>
    </tableColumn>
    <tableColumn id="17" xr3:uid="{96F45061-3A01-4466-9EC2-2322EC397BE1}" name="Def. Boards" totalsRowFunction="sum" dataDxfId="583" totalsRowDxfId="582">
      <calculatedColumnFormula>SUMIF(RR!$C$3:$C$34,A4,RR!$S$3:$S$34)</calculatedColumnFormula>
    </tableColumn>
    <tableColumn id="18" xr3:uid="{8D73CE0E-1B78-417D-9789-0506EC9336AB}" name="Off. Boards" totalsRowFunction="sum" dataDxfId="581" totalsRowDxfId="580">
      <calculatedColumnFormula>SUMIF(RR!$C$3:$C$34,A4,RR!$T$3:$T$34)</calculatedColumnFormula>
    </tableColumn>
    <tableColumn id="19" xr3:uid="{458B1DB5-BF6F-4E00-8305-7AA078039C70}" name="Total Boards" totalsRowFunction="sum" dataDxfId="579" totalsRowDxfId="578">
      <calculatedColumnFormula>SUMIF(RR!$C$3:$C$34,A4,RR!$U$3:$U$34)</calculatedColumnFormula>
    </tableColumn>
    <tableColumn id="20" xr3:uid="{420F5981-9382-445E-97FE-53E35A5BEA67}" name="Dimes" totalsRowFunction="sum" dataDxfId="577" totalsRowDxfId="576">
      <calculatedColumnFormula>SUMIF(RR!$C$3:$C$34,A4,RR!$V$3:$V$34)</calculatedColumnFormula>
    </tableColumn>
    <tableColumn id="21" xr3:uid="{9437E36C-0C64-4EAE-8AC5-15A8E0F41941}" name="Cookies" totalsRowFunction="sum" dataDxfId="575" totalsRowDxfId="574">
      <calculatedColumnFormula>SUMIF(RR!$C$3:$C$34,A4,RR!$W$3:$W$34)</calculatedColumnFormula>
    </tableColumn>
    <tableColumn id="22" xr3:uid="{60EFF67D-2A78-49BB-933C-35D22969486A}" name="Swats" totalsRowFunction="sum" dataDxfId="573" totalsRowDxfId="572">
      <calculatedColumnFormula>SUMIF(RR!$C$3:$C$34,A4,RR!$X$3:$X$34)</calculatedColumnFormula>
    </tableColumn>
    <tableColumn id="23" xr3:uid="{B61818F0-89AB-4480-9414-B5066B0C1C5D}" name="Turnovers" totalsRowFunction="sum" dataDxfId="571" totalsRowDxfId="570">
      <calculatedColumnFormula>SUMIF(RR!$C$3:$C$34,A4,RR!$Y$3:$Y$34)</calculatedColumnFormula>
    </tableColumn>
    <tableColumn id="24" xr3:uid="{43A1EBB0-275F-426E-B093-0C8E9AED1A62}" name="Dimes:TO" totalsRowFunction="average" dataDxfId="569" totalsRowDxfId="568">
      <calculatedColumnFormula>RR_TEAM_TOT[[#This Row],[Dimes]]/RR_TEAM_TOT[[#This Row],[Turnovers]]</calculatedColumnFormula>
    </tableColumn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1445ABBB-03AB-4A9B-A873-AD1AECD6E436}" name="RR_TEAM_AVG" displayName="RR_TEAM_AVG" ref="A13:X19" totalsRowCount="1" headerRowDxfId="567" dataDxfId="566">
  <autoFilter ref="A13:X18" xr:uid="{793E6196-A881-4DBA-9F96-4FFF60836A06}"/>
  <sortState ref="A14:X17">
    <sortCondition descending="1" ref="W13:W18"/>
  </sortState>
  <tableColumns count="24">
    <tableColumn id="1" xr3:uid="{0281CB6F-23FD-4E1F-9D7D-0BEF789F4E19}" name="Team"/>
    <tableColumn id="2" xr3:uid="{49FC8429-0126-4F6A-97DC-DADBCE4FF472}" name="Games Played" dataDxfId="565" totalsRowDxfId="564"/>
    <tableColumn id="3" xr3:uid="{E397BB18-FF70-4096-8C81-547730CD6D4F}" name="Total FGM" totalsRowFunction="average" dataDxfId="563" totalsRowDxfId="562">
      <calculatedColumnFormula>SUM(SUMIF($A$4:$A$8,RR_TEAM_AVG[[#This Row],[Team]],$C$4:$C$8)/B14)</calculatedColumnFormula>
    </tableColumn>
    <tableColumn id="4" xr3:uid="{E55F5986-7BE3-4B5B-83A2-00AB9043C309}" name="Total FGA" totalsRowFunction="average" dataDxfId="561" totalsRowDxfId="560">
      <calculatedColumnFormula>SUM(SUMIF($A$4:$A$8,RR_TEAM_AVG[[#This Row],[Team]],$D$4:$D$8)/B14)</calculatedColumnFormula>
    </tableColumn>
    <tableColumn id="5" xr3:uid="{650E21CA-B960-41AC-9576-78F61191647A}" name="Overall FG%" totalsRowFunction="custom" dataDxfId="559" totalsRowDxfId="558" dataCellStyle="Percent">
      <calculatedColumnFormula>RR_TEAM_AVG[[#This Row],[Total FGM]]/RR_TEAM_AVG[[#This Row],[Total FGA]]</calculatedColumnFormula>
      <totalsRowFormula>RR_TEAM_AVG[[#Totals],[Total FGM]]/RR_TEAM_AVG[[#Totals],[Total FGA]]</totalsRowFormula>
    </tableColumn>
    <tableColumn id="6" xr3:uid="{B178D7FA-7EE7-4BFD-84F9-85E797614B45}" name="2PT FGM" totalsRowFunction="average" dataDxfId="557" totalsRowDxfId="556">
      <calculatedColumnFormula>SUM(SUMIF($A$4:$A$8,RR_TEAM_AVG[[#This Row],[Team]],$F$4:$F$8)/B14)</calculatedColumnFormula>
    </tableColumn>
    <tableColumn id="7" xr3:uid="{E321D852-7519-4E69-A919-4999AAE26024}" name="2PT FGA" totalsRowFunction="average" dataDxfId="555" totalsRowDxfId="554">
      <calculatedColumnFormula>SUM(SUMIF($A$4:$A$8,RR_TEAM_AVG[[#This Row],[Team]],$G$4:$G$8)/B14)</calculatedColumnFormula>
    </tableColumn>
    <tableColumn id="8" xr3:uid="{2907D8FE-EEA2-4E3D-9E49-9197BA79265E}" name="2PT FG%" totalsRowFunction="custom" dataDxfId="553" totalsRowDxfId="552" dataCellStyle="Percent">
      <calculatedColumnFormula>RR_TEAM_AVG[[#This Row],[2PT FGM]]/RR_TEAM_AVG[[#This Row],[2PT FGA]]</calculatedColumnFormula>
      <totalsRowFormula>RR_TEAM_AVG[[#Totals],[2PT FGM]]/RR_TEAM_AVG[[#Totals],[2PT FGA]]</totalsRowFormula>
    </tableColumn>
    <tableColumn id="9" xr3:uid="{606F6386-E8EA-4B00-958E-7BD1B617BF9E}" name="3PT FGM" totalsRowFunction="average" dataDxfId="551" totalsRowDxfId="550">
      <calculatedColumnFormula>SUM(SUMIF($A$4:$A$8,RR_TEAM_AVG[[#This Row],[Team]],$I$4:$I$8)/B14)</calculatedColumnFormula>
    </tableColumn>
    <tableColumn id="10" xr3:uid="{6A779596-75E7-4133-94E9-1808EDBC2BDC}" name="3PT FGA" totalsRowFunction="average" dataDxfId="549" totalsRowDxfId="548">
      <calculatedColumnFormula>SUM(SUMIF($A$4:$A$8,RR_TEAM_AVG[[#This Row],[Team]],$J$4:$J$8)/B14)</calculatedColumnFormula>
    </tableColumn>
    <tableColumn id="11" xr3:uid="{255AAEF2-7377-410F-8AFD-6AAD8F0AA1EB}" name="3PT FG%" totalsRowFunction="custom" dataDxfId="547" totalsRowDxfId="546" dataCellStyle="Percent">
      <calculatedColumnFormula>RR_TEAM_AVG[[#This Row],[3PT FGM]]/RR_TEAM_AVG[[#This Row],[3PT FGA]]</calculatedColumnFormula>
      <totalsRowFormula>RR_TEAM_AVG[[#Totals],[3PT FGM]]/RR_TEAM_AVG[[#Totals],[3PT FGA]]</totalsRowFormula>
    </tableColumn>
    <tableColumn id="12" xr3:uid="{8F9B3FFF-9CAC-4517-A7AA-284E53C4DC15}" name="FTM" totalsRowFunction="average" dataDxfId="545" totalsRowDxfId="544">
      <calculatedColumnFormula>SUM(SUMIF($A$4:$A$8,RR_TEAM_AVG[[#This Row],[Team]],$L$4:$L$8)/B14)</calculatedColumnFormula>
    </tableColumn>
    <tableColumn id="13" xr3:uid="{CEB1E8D1-657B-4575-B148-B1A2AD52218A}" name="FTA" totalsRowFunction="average" dataDxfId="543" totalsRowDxfId="542">
      <calculatedColumnFormula>SUM(SUMIF($A$4:$A$8,RR_TEAM_AVG[[#This Row],[Team]],$M$4:$M$8)/B14)</calculatedColumnFormula>
    </tableColumn>
    <tableColumn id="14" xr3:uid="{EA3E44CF-7C9B-479C-A31C-9499F7D7A6D0}" name="FT %" totalsRowFunction="custom" dataDxfId="541" totalsRowDxfId="540" dataCellStyle="Percent">
      <calculatedColumnFormula>RR_TEAM_AVG[[#This Row],[FTM]]/RR_TEAM_AVG[[#This Row],[FTA]]</calculatedColumnFormula>
      <totalsRowFormula>RR_TEAM_AVG[[#Totals],[FTM]]/RR_TEAM_AVG[[#Totals],[FTA]]</totalsRowFormula>
    </tableColumn>
    <tableColumn id="15" xr3:uid="{8E287E09-D21A-4CD6-B88B-F28245F2CD1D}" name="TOTAL POINTS" totalsRowFunction="average" dataDxfId="539" totalsRowDxfId="538">
      <calculatedColumnFormula>SUM(SUMIF($A$4:$A$8,RR_TEAM_AVG[[#This Row],[Team]],$O$4:$O$8)/B14)</calculatedColumnFormula>
    </tableColumn>
    <tableColumn id="16" xr3:uid="{090E4358-DCB5-40F6-981A-F94D2F4418BA}" name="Dunks" totalsRowFunction="average" dataDxfId="537" totalsRowDxfId="536">
      <calculatedColumnFormula>SUM(SUMIF($A$4:$A$8,RR_TEAM_AVG[[#This Row],[Team]],$P$4:$P$8)/B14)</calculatedColumnFormula>
    </tableColumn>
    <tableColumn id="17" xr3:uid="{3A4B3984-CDB4-402B-8B34-24E9CD7957A0}" name="Def. Boards" totalsRowFunction="average" dataDxfId="535" totalsRowDxfId="534">
      <calculatedColumnFormula>SUM(SUMIF($A$4:$A$8,RR_TEAM_AVG[[#This Row],[Team]],$Q$4:$Q$8)/B14)</calculatedColumnFormula>
    </tableColumn>
    <tableColumn id="18" xr3:uid="{65D6EBF1-38E3-4B42-8D91-1295E04699FC}" name="Off. Boards" totalsRowFunction="average" dataDxfId="533" totalsRowDxfId="532">
      <calculatedColumnFormula>SUM(SUMIF($A$4:$A$8,RR_TEAM_AVG[[#This Row],[Team]],$R$4:$R$8)/B14)</calculatedColumnFormula>
    </tableColumn>
    <tableColumn id="19" xr3:uid="{59F4FE8D-A92E-4528-A830-1FD3D1656B98}" name="Total Boards" totalsRowFunction="average" dataDxfId="531" totalsRowDxfId="530">
      <calculatedColumnFormula>SUM(SUMIF($A$4:$A$8,RR_TEAM_AVG[[#This Row],[Team]],$S$4:$S$8)/B14)</calculatedColumnFormula>
    </tableColumn>
    <tableColumn id="20" xr3:uid="{B25C955F-34E5-4E96-B893-3F4C5F10EE58}" name="Dimes" totalsRowFunction="average" dataDxfId="529" totalsRowDxfId="528">
      <calculatedColumnFormula>SUM(SUMIF($A$4:$A$8,RR_TEAM_AVG[[#This Row],[Team]],$T$4:$T$8)/B14)</calculatedColumnFormula>
    </tableColumn>
    <tableColumn id="21" xr3:uid="{44F819F1-F7AA-47C7-B312-7932A4710984}" name="Cookies" totalsRowFunction="average" dataDxfId="527" totalsRowDxfId="526">
      <calculatedColumnFormula>SUM(SUMIF($A$4:$A$8,RR_TEAM_AVG[[#This Row],[Team]],$U$4:$U$8)/B14)</calculatedColumnFormula>
    </tableColumn>
    <tableColumn id="22" xr3:uid="{3CD1B617-A4F0-45B4-82A7-1B809E8D5EFA}" name="Swats" totalsRowFunction="average" dataDxfId="525" totalsRowDxfId="524">
      <calculatedColumnFormula>SUM(SUMIF($A$4:$A$8,RR_TEAM_AVG[[#This Row],[Team]],$V$4:$V$8)/B14)</calculatedColumnFormula>
    </tableColumn>
    <tableColumn id="23" xr3:uid="{2E865021-6E75-45F1-8612-147C1FAB63ED}" name="Turnovers" totalsRowFunction="average" dataDxfId="523" totalsRowDxfId="522">
      <calculatedColumnFormula>SUM(SUMIF($A$4:$A$8,RR_TEAM_AVG[[#This Row],[Team]],$W$4:$W$8)/B14)</calculatedColumnFormula>
    </tableColumn>
    <tableColumn id="24" xr3:uid="{E736C995-302B-4699-BD7D-B1C2C0698A42}" name="Dimes:TO" totalsRowFunction="average" dataDxfId="521" totalsRowDxfId="520">
      <calculatedColumnFormula>RR_TEAM_AVG[[#This Row],[Dimes]]/RR_TEAM_AVG[[#This Row],[Turnovers]]</calculatedColumnFormula>
    </tableColumn>
  </tableColumns>
  <tableStyleInfo name="TableStyleMedium2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FBAD21B-2EBD-4492-A95D-80AFE5F3A8C7}" name="LITI_1" displayName="LITI_1" ref="A6:W12" totalsRowShown="0" headerRowDxfId="519" headerRowBorderDxfId="518" tableBorderDxfId="517">
  <autoFilter ref="A6:W12" xr:uid="{E6140588-7755-4AD9-A917-54A4E193CA4A}"/>
  <tableColumns count="23">
    <tableColumn id="1" xr3:uid="{AB051E26-B515-412D-ACCD-DF5C103D1792}" name="Column1" dataDxfId="516"/>
    <tableColumn id="2" xr3:uid="{3A8812C0-9B98-4CAB-8AE6-6AE66D5007A2}" name="Total FGM" dataDxfId="515">
      <calculatedColumnFormula>LITI_1[[#This Row],[2PT FGM]]+LITI_1[[#This Row],[3PT FGM]]</calculatedColumnFormula>
    </tableColumn>
    <tableColumn id="3" xr3:uid="{87249122-D6DE-42C3-B600-D23226A441DB}" name="Total FGA" dataDxfId="514"/>
    <tableColumn id="4" xr3:uid="{8C4EE7BF-9436-488D-ACB5-A0D182F9A552}" name="Overall FG%" dataDxfId="513" dataCellStyle="Percent">
      <calculatedColumnFormula>LITI_1[[#This Row],[Total FGM]]/LITI_1[[#This Row],[Total FGA]]</calculatedColumnFormula>
    </tableColumn>
    <tableColumn id="5" xr3:uid="{E9A3420B-3DA8-4C49-A4B5-49A10210C619}" name="2PT FGM" dataDxfId="512"/>
    <tableColumn id="6" xr3:uid="{ACB7B86F-DFEB-418E-97E7-FB67F47C6E2B}" name="2PT FGA" dataDxfId="511"/>
    <tableColumn id="7" xr3:uid="{6C2174AD-3A1C-4755-A0E7-565EE9F109E8}" name="2PT FG%" dataDxfId="510" dataCellStyle="Percent">
      <calculatedColumnFormula>LITI_1[[#This Row],[Total FGM]]/LITI_1[[#This Row],[Total FGA]]</calculatedColumnFormula>
    </tableColumn>
    <tableColumn id="8" xr3:uid="{02CB2064-0B9D-46C5-B69E-297ECFFECF05}" name="3PT FGM" dataDxfId="509"/>
    <tableColumn id="9" xr3:uid="{64776C8D-99D1-488D-817A-E0BBEE0DE638}" name="3PT FGA" dataDxfId="508"/>
    <tableColumn id="10" xr3:uid="{FD6D01E2-F879-40A1-A240-10BE99E22BD7}" name="3PT FG%" dataDxfId="507" dataCellStyle="Percent">
      <calculatedColumnFormula>LITI_1[[#This Row],[3PT FGM]]/LITI_1[[#This Row],[3PT FGA]]</calculatedColumnFormula>
    </tableColumn>
    <tableColumn id="11" xr3:uid="{5D107022-10ED-4469-B761-CB856B014C8F}" name="FTM" dataDxfId="506"/>
    <tableColumn id="12" xr3:uid="{4CD9656C-2FD8-492F-ABED-4A8BD5A26740}" name="FTA" dataDxfId="505"/>
    <tableColumn id="13" xr3:uid="{FB49DD97-CAF0-423D-974E-77E15BF83543}" name="FT %" dataDxfId="504" dataCellStyle="Percent">
      <calculatedColumnFormula>LITI_1[[#This Row],[FTM]]/LITI_1[[#This Row],[FTA]]</calculatedColumnFormula>
    </tableColumn>
    <tableColumn id="14" xr3:uid="{FD3B67DA-A4CF-4CA9-A0A6-5027F670935A}" name="TOTAL POINTS" dataDxfId="503">
      <calculatedColumnFormula>SUM(LITI_1[[#This Row],[2PT FGM]]*2,LITI_1[[#This Row],[3PT FGM]]*3,LITI_1[[#This Row],[FTM]])</calculatedColumnFormula>
    </tableColumn>
    <tableColumn id="15" xr3:uid="{5DA21764-D4D4-49A9-AEF8-9C8E18DF719A}" name="Dunks" dataDxfId="502"/>
    <tableColumn id="16" xr3:uid="{594EA0DF-B7D7-42DC-B7AE-E2E5EA1D1A58}" name="Def. Boards" dataDxfId="501"/>
    <tableColumn id="17" xr3:uid="{5B4680E2-06F7-4391-B3A4-58EBB0201770}" name="Off. Boards" dataDxfId="500"/>
    <tableColumn id="18" xr3:uid="{5A735EF2-E107-44A2-9C1A-635E4FA052A7}" name="Total Boards" dataDxfId="499">
      <calculatedColumnFormula>LITI_1[[#This Row],[Def. Boards]]+LITI_1[[#This Row],[Off. Boards]]</calculatedColumnFormula>
    </tableColumn>
    <tableColumn id="19" xr3:uid="{E84280DD-7E85-4BF5-8D30-8FA24BB9E52D}" name="Dimes" dataDxfId="498"/>
    <tableColumn id="20" xr3:uid="{12FCB4BE-BFC0-42C1-9E60-2FBDD0C1FC92}" name="Cookies" dataDxfId="497"/>
    <tableColumn id="21" xr3:uid="{729B55AD-EEE4-401C-A5DC-889A304F2092}" name="Swats" dataDxfId="496"/>
    <tableColumn id="22" xr3:uid="{121B2A08-024D-4E1B-97B1-2301C6E27418}" name="Turnovers" dataDxfId="495"/>
    <tableColumn id="23" xr3:uid="{D0BB9BD1-8232-48AF-93B8-23D71B8D6773}" name="Dimes:TO" dataDxfId="494">
      <calculatedColumnFormula>LITI_1[[#This Row],[Dimes]]/LITI_1[[#This Row],[Turnovers]]</calculatedColumnFormula>
    </tableColumn>
  </tableColumns>
  <tableStyleInfo name="TableStyleMedium15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411343F-1E46-4484-AAE7-4CB903A2DE45}" name="GN_1" displayName="GN_1" ref="A15:W21" totalsRowShown="0" headerRowDxfId="493" headerRowBorderDxfId="492" tableBorderDxfId="491">
  <autoFilter ref="A15:W21" xr:uid="{A782E2FC-2590-4A53-B00A-6524C8AC2665}"/>
  <tableColumns count="23">
    <tableColumn id="1" xr3:uid="{23A3CEF9-8597-41D3-B981-E9BBF3AB6E69}" name="Column1" dataDxfId="490"/>
    <tableColumn id="2" xr3:uid="{9614CF98-0827-4BF4-BE2F-1F6A31822FF2}" name="Total FGM" dataDxfId="489">
      <calculatedColumnFormula>GN_1[[#This Row],[2PT FGM]]+GN_1[[#This Row],[3PT FGM]]</calculatedColumnFormula>
    </tableColumn>
    <tableColumn id="3" xr3:uid="{07BA9EDF-E021-4E36-8999-148F43B449A1}" name="Total FGA" dataDxfId="488">
      <calculatedColumnFormula>GN_1[[#This Row],[2PT FGA]]+GN_1[[#This Row],[3PT FGA]]</calculatedColumnFormula>
    </tableColumn>
    <tableColumn id="4" xr3:uid="{F27A4F4F-6478-4571-9250-1DEDED5E757D}" name="Overall FG%" dataDxfId="487" dataCellStyle="Percent">
      <calculatedColumnFormula>GN_1[[#This Row],[Total FGM]]/GN_1[[#This Row],[Total FGA]]</calculatedColumnFormula>
    </tableColumn>
    <tableColumn id="5" xr3:uid="{5DCA2EFC-C018-47AC-B48C-8B4A52E88ED0}" name="2PT FGM" dataDxfId="486"/>
    <tableColumn id="6" xr3:uid="{3AE3761E-34E8-4CF1-9294-2EE8B1E93F65}" name="2PT FGA" dataDxfId="485"/>
    <tableColumn id="7" xr3:uid="{9B16C03F-DD7C-4875-858B-707AB6DD2766}" name="2PT FG%" dataDxfId="484" dataCellStyle="Percent">
      <calculatedColumnFormula>GN_1[[#This Row],[2PT FGM]]/GN_1[[#This Row],[2PT FGA]]</calculatedColumnFormula>
    </tableColumn>
    <tableColumn id="8" xr3:uid="{21ACC19A-D842-45FE-86DF-1D04122BE000}" name="3PT FGM" dataDxfId="483"/>
    <tableColumn id="9" xr3:uid="{84E39B37-48AA-4656-B6AB-6E74378F1D1E}" name="3PT FGA" dataDxfId="482"/>
    <tableColumn id="10" xr3:uid="{9AC174DC-2D8D-4D5B-9960-F99BFA8C9206}" name="3PT FG%" dataDxfId="481" dataCellStyle="Percent">
      <calculatedColumnFormula>GN_1[[#This Row],[Total FGM]]/GN_1[[#This Row],[Total FGA]]</calculatedColumnFormula>
    </tableColumn>
    <tableColumn id="11" xr3:uid="{DAC68F70-DB30-421A-B799-31E07E612209}" name="FTM" dataDxfId="480"/>
    <tableColumn id="12" xr3:uid="{A66FDDBB-00E7-4F9F-B08F-594ADC4FC26F}" name="FTA" dataDxfId="479"/>
    <tableColumn id="13" xr3:uid="{6BE82C6A-00AC-4CB9-B6F6-D19AA63E529A}" name="FT %" dataDxfId="478" dataCellStyle="Percent">
      <calculatedColumnFormula>GN_1[[#This Row],[FTM]]/GN_1[[#This Row],[FTA]]</calculatedColumnFormula>
    </tableColumn>
    <tableColumn id="14" xr3:uid="{CF483874-1236-4A22-B89E-CF52A54C23E8}" name="TOTAL POINTS" dataDxfId="477">
      <calculatedColumnFormula>SUM(GN_1[[#This Row],[2PT FGM]]*2,GN_1[[#This Row],[3PT FGM]]*3,GN_1[[#This Row],[FTM]])</calculatedColumnFormula>
    </tableColumn>
    <tableColumn id="15" xr3:uid="{7C92D5CD-3C9F-4B39-B6FC-688897601D3D}" name="Dunks" dataDxfId="476"/>
    <tableColumn id="16" xr3:uid="{3536AA25-2E0B-4255-AE98-4121FCE5B6DD}" name="Def. Boards" dataDxfId="475"/>
    <tableColumn id="17" xr3:uid="{DC78F13C-1463-4929-88E7-4B1F14AA4DD5}" name="Off. Boards" dataDxfId="474"/>
    <tableColumn id="18" xr3:uid="{539CFD3D-D336-4467-A629-73EAC7CB8BA7}" name="Total Boards" dataDxfId="473">
      <calculatedColumnFormula>GN_1[[#This Row],[Def. Boards]]+GN_1[[#This Row],[Off. Boards]]</calculatedColumnFormula>
    </tableColumn>
    <tableColumn id="19" xr3:uid="{47FDA89D-D14B-44C1-9065-0CAAA95AE05A}" name="Dimes" dataDxfId="472"/>
    <tableColumn id="20" xr3:uid="{7052D3DA-75E8-4CF8-8BBF-47668F4D4968}" name="Cookies" dataDxfId="471"/>
    <tableColumn id="21" xr3:uid="{C66AB7BD-A0B9-4038-99D8-01CE2EA2C419}" name="Swats" dataDxfId="470"/>
    <tableColumn id="22" xr3:uid="{9F73597C-FF36-4D1A-B080-DF4E8AEE2C0E}" name="Turnovers" dataDxfId="469"/>
    <tableColumn id="23" xr3:uid="{78C86C53-3C0B-44EC-A2BB-88975AC1C4A2}" name="Dimes:TO" dataDxfId="468">
      <calculatedColumnFormula>GN_1[[#This Row],[Dimes]]/GN_1[[#This Row],[Turnovers]]</calculatedColumnFormula>
    </tableColumn>
  </tableColumns>
  <tableStyleInfo name="TableStyleMedium14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AFEC417-2E15-47D8-9861-C30EE9A9C670}" name="GEN_1" displayName="GEN_1" ref="A27:W33" totalsRowShown="0" headerRowDxfId="467" headerRowBorderDxfId="466" tableBorderDxfId="465">
  <autoFilter ref="A27:W33" xr:uid="{13FA7D4D-FA67-4516-8FC4-5B9666E3743B}"/>
  <tableColumns count="23">
    <tableColumn id="1" xr3:uid="{C9B435BE-0F72-4E89-88BA-29FC3A58B00D}" name="Column1" dataDxfId="464"/>
    <tableColumn id="2" xr3:uid="{21E104A1-E4A7-4E80-A55E-57F15D985C42}" name="Total FGM" dataDxfId="463">
      <calculatedColumnFormula>GEN_1[[#This Row],[2PT FGM]]+GEN_1[[#This Row],[3PT FGM]]</calculatedColumnFormula>
    </tableColumn>
    <tableColumn id="3" xr3:uid="{659D0456-0AE9-402D-ABE1-D8E289BDD721}" name="Total FGA" dataDxfId="462"/>
    <tableColumn id="4" xr3:uid="{8BE4C092-43A4-42A2-B858-7596C3DEED28}" name="Overall FG%" dataDxfId="461" dataCellStyle="Percent">
      <calculatedColumnFormula>GEN_1[[#This Row],[Total FGM]]/GEN_1[[#This Row],[Total FGA]]</calculatedColumnFormula>
    </tableColumn>
    <tableColumn id="5" xr3:uid="{8A085AD8-404D-4B01-A1DF-8A7654D73597}" name="2PT FGM" dataDxfId="460"/>
    <tableColumn id="6" xr3:uid="{AAB558A6-E0A6-4C53-B35D-F3B208EE5140}" name="2PT FGA" dataDxfId="459"/>
    <tableColumn id="7" xr3:uid="{23E7F1FA-0A16-4400-B41F-A0284E511513}" name="2PT FG%" dataDxfId="458" dataCellStyle="Percent">
      <calculatedColumnFormula>GEN_1[[#This Row],[Total FGM]]/GEN_1[[#This Row],[Total FGA]]</calculatedColumnFormula>
    </tableColumn>
    <tableColumn id="8" xr3:uid="{C3DD93CE-5E28-48A2-9179-1D7DADD11F61}" name="3PT FGM" dataDxfId="457"/>
    <tableColumn id="9" xr3:uid="{E44FE1D8-A51F-4180-9857-3FD8461919F5}" name="3PT FGA" dataDxfId="456"/>
    <tableColumn id="10" xr3:uid="{24667AD7-06AC-47C0-9D58-44F4CF7A709F}" name="3PT FG%" dataDxfId="455" dataCellStyle="Percent">
      <calculatedColumnFormula>GEN_1[[#This Row],[3PT FGM]]/GEN_1[[#This Row],[3PT FGA]]</calculatedColumnFormula>
    </tableColumn>
    <tableColumn id="11" xr3:uid="{65E80B69-BA06-462A-9506-16AB60275D36}" name="FTM" dataDxfId="454"/>
    <tableColumn id="12" xr3:uid="{FFD0371C-4FB2-46A1-B89F-AA6CCB723325}" name="FTA" dataDxfId="453"/>
    <tableColumn id="13" xr3:uid="{6558F6D5-DD64-4BD5-ACBB-CB305294E64B}" name="FT %" dataDxfId="452" dataCellStyle="Percent">
      <calculatedColumnFormula>GEN_1[[#This Row],[FTM]]/GEN_1[[#This Row],[FTA]]</calculatedColumnFormula>
    </tableColumn>
    <tableColumn id="14" xr3:uid="{D786206C-134B-4FB0-825F-3A7367E8F325}" name="TOTAL POINTS" dataDxfId="451">
      <calculatedColumnFormula>SUM(GEN_1[[#This Row],[2PT FGM]]*2,GEN_1[[#This Row],[3PT FGM]]*3,GEN_1[[#This Row],[FTM]])</calculatedColumnFormula>
    </tableColumn>
    <tableColumn id="15" xr3:uid="{E11B15C3-DF04-4841-88E1-83BAAFE35E6F}" name="Dunks" dataDxfId="450"/>
    <tableColumn id="16" xr3:uid="{E2D01F0A-6B6A-4E23-A8DC-2299FF9830DC}" name="Def. Boards" dataDxfId="449"/>
    <tableColumn id="17" xr3:uid="{DCA6897C-CDE4-486A-A75C-1922AAA180C5}" name="Off. Boards" dataDxfId="448"/>
    <tableColumn id="18" xr3:uid="{C3AD4946-DC70-470E-84F3-6D92583A23E0}" name="Total Boards" dataDxfId="447">
      <calculatedColumnFormula>GEN_1[[#This Row],[Def. Boards]]+GEN_1[[#This Row],[Off. Boards]]</calculatedColumnFormula>
    </tableColumn>
    <tableColumn id="19" xr3:uid="{77B16CC3-4E4E-4A8F-BE1C-2B24AA84C3A2}" name="Dimes" dataDxfId="446"/>
    <tableColumn id="20" xr3:uid="{6D1B36FE-1160-49D7-AB6A-E62014467BAE}" name="Cookies" dataDxfId="445"/>
    <tableColumn id="21" xr3:uid="{438004C8-115B-4C28-82B8-0C61F396BA19}" name="Swats" dataDxfId="444"/>
    <tableColumn id="22" xr3:uid="{E1FFAF8A-DD4D-419D-AABB-587820817FBB}" name="Turnovers" dataDxfId="443"/>
    <tableColumn id="23" xr3:uid="{BAB05A08-9A47-4562-9D5D-DE6856DA5172}" name="Dimes:TO" dataDxfId="442">
      <calculatedColumnFormula>GEN_1[[#This Row],[Dimes]]/GEN_1[[#This Row],[Turnovers]]</calculatedColumnFormula>
    </tableColumn>
  </tableColumns>
  <tableStyleInfo name="TableStyleMedium15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E0C5062-7EE7-4F35-A5D6-210CCD581425}" name="AKA_1" displayName="AKA_1" ref="A36:W42" totalsRowShown="0" headerRowDxfId="441" headerRowBorderDxfId="440" tableBorderDxfId="439">
  <autoFilter ref="A36:W42" xr:uid="{EA751740-FA93-40ED-A8B1-12BB170B8A79}"/>
  <tableColumns count="23">
    <tableColumn id="1" xr3:uid="{D561D7E9-DF55-4FBA-B7D5-319A473246C7}" name="Column1" dataDxfId="438"/>
    <tableColumn id="2" xr3:uid="{5159E669-448F-466E-991B-05CC3B85ED46}" name="Total FGM" dataDxfId="437">
      <calculatedColumnFormula>AKA_1[[#This Row],[2PT FGM]]+AKA_1[[#This Row],[3PT FGM]]</calculatedColumnFormula>
    </tableColumn>
    <tableColumn id="3" xr3:uid="{CB1EB525-A9EA-4DB1-9DF5-7E1766AC1CD8}" name="Total FGA" dataDxfId="436">
      <calculatedColumnFormula>AKA_1[[#This Row],[2PT FGA]]+AKA_1[[#This Row],[3PT FGA]]</calculatedColumnFormula>
    </tableColumn>
    <tableColumn id="4" xr3:uid="{56FDEBEF-1E64-4E48-8813-CFEA78F3A074}" name="Overall FG%" dataDxfId="435" dataCellStyle="Percent">
      <calculatedColumnFormula>AKA_1[[#This Row],[Total FGM]]/AKA_1[[#This Row],[Total FGA]]</calculatedColumnFormula>
    </tableColumn>
    <tableColumn id="5" xr3:uid="{A309ED64-1E58-4F52-B841-1E903CB8FFE9}" name="2PT FGM" dataDxfId="434"/>
    <tableColumn id="6" xr3:uid="{F19ABD3C-10DF-4018-98F0-BE7DEAF0EF86}" name="2PT FGA" dataDxfId="433"/>
    <tableColumn id="7" xr3:uid="{EB99D1CC-3233-4142-9295-7E45C3B0991F}" name="2PT FG%" dataDxfId="432" dataCellStyle="Percent">
      <calculatedColumnFormula>AKA_1[[#This Row],[2PT FGM]]/AKA_1[[#This Row],[2PT FGA]]</calculatedColumnFormula>
    </tableColumn>
    <tableColumn id="8" xr3:uid="{2F59F708-A6C7-4EAC-984B-7B72B31FB0D3}" name="3PT FGM" dataDxfId="431"/>
    <tableColumn id="9" xr3:uid="{C9E2FEAE-CFC5-4A79-8CFB-C1EE93CCD873}" name="3PT FGA" dataDxfId="430"/>
    <tableColumn id="10" xr3:uid="{46229001-66F7-41D3-B43D-F626495FCB41}" name="3PT FG%" dataDxfId="429" dataCellStyle="Percent">
      <calculatedColumnFormula>AKA_1[[#This Row],[Total FGM]]/AKA_1[[#This Row],[Total FGA]]</calculatedColumnFormula>
    </tableColumn>
    <tableColumn id="11" xr3:uid="{7FB340BE-4AE9-4AA8-9D94-1FC67EF078E9}" name="FTM" dataDxfId="428"/>
    <tableColumn id="12" xr3:uid="{50386FA7-FD3A-43C5-A7B5-BF3513A26C50}" name="FTA" dataDxfId="427"/>
    <tableColumn id="13" xr3:uid="{7D55F913-C6AA-4A51-9658-C48FB22B5822}" name="FT %" dataDxfId="426" dataCellStyle="Percent">
      <calculatedColumnFormula>AKA_1[[#This Row],[FTM]]/AKA_1[[#This Row],[FTA]]</calculatedColumnFormula>
    </tableColumn>
    <tableColumn id="14" xr3:uid="{56C54F2F-3506-48BB-9F2B-D517A08A315F}" name="TOTAL POINTS" dataDxfId="425">
      <calculatedColumnFormula>SUM(AKA_1[[#This Row],[2PT FGM]]*2,AKA_1[[#This Row],[3PT FGM]]*3,AKA_1[[#This Row],[FTM]])</calculatedColumnFormula>
    </tableColumn>
    <tableColumn id="15" xr3:uid="{3AA35835-5712-4AD7-BEB1-67B93F572FBF}" name="Dunks" dataDxfId="424"/>
    <tableColumn id="16" xr3:uid="{13BDEC02-7EBA-472D-9686-E841BD4B0DEA}" name="Def. Boards" dataDxfId="423"/>
    <tableColumn id="17" xr3:uid="{D7914161-D612-419D-986E-BBF5DDF56078}" name="Off. Boards" dataDxfId="422"/>
    <tableColumn id="18" xr3:uid="{8ED9B99B-321B-47D0-B9E0-6F43477806F6}" name="Total Boards" dataDxfId="421">
      <calculatedColumnFormula>AKA_1[[#This Row],[Def. Boards]]+AKA_1[[#This Row],[Off. Boards]]</calculatedColumnFormula>
    </tableColumn>
    <tableColumn id="19" xr3:uid="{AADE3DAA-64F5-49B4-AEC0-DD403F4A5480}" name="Dimes" dataDxfId="420"/>
    <tableColumn id="20" xr3:uid="{825D33AA-208A-41F6-BB6A-D3EC19CE4FFD}" name="Cookies" dataDxfId="419"/>
    <tableColumn id="21" xr3:uid="{E4357D72-0253-46CE-B552-BE2771E18653}" name="Swats" dataDxfId="418"/>
    <tableColumn id="22" xr3:uid="{566490B4-12AD-4B92-9B66-4E81A61F3E5F}" name="Turnovers" dataDxfId="417"/>
    <tableColumn id="23" xr3:uid="{603F3342-B487-43EF-94CF-85E6D315EC86}" name="Dimes:TO" dataDxfId="416">
      <calculatedColumnFormula>AKA_1[[#This Row],[Dimes]]/AKA_1[[#This Row],[Turnovers]]</calculatedColumnFormula>
    </tableColumn>
  </tableColumns>
  <tableStyleInfo name="TableStyleMedium14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1EBF43C-BDCC-4B19-9C94-B29DA4FE4AE3}" name="BH_1" displayName="BH_1" ref="A48:W54" totalsRowShown="0" headerRowDxfId="415" headerRowBorderDxfId="414" tableBorderDxfId="413">
  <autoFilter ref="A48:W54" xr:uid="{025DD121-9626-478F-B1B0-755C9035EE23}"/>
  <tableColumns count="23">
    <tableColumn id="1" xr3:uid="{8AF13B32-85BE-4D33-9C42-91DA95EDB695}" name="Column1" dataDxfId="412"/>
    <tableColumn id="2" xr3:uid="{2EC69EB5-195C-495A-82BE-80E9C52C46C2}" name="Total FGM" dataDxfId="411">
      <calculatedColumnFormula>BH_1[[#This Row],[2PT FGM]]+BH_1[[#This Row],[3PT FGM]]</calculatedColumnFormula>
    </tableColumn>
    <tableColumn id="3" xr3:uid="{8C4FEA26-8103-48BC-B099-75C2FA70CFDA}" name="Total FGA" dataDxfId="410"/>
    <tableColumn id="4" xr3:uid="{D074F7AB-C6D4-4EF6-A178-4F17DDB8E80D}" name="Overall FG%" dataDxfId="409" dataCellStyle="Percent">
      <calculatedColumnFormula>BH_1[[#This Row],[Total FGM]]/BH_1[[#This Row],[Total FGA]]</calculatedColumnFormula>
    </tableColumn>
    <tableColumn id="5" xr3:uid="{D1E5DD40-1C69-44F6-A349-B223845C50DB}" name="2PT FGM" dataDxfId="408"/>
    <tableColumn id="6" xr3:uid="{5CFD0040-86E7-4E69-A3EA-8CC2D2F0CB45}" name="2PT FGA" dataDxfId="407"/>
    <tableColumn id="7" xr3:uid="{7D0293DB-7756-460C-B18F-3114AE9EC0D0}" name="2PT FG%" dataDxfId="406" dataCellStyle="Percent">
      <calculatedColumnFormula>BH_1[[#This Row],[2PT FGM]]/BH_1[[#This Row],[2PT FGA]]</calculatedColumnFormula>
    </tableColumn>
    <tableColumn id="8" xr3:uid="{C5F27432-0C98-4ED8-B74F-E9B497891042}" name="3PT FGM" dataDxfId="405"/>
    <tableColumn id="9" xr3:uid="{01235206-8FCB-4D34-AC4B-5D9098B0E987}" name="3PT FGA" dataDxfId="404"/>
    <tableColumn id="10" xr3:uid="{6C535F7B-8F08-4FAD-816D-83011B400A2E}" name="3PT FG%" dataDxfId="403" dataCellStyle="Percent">
      <calculatedColumnFormula>BH_1[[#This Row],[3PT FGM]]/BH_1[[#This Row],[3PT FGA]]</calculatedColumnFormula>
    </tableColumn>
    <tableColumn id="11" xr3:uid="{02C8384E-B0AB-4C69-91F3-3ADEBB99CF53}" name="FTM" dataDxfId="402"/>
    <tableColumn id="12" xr3:uid="{9A453504-0363-4CBD-9400-948F59D082CB}" name="FTA" dataDxfId="401"/>
    <tableColumn id="13" xr3:uid="{542544CF-FCA5-4830-8674-5459BE163D9E}" name="FT %" dataDxfId="400" dataCellStyle="Percent">
      <calculatedColumnFormula>BH_1[[#This Row],[FTM]]/BH_1[[#This Row],[FTA]]</calculatedColumnFormula>
    </tableColumn>
    <tableColumn id="14" xr3:uid="{6427E892-61E5-4CDF-A556-66A730E6A52D}" name="TOTAL POINTS" dataDxfId="399">
      <calculatedColumnFormula>SUM(BH_1[[#This Row],[2PT FGM]]*2,BH_1[[#This Row],[3PT FGM]]*3,BH_1[[#This Row],[FTM]])</calculatedColumnFormula>
    </tableColumn>
    <tableColumn id="15" xr3:uid="{2FDCD5B6-EF36-410A-ABDD-110BFC7194D6}" name="Dunks" dataDxfId="398"/>
    <tableColumn id="16" xr3:uid="{6F282E47-CE02-40AB-A853-E6A6666E2494}" name="Def. Boards" dataDxfId="397"/>
    <tableColumn id="17" xr3:uid="{1318FA54-C065-4506-81D3-96256F44B279}" name="Off. Boards" dataDxfId="396"/>
    <tableColumn id="18" xr3:uid="{380993EA-8BB2-46DF-828A-0EA015FA8916}" name="Total Boards" dataDxfId="395">
      <calculatedColumnFormula>BH_1[[#This Row],[Def. Boards]]+BH_1[[#This Row],[Off. Boards]]</calculatedColumnFormula>
    </tableColumn>
    <tableColumn id="19" xr3:uid="{54369A0F-89CA-4417-92D0-840C40A87B4D}" name="Dimes" dataDxfId="394"/>
    <tableColumn id="20" xr3:uid="{6C1B1999-8F0F-492A-A7B5-B7C56EED8DEF}" name="Cookies" dataDxfId="393"/>
    <tableColumn id="21" xr3:uid="{0BE5E984-7B93-4DCF-86BB-0C14CD6AB0F0}" name="Swats" dataDxfId="392"/>
    <tableColumn id="22" xr3:uid="{7D4173E8-8F83-46D1-A1D5-B9F811F6CE09}" name="Turnovers" dataDxfId="391"/>
    <tableColumn id="23" xr3:uid="{55F12FE0-503F-405C-91DE-1956A0066085}" name="Dimes:TO" dataDxfId="390">
      <calculatedColumnFormula>BH_1[[#This Row],[Dimes]]/BH_1[[#This Row],[Turnovers]]</calculatedColumnFormula>
    </tableColumn>
  </tableColumns>
  <tableStyleInfo name="TableStyleMedium15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25ACF23-264E-4AA0-B104-DEC634B454D5}" name="GN_2" displayName="GN_2" ref="A57:W63" totalsRowShown="0" headerRowDxfId="389" headerRowBorderDxfId="388" tableBorderDxfId="387">
  <autoFilter ref="A57:W63" xr:uid="{48F3F893-2ED3-4FD3-AA47-8F7B8D7DF1EF}"/>
  <tableColumns count="23">
    <tableColumn id="1" xr3:uid="{CCC9CB7A-23E3-40F4-90A2-D846653106E4}" name="Column1" dataDxfId="386"/>
    <tableColumn id="2" xr3:uid="{3B76085E-14A6-4DB5-BE98-A138F43C022E}" name="Total FGM" dataDxfId="385">
      <calculatedColumnFormula>GN_2[[#This Row],[2PT FGM]]+GN_2[[#This Row],[3PT FGM]]</calculatedColumnFormula>
    </tableColumn>
    <tableColumn id="3" xr3:uid="{68E5424F-8D8B-4440-9A59-64FD84A1BCC7}" name="Total FGA" dataDxfId="384">
      <calculatedColumnFormula>GN_2[[#This Row],[2PT FGA]]+GN_2[[#This Row],[3PT FGA]]</calculatedColumnFormula>
    </tableColumn>
    <tableColumn id="4" xr3:uid="{9DF1F171-195F-4924-9FD6-E163CFFB4C1E}" name="Overall FG%" dataDxfId="383" dataCellStyle="Percent">
      <calculatedColumnFormula>GN_2[[#This Row],[Total FGM]]/GN_2[[#This Row],[Total FGA]]</calculatedColumnFormula>
    </tableColumn>
    <tableColumn id="5" xr3:uid="{7668FC64-7EE2-4B33-9795-1D35E50B01C6}" name="2PT FGM" dataDxfId="382"/>
    <tableColumn id="6" xr3:uid="{04C9B919-6AC5-457D-AF45-C9FAE1D3FBF1}" name="2PT FGA" dataDxfId="381"/>
    <tableColumn id="7" xr3:uid="{C00B7F86-4E13-4B28-962A-FB02FD269B2E}" name="2PT FG%" dataDxfId="380" dataCellStyle="Percent">
      <calculatedColumnFormula>GN_2[[#This Row],[2PT FGM]]/GN_2[[#This Row],[2PT FGA]]</calculatedColumnFormula>
    </tableColumn>
    <tableColumn id="8" xr3:uid="{1821FE30-2594-4E05-8978-B35C03A5B6ED}" name="3PT FGM" dataDxfId="379"/>
    <tableColumn id="9" xr3:uid="{CD48E874-D63C-49F6-9C75-253BF133FEC5}" name="3PT FGA" dataDxfId="378"/>
    <tableColumn id="10" xr3:uid="{42B35BB6-1707-4A1F-AC11-A08AB63964EF}" name="3PT FG%" dataDxfId="377" dataCellStyle="Percent">
      <calculatedColumnFormula>GN_2[[#This Row],[Total FGM]]/GN_2[[#This Row],[Total FGA]]</calculatedColumnFormula>
    </tableColumn>
    <tableColumn id="11" xr3:uid="{D050D333-18CD-4B21-925D-DF00A6DF81BA}" name="FTM" dataDxfId="376"/>
    <tableColumn id="12" xr3:uid="{7BFC63C8-A6EE-4E29-8692-E526942B030E}" name="FTA" dataDxfId="375"/>
    <tableColumn id="13" xr3:uid="{064B64B8-C4A3-4ED9-B6BE-3DE46E560EDB}" name="FT %" dataDxfId="374" dataCellStyle="Percent">
      <calculatedColumnFormula>GN_2[[#This Row],[FTM]]/GN_2[[#This Row],[FTA]]</calculatedColumnFormula>
    </tableColumn>
    <tableColumn id="14" xr3:uid="{17380F2E-E00B-43FD-87D9-C74BD551809B}" name="TOTAL POINTS" dataDxfId="373">
      <calculatedColumnFormula>SUM(GN_2[[#This Row],[2PT FGM]]*2,GN_2[[#This Row],[3PT FGM]]*3,GN_2[[#This Row],[FTM]])</calculatedColumnFormula>
    </tableColumn>
    <tableColumn id="15" xr3:uid="{60993F34-B1EA-489C-9AD9-B8B1D824D3A8}" name="Dunks" dataDxfId="372"/>
    <tableColumn id="16" xr3:uid="{88C32EA8-3D75-41E0-8E52-4E9CE7B72709}" name="Def. Boards" dataDxfId="371"/>
    <tableColumn id="17" xr3:uid="{D7D61E14-75FF-4182-8611-6A774DBF97AB}" name="Off. Boards" dataDxfId="370"/>
    <tableColumn id="18" xr3:uid="{6CDC40CF-B0EB-4AD8-A551-588BE2EFAAEC}" name="Total Boards" dataDxfId="369">
      <calculatedColumnFormula>GN_2[[#This Row],[Def. Boards]]+GN_2[[#This Row],[Off. Boards]]</calculatedColumnFormula>
    </tableColumn>
    <tableColumn id="19" xr3:uid="{FAED1715-170F-4CD8-907E-3F84868335B4}" name="Dimes" dataDxfId="368"/>
    <tableColumn id="20" xr3:uid="{A5A5BB4D-A420-491B-BB98-3753D405CA81}" name="Cookies" dataDxfId="367"/>
    <tableColumn id="21" xr3:uid="{A1CFADB8-F32F-491E-8A09-9AA8CFFB3F92}" name="Swats" dataDxfId="366"/>
    <tableColumn id="22" xr3:uid="{71238F31-5C48-4BFE-AA06-DEFA54B6D3E4}" name="Turnovers" dataDxfId="365"/>
    <tableColumn id="23" xr3:uid="{0C321A43-A3D6-4AB6-9BF8-774554AAEE13}" name="Dimes:TO" dataDxfId="364">
      <calculatedColumnFormula>GN_2[[#This Row],[Dimes]]/GN_2[[#This Row],[Turnovers]]</calculatedColumnFormula>
    </tableColumn>
  </tableColumns>
  <tableStyleInfo name="TableStyleMedium14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611EC87-F93A-4CC6-9947-E19C815BDEA7}" name="LITI_2" displayName="LITI_2" ref="A69:W75" totalsRowShown="0" headerRowDxfId="363" headerRowBorderDxfId="362" tableBorderDxfId="361">
  <autoFilter ref="A69:W75" xr:uid="{FBD3F9EF-BA08-406F-852D-275515F27F01}"/>
  <tableColumns count="23">
    <tableColumn id="1" xr3:uid="{7D0516CA-6485-4996-9762-2252A5D001AF}" name="Column1" dataDxfId="360"/>
    <tableColumn id="2" xr3:uid="{25F38BE8-383D-43A3-B7E1-82B0E3448105}" name="Total FGM" dataDxfId="359">
      <calculatedColumnFormula>LITI_2[[#This Row],[2PT FGM]]+LITI_2[[#This Row],[3PT FGM]]</calculatedColumnFormula>
    </tableColumn>
    <tableColumn id="3" xr3:uid="{9017C1BA-A3E4-4C67-B3EC-EFD86631A9BC}" name="Total FGA" dataDxfId="358"/>
    <tableColumn id="4" xr3:uid="{7699D4BE-E241-4667-852A-76163554284A}" name="Overall FG%" dataDxfId="357" dataCellStyle="Percent">
      <calculatedColumnFormula>LITI_2[[#This Row],[Total FGM]]/LITI_2[[#This Row],[Total FGA]]</calculatedColumnFormula>
    </tableColumn>
    <tableColumn id="5" xr3:uid="{DCC09881-BF4E-4F19-B1C0-627325B7D7B8}" name="2PT FGM" dataDxfId="356"/>
    <tableColumn id="6" xr3:uid="{7D975D12-520B-42ED-9018-A97711A67A67}" name="2PT FGA" dataDxfId="355"/>
    <tableColumn id="7" xr3:uid="{8F0BC563-7C2E-491C-A0E7-D3031BFECC30}" name="2PT FG%" dataDxfId="354" dataCellStyle="Percent">
      <calculatedColumnFormula>LITI_2[[#This Row],[2PT FGM]]/LITI_2[[#This Row],[2PT FGA]]</calculatedColumnFormula>
    </tableColumn>
    <tableColumn id="8" xr3:uid="{E8BF1B51-434E-491A-A5B8-234A93B71EC5}" name="3PT FGM" dataDxfId="353"/>
    <tableColumn id="9" xr3:uid="{B2A2541C-53B3-4F56-9117-265103396600}" name="3PT FGA" dataDxfId="352"/>
    <tableColumn id="10" xr3:uid="{025444C3-175A-4534-857A-7AEA2D1E1874}" name="3PT FG%" dataDxfId="351" dataCellStyle="Percent">
      <calculatedColumnFormula>LITI_2[[#This Row],[3PT FGM]]/LITI_2[[#This Row],[3PT FGA]]</calculatedColumnFormula>
    </tableColumn>
    <tableColumn id="11" xr3:uid="{EC51FFFA-7D54-48C8-A6E2-E515BE951FDA}" name="FTM" dataDxfId="350"/>
    <tableColumn id="12" xr3:uid="{40CE1271-3B45-45DA-939A-5C958F6D4581}" name="FTA" dataDxfId="349"/>
    <tableColumn id="13" xr3:uid="{A760612E-DE77-482A-991B-491358977621}" name="FT %" dataDxfId="348" dataCellStyle="Percent">
      <calculatedColumnFormula>LITI_2[[#This Row],[FTM]]/LITI_2[[#This Row],[FTA]]</calculatedColumnFormula>
    </tableColumn>
    <tableColumn id="14" xr3:uid="{B55F2826-9186-4E75-9AE9-DD5C7C85A891}" name="TOTAL POINTS" dataDxfId="347">
      <calculatedColumnFormula>SUM(LITI_2[[#This Row],[2PT FGM]]*2,LITI_2[[#This Row],[3PT FGM]]*3,LITI_2[[#This Row],[FTM]])</calculatedColumnFormula>
    </tableColumn>
    <tableColumn id="15" xr3:uid="{C341A80E-4520-47E8-ACED-458D19B8C782}" name="Dunks" dataDxfId="346"/>
    <tableColumn id="16" xr3:uid="{51C41C29-1BAE-4A3A-84DA-534B04A7A2F6}" name="Def. Boards" dataDxfId="345"/>
    <tableColumn id="17" xr3:uid="{3F7208D4-463E-4CDE-BD4A-38A2687E8A75}" name="Off. Boards" dataDxfId="344"/>
    <tableColumn id="18" xr3:uid="{CDCC55C2-B88B-4AFE-8FC4-BBE21E6145F4}" name="Total Boards" dataDxfId="343">
      <calculatedColumnFormula>LITI_2[[#This Row],[Def. Boards]]+LITI_2[[#This Row],[Off. Boards]]</calculatedColumnFormula>
    </tableColumn>
    <tableColumn id="19" xr3:uid="{93FB69C9-4979-46EA-B084-2A154498F43D}" name="Dimes" dataDxfId="342"/>
    <tableColumn id="20" xr3:uid="{4AEDEB3D-60BD-4293-A955-6802995AFB98}" name="Cookies" dataDxfId="341"/>
    <tableColumn id="21" xr3:uid="{01DFEBB0-61AD-4EF6-AAC3-9669A5F109F7}" name="Swats" dataDxfId="340"/>
    <tableColumn id="22" xr3:uid="{0DDA686F-EBED-4997-8AAB-C996D89C88D9}" name="Turnovers" dataDxfId="339"/>
    <tableColumn id="23" xr3:uid="{2CD8DFE7-6005-494A-8C7F-5AA07C5CE1DC}" name="Dimes:TO" dataDxfId="338">
      <calculatedColumnFormula>LITI_2[[#This Row],[Dimes]]/LITI_2[[#This Row],[Turnovers]]</calculatedColumnFormula>
    </tableColumn>
  </tableColumns>
  <tableStyleInfo name="TableStyleMedium15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C79AD2CB-8734-304E-828E-F396CF38DFDE}" name="GN_258" displayName="GN_258" ref="A78:W84" totalsRowShown="0" headerRowDxfId="337" headerRowBorderDxfId="336" tableBorderDxfId="335">
  <autoFilter ref="A78:W84" xr:uid="{2828AFA8-59B7-8A4B-A1DB-3AF2DE1447A8}"/>
  <tableColumns count="23">
    <tableColumn id="1" xr3:uid="{27A2BA50-DE3E-2A41-AD8D-AE0CA74C7B85}" name="Column1" dataDxfId="334"/>
    <tableColumn id="2" xr3:uid="{011FC193-ABFC-A543-931D-C2059EF4D180}" name="Total FGM" dataDxfId="333">
      <calculatedColumnFormula>GN_258[[#This Row],[2PT FGM]]+GN_258[[#This Row],[3PT FGM]]</calculatedColumnFormula>
    </tableColumn>
    <tableColumn id="3" xr3:uid="{7BDF8CE6-F1BB-6B48-B1FD-D0604301F6B6}" name="Total FGA" dataDxfId="332">
      <calculatedColumnFormula>GN_258[[#This Row],[2PT FGA]]+GN_258[[#This Row],[3PT FGA]]</calculatedColumnFormula>
    </tableColumn>
    <tableColumn id="4" xr3:uid="{17E9C8F2-B66A-D746-94E2-532007A4DB04}" name="Overall FG%" dataDxfId="331" dataCellStyle="Percent">
      <calculatedColumnFormula>GN_258[[#This Row],[Total FGM]]/GN_258[[#This Row],[Total FGA]]</calculatedColumnFormula>
    </tableColumn>
    <tableColumn id="5" xr3:uid="{54CF33E8-1E6B-D14A-A711-204A80A09A9D}" name="2PT FGM" dataDxfId="330"/>
    <tableColumn id="6" xr3:uid="{5F40B01D-CD2A-CE47-B681-60F6F5158A1E}" name="2PT FGA" dataDxfId="329"/>
    <tableColumn id="7" xr3:uid="{027C0F38-1065-6540-82C8-D7DE32F9D954}" name="2PT FG%" dataDxfId="328" dataCellStyle="Percent">
      <calculatedColumnFormula>GN_258[[#This Row],[2PT FGM]]/GN_258[[#This Row],[2PT FGA]]</calculatedColumnFormula>
    </tableColumn>
    <tableColumn id="8" xr3:uid="{7EB9041D-E7EF-3F49-A2E6-5130D8C37E49}" name="3PT FGM" dataDxfId="327"/>
    <tableColumn id="9" xr3:uid="{D990C16E-031A-1A4D-BFA0-09BCC4280C44}" name="3PT FGA" dataDxfId="326"/>
    <tableColumn id="10" xr3:uid="{405C492E-DFB1-8748-97D5-E83C9E43F7A8}" name="3PT FG%" dataDxfId="325" dataCellStyle="Percent">
      <calculatedColumnFormula>GN_258[[#This Row],[Total FGM]]/GN_258[[#This Row],[Total FGA]]</calculatedColumnFormula>
    </tableColumn>
    <tableColumn id="11" xr3:uid="{23423218-0A70-FD4E-866C-F5D553E0BF51}" name="FTM" dataDxfId="324"/>
    <tableColumn id="12" xr3:uid="{B96AED25-A9E0-B64F-949D-748CEC1E327D}" name="FTA" dataDxfId="323"/>
    <tableColumn id="13" xr3:uid="{3CD9914E-6257-A346-8E41-091E389B4AF9}" name="FT %" dataDxfId="322" dataCellStyle="Percent">
      <calculatedColumnFormula>GN_258[[#This Row],[FTM]]/GN_258[[#This Row],[FTA]]</calculatedColumnFormula>
    </tableColumn>
    <tableColumn id="14" xr3:uid="{73C04A75-9F30-C74B-B2CE-E2AE6BB18F1E}" name="TOTAL POINTS" dataDxfId="321">
      <calculatedColumnFormula>SUM(GN_258[[#This Row],[2PT FGM]]*2,GN_258[[#This Row],[3PT FGM]]*3,GN_258[[#This Row],[FTM]])</calculatedColumnFormula>
    </tableColumn>
    <tableColumn id="15" xr3:uid="{7F51AF0C-379C-9842-8A56-062AD9DC601D}" name="Dunks" dataDxfId="320"/>
    <tableColumn id="16" xr3:uid="{FBFDD586-2CB4-8B4A-8167-A2D9AE97F5C4}" name="Def. Boards" dataDxfId="319"/>
    <tableColumn id="17" xr3:uid="{B54E88A8-5F4E-6642-9DFD-39E0B7B99273}" name="Off. Boards" dataDxfId="318"/>
    <tableColumn id="18" xr3:uid="{DDF46510-368A-6449-920C-15C892733804}" name="Total Boards" dataDxfId="317">
      <calculatedColumnFormula>GN_258[[#This Row],[Def. Boards]]+GN_258[[#This Row],[Off. Boards]]</calculatedColumnFormula>
    </tableColumn>
    <tableColumn id="19" xr3:uid="{1C55DD30-6AA5-C24E-AF3D-E380BBAA77E8}" name="Dimes" dataDxfId="316"/>
    <tableColumn id="20" xr3:uid="{C98B8EC2-478D-2040-BABC-C577DC8866DC}" name="Cookies" dataDxfId="315"/>
    <tableColumn id="21" xr3:uid="{33244FC8-3E37-8E41-ABFF-AAA3E1FB5188}" name="Swats" dataDxfId="314"/>
    <tableColumn id="22" xr3:uid="{3325B033-D637-BE40-A072-07168843493E}" name="Turnovers" dataDxfId="313"/>
    <tableColumn id="23" xr3:uid="{8F3ED7FA-247A-1743-924D-4944F3C0998D}" name="Dimes:TO" dataDxfId="312">
      <calculatedColumnFormula>GN_258[[#This Row],[Dimes]]/GN_258[[#This Row],[Turnovers]]</calculatedColumnFormula>
    </tableColumn>
  </tableColumns>
  <tableStyleInfo name="TableStyleMedium1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4B915D2C-33AD-4B87-9AE1-A9C7AEC54A73}" name="GN_Q1_HALF1" displayName="GN_Q1_HALF1" ref="A39:W45" totalsRowShown="0" headerRowDxfId="2033" headerRowBorderDxfId="2032" tableBorderDxfId="2031">
  <autoFilter ref="A39:W45" xr:uid="{DF39A480-D57B-4A8E-B9E0-567AB459D26E}"/>
  <tableColumns count="23">
    <tableColumn id="1" xr3:uid="{465FC6FE-D2E2-41E0-BED9-489CA8992A65}" name="Nokia Snakes" dataDxfId="2030"/>
    <tableColumn id="2" xr3:uid="{38F76EDE-695C-4EB4-AF47-444812241EBB}" name="Total FGM" dataDxfId="2029">
      <calculatedColumnFormula>GN_Q1_HALF1[[#This Row],[2PT FGM]]+GN_Q1_HALF1[[#This Row],[3PT FGM]]</calculatedColumnFormula>
    </tableColumn>
    <tableColumn id="3" xr3:uid="{25E7530A-9D23-46CD-8DDB-67CF41865AEB}" name="Total FGA" dataDxfId="2028">
      <calculatedColumnFormula>GN_Q1_HALF1[[#This Row],[2PT FGA]]+GN_Q1_HALF1[[#This Row],[3PT FGA]]</calculatedColumnFormula>
    </tableColumn>
    <tableColumn id="4" xr3:uid="{5181D181-5CBF-4313-87BD-CD89C7D7F843}" name="Overall FG%" dataDxfId="2027" dataCellStyle="Percent">
      <calculatedColumnFormula>GN_Q1_HALF1[[#This Row],[Total FGM]]/GN_Q1_HALF1[[#This Row],[Total FGA]]</calculatedColumnFormula>
    </tableColumn>
    <tableColumn id="5" xr3:uid="{23847CA1-5C00-47F7-83B8-51B4E3796D42}" name="2PT FGM" dataDxfId="2026"/>
    <tableColumn id="6" xr3:uid="{64E93DF8-4808-4DD9-A279-66E4D1439AC2}" name="2PT FGA" dataDxfId="2025"/>
    <tableColumn id="7" xr3:uid="{1C8CB637-B4F2-43D1-8582-65D57D6D1996}" name="2PT FG%" dataDxfId="2024" dataCellStyle="Percent">
      <calculatedColumnFormula>GN_Q1_HALF1[[#This Row],[2PT FGM]]/GN_Q1_HALF1[[#This Row],[2PT FGA]]</calculatedColumnFormula>
    </tableColumn>
    <tableColumn id="8" xr3:uid="{CC45DE15-A669-40C6-B653-6C2CE96F5575}" name="3PT FGM" dataDxfId="2023"/>
    <tableColumn id="9" xr3:uid="{AA940DB6-475B-4545-87DC-2DBE5915F3C0}" name="3PT FGA" dataDxfId="2022"/>
    <tableColumn id="10" xr3:uid="{7867A7A2-58C0-496C-9208-202AD9114CA8}" name="3PT FG%" dataDxfId="2021" dataCellStyle="Percent">
      <calculatedColumnFormula>GN_Q1_HALF1[[#This Row],[Total FGM]]/GN_Q1_HALF1[[#This Row],[Total FGA]]</calculatedColumnFormula>
    </tableColumn>
    <tableColumn id="11" xr3:uid="{64AC05B0-A63B-475C-AEEE-0493277E4CFC}" name="FTM" dataDxfId="2020"/>
    <tableColumn id="12" xr3:uid="{FDF525E4-5F94-4AC8-93E5-F03437323CC8}" name="FTA" dataDxfId="2019"/>
    <tableColumn id="13" xr3:uid="{22F78500-C4F2-4FA4-AD2A-9E7EE77C6D63}" name="FT %" dataDxfId="2018" dataCellStyle="Percent">
      <calculatedColumnFormula>GN_Q1_HALF1[[#This Row],[FTM]]/GN_Q1_HALF1[[#This Row],[FTA]]</calculatedColumnFormula>
    </tableColumn>
    <tableColumn id="14" xr3:uid="{F0BF3443-B425-4A58-BC7A-DB61ACF0A663}" name="TOTAL POINTS" dataDxfId="2017">
      <calculatedColumnFormula>SUM(GN_Q1_HALF1[[#This Row],[2PT FGM]]*2,GN_Q1_HALF1[[#This Row],[3PT FGM]]*3,GN_Q1_HALF1[[#This Row],[FTM]])</calculatedColumnFormula>
    </tableColumn>
    <tableColumn id="15" xr3:uid="{98ED433A-FFF7-4441-B68A-13EE114FF034}" name="Dunks" dataDxfId="2016"/>
    <tableColumn id="16" xr3:uid="{FBFDA780-7989-47DB-955E-CF6A5FF6E808}" name="Def. Boards" dataDxfId="2015"/>
    <tableColumn id="17" xr3:uid="{B60AEDEA-6BB0-4663-B596-821C71EDD6CA}" name="Off. Boards" dataDxfId="2014"/>
    <tableColumn id="18" xr3:uid="{814505D5-0708-4837-B9D9-833E623A94B0}" name="Total Boards" dataDxfId="2013">
      <calculatedColumnFormula>GN_Q1_HALF1[[#This Row],[Def. Boards]]+GN_Q1_HALF1[[#This Row],[Off. Boards]]</calculatedColumnFormula>
    </tableColumn>
    <tableColumn id="19" xr3:uid="{84A12AB3-39C1-4C5B-8B6B-EF4BAA414A70}" name="Dimes" dataDxfId="2012"/>
    <tableColumn id="20" xr3:uid="{60B1A504-AA15-45FF-A7CB-1D6D24A3B198}" name="Cookies" dataDxfId="2011"/>
    <tableColumn id="21" xr3:uid="{803CF268-26C0-49FD-A1A5-3E6E5BB6DAEB}" name="Swats" dataDxfId="2010"/>
    <tableColumn id="22" xr3:uid="{4DC29576-00B3-4C9A-8780-92150EDF08A3}" name="Turnovers" dataDxfId="2009"/>
    <tableColumn id="23" xr3:uid="{004223E3-547F-45A2-BBD7-0E4CEFCCD735}" name="Dimes:TO" dataDxfId="2008">
      <calculatedColumnFormula>GN_Q1_HALF1[[#This Row],[Dimes]]/GN_Q1_HALF1[[#This Row],[Turnovers]]</calculatedColumnFormula>
    </tableColumn>
  </tableColumns>
  <tableStyleInfo name="TableStyleMedium14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44712FC5-FF7B-F14D-AF09-E01608DDBD03}" name="GN_259" displayName="GN_259" ref="A99:W105" totalsRowShown="0" headerRowDxfId="311" headerRowBorderDxfId="310" tableBorderDxfId="309">
  <autoFilter ref="A99:W105" xr:uid="{959C1898-5094-1C4E-8020-AF7C84DF8123}"/>
  <tableColumns count="23">
    <tableColumn id="1" xr3:uid="{3ED63FB8-2C68-CD40-AFAE-3720D5C4A68B}" name="Column1" dataDxfId="308"/>
    <tableColumn id="2" xr3:uid="{12B08432-7B83-934E-A0EF-AB1D4278DEDB}" name="Total FGM" dataDxfId="307">
      <calculatedColumnFormula>GN_259[[#This Row],[2PT FGM]]+GN_259[[#This Row],[3PT FGM]]</calculatedColumnFormula>
    </tableColumn>
    <tableColumn id="3" xr3:uid="{8C2416C1-7499-024F-B999-49D5C0088ECB}" name="Total FGA" dataDxfId="306">
      <calculatedColumnFormula>GN_259[[#This Row],[2PT FGA]]+GN_259[[#This Row],[3PT FGA]]</calculatedColumnFormula>
    </tableColumn>
    <tableColumn id="4" xr3:uid="{A2931EA3-00C5-7741-8352-1E467954F2AD}" name="Overall FG%" dataDxfId="305" dataCellStyle="Percent">
      <calculatedColumnFormula>GN_259[[#This Row],[Total FGM]]/GN_259[[#This Row],[Total FGA]]</calculatedColumnFormula>
    </tableColumn>
    <tableColumn id="5" xr3:uid="{F18C5370-A2E7-8040-871F-956F1545AF8B}" name="2PT FGM" dataDxfId="304"/>
    <tableColumn id="6" xr3:uid="{93C001E3-1016-D54C-A340-C54AB3A7E6C7}" name="2PT FGA" dataDxfId="303"/>
    <tableColumn id="7" xr3:uid="{3702F6AE-3489-4940-82E1-55E31A173904}" name="2PT FG%" dataDxfId="302" dataCellStyle="Percent">
      <calculatedColumnFormula>GN_259[[#This Row],[2PT FGM]]/GN_259[[#This Row],[2PT FGA]]</calculatedColumnFormula>
    </tableColumn>
    <tableColumn id="8" xr3:uid="{9650C2BB-7443-0843-9C84-0BDDAC3FA744}" name="3PT FGM" dataDxfId="301"/>
    <tableColumn id="9" xr3:uid="{991EDFCF-C67F-9B4C-9C7E-2DD3BAF789AE}" name="3PT FGA" dataDxfId="300"/>
    <tableColumn id="10" xr3:uid="{E82D2025-D96B-0A4A-8BB9-0F8879DA8204}" name="3PT FG%" dataDxfId="299" dataCellStyle="Percent">
      <calculatedColumnFormula>GN_259[[#This Row],[Total FGM]]/GN_259[[#This Row],[Total FGA]]</calculatedColumnFormula>
    </tableColumn>
    <tableColumn id="11" xr3:uid="{68DDCA7A-52E6-1C45-BB7C-9FF798E80B56}" name="FTM" dataDxfId="298"/>
    <tableColumn id="12" xr3:uid="{DC256C0E-F9DB-DC4B-9A98-E363F7E53E64}" name="FTA" dataDxfId="297"/>
    <tableColumn id="13" xr3:uid="{0B5EE042-2C0B-C349-8223-5C04C338CC30}" name="FT %" dataDxfId="296" dataCellStyle="Percent">
      <calculatedColumnFormula>GN_259[[#This Row],[FTM]]/GN_259[[#This Row],[FTA]]</calculatedColumnFormula>
    </tableColumn>
    <tableColumn id="14" xr3:uid="{4BFF853A-24A8-A847-98AC-ABAD3CD0B205}" name="TOTAL POINTS" dataDxfId="295">
      <calculatedColumnFormula>SUM(GN_259[[#This Row],[2PT FGM]]*2,GN_259[[#This Row],[3PT FGM]]*3,GN_259[[#This Row],[FTM]])</calculatedColumnFormula>
    </tableColumn>
    <tableColumn id="15" xr3:uid="{1BD443D6-0BDB-E441-9B1B-6D7D96B28601}" name="Dunks" dataDxfId="294"/>
    <tableColumn id="16" xr3:uid="{234C588A-8BCB-8746-9F97-1E09D21C8742}" name="Def. Boards" dataDxfId="293"/>
    <tableColumn id="17" xr3:uid="{96D7F1A2-D14D-2C4F-8E7A-D88665F234DE}" name="Off. Boards" dataDxfId="292"/>
    <tableColumn id="18" xr3:uid="{5541A879-F350-1340-9BB0-3D938B30A346}" name="Total Boards" dataDxfId="291">
      <calculatedColumnFormula>GN_259[[#This Row],[Def. Boards]]+GN_259[[#This Row],[Off. Boards]]</calculatedColumnFormula>
    </tableColumn>
    <tableColumn id="19" xr3:uid="{D3077B19-BD98-7144-93DD-0A637E1B4A24}" name="Dimes" dataDxfId="290"/>
    <tableColumn id="20" xr3:uid="{01831CC3-E891-1C4E-BB3B-FEE601465EC7}" name="Cookies" dataDxfId="289"/>
    <tableColumn id="21" xr3:uid="{6F49A650-49CC-1E4A-9069-97C5BD051A4C}" name="Swats" dataDxfId="288"/>
    <tableColumn id="22" xr3:uid="{B9003469-0FC5-0B44-BAE9-CCCDC66AFEF0}" name="Turnovers" dataDxfId="287"/>
    <tableColumn id="23" xr3:uid="{D20947D0-2845-B442-8054-C5EBCDDF913A}" name="Dimes:TO" dataDxfId="286">
      <calculatedColumnFormula>GN_259[[#This Row],[Dimes]]/GN_259[[#This Row],[Turnovers]]</calculatedColumnFormula>
    </tableColumn>
  </tableColumns>
  <tableStyleInfo name="TableStyleMedium14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B8A3ACB8-1DAE-1642-9BE0-AE3E8135CE96}" name="GN_260" displayName="GN_260" ref="A120:W126" totalsRowShown="0" headerRowDxfId="285" headerRowBorderDxfId="284" tableBorderDxfId="283">
  <autoFilter ref="A120:W126" xr:uid="{2EE44E7E-3EC9-244A-910D-86BC38FF6DAB}"/>
  <tableColumns count="23">
    <tableColumn id="1" xr3:uid="{ACECD9E9-CC36-E941-9A36-FABF0A092399}" name="Column1" dataDxfId="282"/>
    <tableColumn id="2" xr3:uid="{6B5D0B1B-002A-8A49-AFA8-4FD5E4550613}" name="Total FGM" dataDxfId="281">
      <calculatedColumnFormula>GN_260[[#This Row],[2PT FGM]]+GN_260[[#This Row],[3PT FGM]]</calculatedColumnFormula>
    </tableColumn>
    <tableColumn id="3" xr3:uid="{74AB8F43-EEE9-4540-A586-EC6AC0A10543}" name="Total FGA" dataDxfId="280">
      <calculatedColumnFormula>GN_260[[#This Row],[2PT FGA]]+GN_260[[#This Row],[3PT FGA]]</calculatedColumnFormula>
    </tableColumn>
    <tableColumn id="4" xr3:uid="{8B5A6E83-C121-FB4A-93FE-09B254BB5F5D}" name="Overall FG%" dataDxfId="279" dataCellStyle="Percent">
      <calculatedColumnFormula>GN_260[[#This Row],[Total FGM]]/GN_260[[#This Row],[Total FGA]]</calculatedColumnFormula>
    </tableColumn>
    <tableColumn id="5" xr3:uid="{0E840615-004E-AC4E-A018-2BFB0F7D350C}" name="2PT FGM" dataDxfId="278"/>
    <tableColumn id="6" xr3:uid="{75363FD9-41F3-DA4B-B962-009CE06BFB1F}" name="2PT FGA" dataDxfId="277"/>
    <tableColumn id="7" xr3:uid="{73C51EAC-01EA-C84E-9C69-E57085E64747}" name="2PT FG%" dataDxfId="276" dataCellStyle="Percent">
      <calculatedColumnFormula>GN_260[[#This Row],[2PT FGM]]/GN_260[[#This Row],[2PT FGA]]</calculatedColumnFormula>
    </tableColumn>
    <tableColumn id="8" xr3:uid="{026786C2-BE63-4649-B6FB-0286235AA78C}" name="3PT FGM" dataDxfId="275"/>
    <tableColumn id="9" xr3:uid="{6F460C4A-6E97-0E4D-B27C-0373B623A014}" name="3PT FGA" dataDxfId="274"/>
    <tableColumn id="10" xr3:uid="{3DFBFB84-681D-3D4D-B428-A65E71BFABD3}" name="3PT FG%" dataDxfId="273" dataCellStyle="Percent">
      <calculatedColumnFormula>GN_260[[#This Row],[Total FGM]]/GN_260[[#This Row],[Total FGA]]</calculatedColumnFormula>
    </tableColumn>
    <tableColumn id="11" xr3:uid="{3EEFBFAD-90AE-0248-AAA9-B246271A0AB9}" name="FTM" dataDxfId="272"/>
    <tableColumn id="12" xr3:uid="{889FED07-0EEC-C94A-AAB7-1D6D06002642}" name="FTA" dataDxfId="271"/>
    <tableColumn id="13" xr3:uid="{6E395ACF-F4AA-8F40-B4A5-A2762706C4EC}" name="FT %" dataDxfId="270" dataCellStyle="Percent">
      <calculatedColumnFormula>GN_260[[#This Row],[FTM]]/GN_260[[#This Row],[FTA]]</calculatedColumnFormula>
    </tableColumn>
    <tableColumn id="14" xr3:uid="{18490BE8-EFBE-BD48-900C-ECBBB7AD75D1}" name="TOTAL POINTS" dataDxfId="269">
      <calculatedColumnFormula>SUM(GN_260[[#This Row],[2PT FGM]]*2,GN_260[[#This Row],[3PT FGM]]*3,GN_260[[#This Row],[FTM]])</calculatedColumnFormula>
    </tableColumn>
    <tableColumn id="15" xr3:uid="{7E41DBAA-F755-DC49-BE72-23874894EBDA}" name="Dunks" dataDxfId="268"/>
    <tableColumn id="16" xr3:uid="{1B5934DE-B24D-B849-81AD-79226F626665}" name="Def. Boards" dataDxfId="267"/>
    <tableColumn id="17" xr3:uid="{F6B35D31-5CF4-6D42-94EB-1A83C8A6D657}" name="Off. Boards" dataDxfId="266"/>
    <tableColumn id="18" xr3:uid="{371F7AD0-EAF0-F04D-B4EA-BAD9D4A44644}" name="Total Boards" dataDxfId="265">
      <calculatedColumnFormula>GN_260[[#This Row],[Def. Boards]]+GN_260[[#This Row],[Off. Boards]]</calculatedColumnFormula>
    </tableColumn>
    <tableColumn id="19" xr3:uid="{2846EB0C-7C57-2C41-B47B-1DD306C398C2}" name="Dimes" dataDxfId="264"/>
    <tableColumn id="20" xr3:uid="{14D9C150-AFC3-E344-9CB2-F5BCCE16D1E0}" name="Cookies" dataDxfId="263"/>
    <tableColumn id="21" xr3:uid="{5FE15B04-12C5-4E47-BAF1-DE5BB9B48723}" name="Swats" dataDxfId="262"/>
    <tableColumn id="22" xr3:uid="{EB97A7D6-D89C-5549-993C-87EAD794B77E}" name="Turnovers" dataDxfId="261"/>
    <tableColumn id="23" xr3:uid="{DA69B1B6-F920-4147-BB5B-05955136AC99}" name="Dimes:TO" dataDxfId="260">
      <calculatedColumnFormula>GN_260[[#This Row],[Dimes]]/GN_260[[#This Row],[Turnovers]]</calculatedColumnFormula>
    </tableColumn>
  </tableColumns>
  <tableStyleInfo name="TableStyleMedium14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38094369-7377-224B-ACD4-9BB1A47BD1C2}" name="GN_261" displayName="GN_261" ref="A141:W147" totalsRowShown="0" headerRowDxfId="259" headerRowBorderDxfId="258" tableBorderDxfId="257">
  <autoFilter ref="A141:W147" xr:uid="{89DD88F2-4E0D-B24E-8DDB-21547333AF25}"/>
  <tableColumns count="23">
    <tableColumn id="1" xr3:uid="{8FF8488B-5B18-0347-AC60-B9B564D7BFBC}" name="Column1" dataDxfId="256"/>
    <tableColumn id="2" xr3:uid="{3F05B732-568C-2947-BBCE-B6B74200BFC0}" name="Total FGM" dataDxfId="255">
      <calculatedColumnFormula>GN_261[[#This Row],[2PT FGM]]+GN_261[[#This Row],[3PT FGM]]</calculatedColumnFormula>
    </tableColumn>
    <tableColumn id="3" xr3:uid="{805F1100-5223-EE4B-A3BF-0DC724065A24}" name="Total FGA" dataDxfId="254">
      <calculatedColumnFormula>GN_261[[#This Row],[2PT FGA]]+GN_261[[#This Row],[3PT FGA]]</calculatedColumnFormula>
    </tableColumn>
    <tableColumn id="4" xr3:uid="{F254B093-ED5F-0B42-A287-182FF6B37D0F}" name="Overall FG%" dataDxfId="253" dataCellStyle="Percent">
      <calculatedColumnFormula>GN_261[[#This Row],[Total FGM]]/GN_261[[#This Row],[Total FGA]]</calculatedColumnFormula>
    </tableColumn>
    <tableColumn id="5" xr3:uid="{BDA0C067-7AE9-1C40-AF7B-F5EF76BAA3B6}" name="2PT FGM" dataDxfId="252"/>
    <tableColumn id="6" xr3:uid="{1B97F4C5-9720-634C-8355-C60C6D77DFB5}" name="2PT FGA" dataDxfId="251"/>
    <tableColumn id="7" xr3:uid="{8F640407-6ABB-DD41-92DA-A867A3DD831F}" name="2PT FG%" dataDxfId="250" dataCellStyle="Percent">
      <calculatedColumnFormula>GN_261[[#This Row],[2PT FGM]]/GN_261[[#This Row],[2PT FGA]]</calculatedColumnFormula>
    </tableColumn>
    <tableColumn id="8" xr3:uid="{A0AC9056-E4E4-9B47-9A37-66C17DBB14DB}" name="3PT FGM" dataDxfId="249"/>
    <tableColumn id="9" xr3:uid="{36FBBEBB-7801-5243-A2EC-AA5E8A84E2C7}" name="3PT FGA" dataDxfId="248"/>
    <tableColumn id="10" xr3:uid="{5BEBEA1C-9688-954A-B9EF-16F03B0B5778}" name="3PT FG%" dataDxfId="247" dataCellStyle="Percent">
      <calculatedColumnFormula>GN_261[[#This Row],[Total FGM]]/GN_261[[#This Row],[Total FGA]]</calculatedColumnFormula>
    </tableColumn>
    <tableColumn id="11" xr3:uid="{58A70832-7173-694B-B312-E561FEA8A5F2}" name="FTM" dataDxfId="246"/>
    <tableColumn id="12" xr3:uid="{C28B948F-8F76-7441-866C-DD97E74F3491}" name="FTA" dataDxfId="245"/>
    <tableColumn id="13" xr3:uid="{0E654977-C82C-A548-878C-6AFFEFC58ECA}" name="FT %" dataDxfId="244" dataCellStyle="Percent">
      <calculatedColumnFormula>GN_261[[#This Row],[FTM]]/GN_261[[#This Row],[FTA]]</calculatedColumnFormula>
    </tableColumn>
    <tableColumn id="14" xr3:uid="{F753C288-E839-3B48-AE94-1958B885925D}" name="TOTAL POINTS" dataDxfId="243">
      <calculatedColumnFormula>SUM(GN_261[[#This Row],[2PT FGM]]*2,GN_261[[#This Row],[3PT FGM]]*3,GN_261[[#This Row],[FTM]])</calculatedColumnFormula>
    </tableColumn>
    <tableColumn id="15" xr3:uid="{57DD1EC8-9208-8747-A6D3-907AD88A6237}" name="Dunks" dataDxfId="242"/>
    <tableColumn id="16" xr3:uid="{3C7670EE-5A4E-B447-A2CC-686C6AE6C387}" name="Def. Boards" dataDxfId="241"/>
    <tableColumn id="17" xr3:uid="{5777137D-05A7-7A49-8736-12CD58938909}" name="Off. Boards" dataDxfId="240"/>
    <tableColumn id="18" xr3:uid="{BEA12B11-7842-4A41-8E5C-22D4F52162FC}" name="Total Boards" dataDxfId="239">
      <calculatedColumnFormula>GN_261[[#This Row],[Def. Boards]]+GN_261[[#This Row],[Off. Boards]]</calculatedColumnFormula>
    </tableColumn>
    <tableColumn id="19" xr3:uid="{14DA1611-4163-0941-8CEB-C03F404B39C1}" name="Dimes" dataDxfId="238"/>
    <tableColumn id="20" xr3:uid="{0D5B9F1F-7307-AD4D-85FB-B68E638EBB72}" name="Cookies" dataDxfId="237"/>
    <tableColumn id="21" xr3:uid="{99457286-F6FC-E447-80D2-4B93B0A8E35B}" name="Swats" dataDxfId="236"/>
    <tableColumn id="22" xr3:uid="{D1BB2DE2-C6C1-A64A-9BED-7606F41F1934}" name="Turnovers" dataDxfId="235"/>
    <tableColumn id="23" xr3:uid="{6A54AAC3-BD64-AF47-8217-990BAEBB88D0}" name="Dimes:TO" dataDxfId="234">
      <calculatedColumnFormula>GN_261[[#This Row],[Dimes]]/GN_261[[#This Row],[Turnovers]]</calculatedColumnFormula>
    </tableColumn>
  </tableColumns>
  <tableStyleInfo name="TableStyleMedium14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37E55D6C-778F-394F-B1DE-612A98CA0202}" name="GN_262" displayName="GN_262" ref="A162:W168" totalsRowShown="0" headerRowDxfId="233" headerRowBorderDxfId="232" tableBorderDxfId="231">
  <autoFilter ref="A162:W168" xr:uid="{A1950468-FB21-DE48-B5DB-B8D50FDAA266}"/>
  <tableColumns count="23">
    <tableColumn id="1" xr3:uid="{F0BF146A-F405-9549-A330-B4F2BC1666C2}" name="Column1" dataDxfId="230"/>
    <tableColumn id="2" xr3:uid="{8E366D2A-A5C6-364A-92CF-91114071CB2E}" name="Total FGM" dataDxfId="229">
      <calculatedColumnFormula>GN_262[[#This Row],[2PT FGM]]+GN_262[[#This Row],[3PT FGM]]</calculatedColumnFormula>
    </tableColumn>
    <tableColumn id="3" xr3:uid="{9898E8B2-F4E6-5E4B-BD34-4F05EF524221}" name="Total FGA" dataDxfId="228">
      <calculatedColumnFormula>GN_262[[#This Row],[2PT FGA]]+GN_262[[#This Row],[3PT FGA]]</calculatedColumnFormula>
    </tableColumn>
    <tableColumn id="4" xr3:uid="{92C6B1CA-105A-DC42-9FB9-2675A910D0EC}" name="Overall FG%" dataDxfId="227" dataCellStyle="Percent">
      <calculatedColumnFormula>GN_262[[#This Row],[Total FGM]]/GN_262[[#This Row],[Total FGA]]</calculatedColumnFormula>
    </tableColumn>
    <tableColumn id="5" xr3:uid="{93502A1E-F513-5647-A906-FF40DA50D52B}" name="2PT FGM" dataDxfId="226"/>
    <tableColumn id="6" xr3:uid="{7B9B24FA-A296-954E-8772-2B08ED9FBD89}" name="2PT FGA" dataDxfId="225"/>
    <tableColumn id="7" xr3:uid="{9A4B1BAA-0F04-E949-9D86-B055C4264990}" name="2PT FG%" dataDxfId="224" dataCellStyle="Percent">
      <calculatedColumnFormula>GN_262[[#This Row],[2PT FGM]]/GN_262[[#This Row],[2PT FGA]]</calculatedColumnFormula>
    </tableColumn>
    <tableColumn id="8" xr3:uid="{EBAF31CF-6F59-8541-805C-B4BA23B01891}" name="3PT FGM" dataDxfId="223"/>
    <tableColumn id="9" xr3:uid="{0ADEB981-CBAD-F74D-BB4D-43C8D6CC13E3}" name="3PT FGA" dataDxfId="222"/>
    <tableColumn id="10" xr3:uid="{E42FFB13-6FF3-9A4B-922E-432D69BE029C}" name="3PT FG%" dataDxfId="221" dataCellStyle="Percent">
      <calculatedColumnFormula>GN_262[[#This Row],[Total FGM]]/GN_262[[#This Row],[Total FGA]]</calculatedColumnFormula>
    </tableColumn>
    <tableColumn id="11" xr3:uid="{00473F04-627F-274B-A798-61B721814760}" name="FTM" dataDxfId="220"/>
    <tableColumn id="12" xr3:uid="{C4CEFF63-B7E4-584F-BD0E-459CB4251B6E}" name="FTA" dataDxfId="219"/>
    <tableColumn id="13" xr3:uid="{FA63F5EF-E8FE-6843-BF28-3DFD916B56E9}" name="FT %" dataDxfId="218" dataCellStyle="Percent">
      <calculatedColumnFormula>GN_262[[#This Row],[FTM]]/GN_262[[#This Row],[FTA]]</calculatedColumnFormula>
    </tableColumn>
    <tableColumn id="14" xr3:uid="{2399A3CA-E513-AB40-B0ED-88245ACDAE9D}" name="TOTAL POINTS" dataDxfId="217">
      <calculatedColumnFormula>SUM(GN_262[[#This Row],[2PT FGM]]*2,GN_262[[#This Row],[3PT FGM]]*3,GN_262[[#This Row],[FTM]])</calculatedColumnFormula>
    </tableColumn>
    <tableColumn id="15" xr3:uid="{564ADE7E-35F4-F840-AE81-5D9CC548A0D7}" name="Dunks" dataDxfId="216"/>
    <tableColumn id="16" xr3:uid="{829DDE10-DB80-224A-8138-607CEFACE5F5}" name="Def. Boards" dataDxfId="215"/>
    <tableColumn id="17" xr3:uid="{5EF07BAF-E166-D140-8CCD-A8BAF9B29069}" name="Off. Boards" dataDxfId="214"/>
    <tableColumn id="18" xr3:uid="{FBC849E6-7BDB-0743-A186-9482B14EF903}" name="Total Boards" dataDxfId="213">
      <calculatedColumnFormula>GN_262[[#This Row],[Def. Boards]]+GN_262[[#This Row],[Off. Boards]]</calculatedColumnFormula>
    </tableColumn>
    <tableColumn id="19" xr3:uid="{B308B2BC-2B47-174B-BD81-839744016AB8}" name="Dimes" dataDxfId="212"/>
    <tableColumn id="20" xr3:uid="{7CF3DB4A-52FF-8947-9456-20407BCE51CB}" name="Cookies" dataDxfId="211"/>
    <tableColumn id="21" xr3:uid="{F33AD1FC-5553-9A4F-9937-C7A470DEB55F}" name="Swats" dataDxfId="210"/>
    <tableColumn id="22" xr3:uid="{B4A0AF3E-E415-264F-B841-41FB47C1FCC1}" name="Turnovers" dataDxfId="209"/>
    <tableColumn id="23" xr3:uid="{F4B3999F-C32E-4240-AECD-EA56FBE7A4D8}" name="Dimes:TO" dataDxfId="208">
      <calculatedColumnFormula>GN_262[[#This Row],[Dimes]]/GN_262[[#This Row],[Turnovers]]</calculatedColumnFormula>
    </tableColumn>
  </tableColumns>
  <tableStyleInfo name="TableStyleMedium14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E8FB1237-1E64-4F4A-ADCD-BA992AF5CAB4}" name="GN_263" displayName="GN_263" ref="A183:W189" totalsRowShown="0" headerRowDxfId="207" headerRowBorderDxfId="206" tableBorderDxfId="205">
  <autoFilter ref="A183:W189" xr:uid="{519BB5FF-EE16-A642-BDAA-4312DD616946}"/>
  <tableColumns count="23">
    <tableColumn id="1" xr3:uid="{BC1F4ED1-3D33-4641-8E9A-AB4CCD2524D4}" name="Column1" dataDxfId="204"/>
    <tableColumn id="2" xr3:uid="{CB737C67-DE09-1A42-BA49-0954A76FE8D8}" name="Total FGM" dataDxfId="203">
      <calculatedColumnFormula>GN_263[[#This Row],[2PT FGM]]+GN_263[[#This Row],[3PT FGM]]</calculatedColumnFormula>
    </tableColumn>
    <tableColumn id="3" xr3:uid="{0EE62EC9-2DDB-7544-9192-B82A1C276803}" name="Total FGA" dataDxfId="202">
      <calculatedColumnFormula>GN_263[[#This Row],[2PT FGA]]+GN_263[[#This Row],[3PT FGA]]</calculatedColumnFormula>
    </tableColumn>
    <tableColumn id="4" xr3:uid="{5AA8E5DC-3EA0-DA40-9CD0-90BAF26C3C8C}" name="Overall FG%" dataDxfId="201" dataCellStyle="Percent">
      <calculatedColumnFormula>GN_263[[#This Row],[Total FGM]]/GN_263[[#This Row],[Total FGA]]</calculatedColumnFormula>
    </tableColumn>
    <tableColumn id="5" xr3:uid="{3C28D369-CCC0-4645-ABDB-760A9F56C710}" name="2PT FGM" dataDxfId="200"/>
    <tableColumn id="6" xr3:uid="{093CB850-D100-4943-90E9-91FD65295817}" name="2PT FGA" dataDxfId="199"/>
    <tableColumn id="7" xr3:uid="{CC9F3677-5389-AF4F-A1CB-F94A22F1F52E}" name="2PT FG%" dataDxfId="198" dataCellStyle="Percent">
      <calculatedColumnFormula>GN_263[[#This Row],[2PT FGM]]/GN_263[[#This Row],[2PT FGA]]</calculatedColumnFormula>
    </tableColumn>
    <tableColumn id="8" xr3:uid="{17530419-D747-E84A-8BD3-2908E5AD3A17}" name="3PT FGM" dataDxfId="197"/>
    <tableColumn id="9" xr3:uid="{F95026A7-4AED-0045-BC46-42DBA6FCFA8B}" name="3PT FGA" dataDxfId="196"/>
    <tableColumn id="10" xr3:uid="{23B5C84E-90C6-154E-B46F-1AF99A8D2408}" name="3PT FG%" dataDxfId="195" dataCellStyle="Percent">
      <calculatedColumnFormula>GN_263[[#This Row],[Total FGM]]/GN_263[[#This Row],[Total FGA]]</calculatedColumnFormula>
    </tableColumn>
    <tableColumn id="11" xr3:uid="{3921A040-4762-1D44-B7CA-9729DE90CFEA}" name="FTM" dataDxfId="194"/>
    <tableColumn id="12" xr3:uid="{164BA802-6494-9044-8D4D-863B9B4F0ED1}" name="FTA" dataDxfId="193"/>
    <tableColumn id="13" xr3:uid="{C0BC9BFB-A72E-CF40-8C73-6A971B45B7FC}" name="FT %" dataDxfId="192" dataCellStyle="Percent">
      <calculatedColumnFormula>GN_263[[#This Row],[FTM]]/GN_263[[#This Row],[FTA]]</calculatedColumnFormula>
    </tableColumn>
    <tableColumn id="14" xr3:uid="{C1B8ECAC-C670-794B-99CD-6FC37976F52E}" name="TOTAL POINTS" dataDxfId="191">
      <calculatedColumnFormula>SUM(GN_263[[#This Row],[2PT FGM]]*2,GN_263[[#This Row],[3PT FGM]]*3,GN_263[[#This Row],[FTM]])</calculatedColumnFormula>
    </tableColumn>
    <tableColumn id="15" xr3:uid="{B8892C45-D5B4-3341-AC37-0C8102BBA1A6}" name="Dunks" dataDxfId="190"/>
    <tableColumn id="16" xr3:uid="{E276A81F-AC62-CE4C-85EA-28EFC8FF132E}" name="Def. Boards" dataDxfId="189"/>
    <tableColumn id="17" xr3:uid="{14C366B9-3886-964C-B0D9-ABA32DE0C66F}" name="Off. Boards" dataDxfId="188"/>
    <tableColumn id="18" xr3:uid="{5B148745-9502-734F-9736-40B898C226C0}" name="Total Boards" dataDxfId="187">
      <calculatedColumnFormula>GN_263[[#This Row],[Def. Boards]]+GN_263[[#This Row],[Off. Boards]]</calculatedColumnFormula>
    </tableColumn>
    <tableColumn id="19" xr3:uid="{47A82AA5-1026-EA4E-976D-FEF6731AB59F}" name="Dimes" dataDxfId="186"/>
    <tableColumn id="20" xr3:uid="{DCAEC781-0FA2-D442-88FB-985585B12A98}" name="Cookies" dataDxfId="185"/>
    <tableColumn id="21" xr3:uid="{D2EA88E8-6E8A-6346-BE5E-49D9E1BCDAF2}" name="Swats" dataDxfId="184"/>
    <tableColumn id="22" xr3:uid="{FCAB07F7-FCB6-B647-911A-20AC9F537A43}" name="Turnovers" dataDxfId="183"/>
    <tableColumn id="23" xr3:uid="{B3242CA9-4BB1-8C40-9D8C-1691014A73E2}" name="Dimes:TO" dataDxfId="182">
      <calculatedColumnFormula>GN_263[[#This Row],[Dimes]]/GN_263[[#This Row],[Turnovers]]</calculatedColumnFormula>
    </tableColumn>
  </tableColumns>
  <tableStyleInfo name="TableStyleMedium14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FD456CCF-D561-DD43-8BEC-FBF8C80276B0}" name="GN_264" displayName="GN_264" ref="A204:W210" totalsRowShown="0" headerRowDxfId="181" headerRowBorderDxfId="180" tableBorderDxfId="179">
  <autoFilter ref="A204:W210" xr:uid="{7048BF55-86B9-9248-B512-D3551ACF3032}"/>
  <tableColumns count="23">
    <tableColumn id="1" xr3:uid="{A0D8058D-FCB8-F148-A153-61F38DBC513D}" name="Column1" dataDxfId="178"/>
    <tableColumn id="2" xr3:uid="{78CEFB2F-5342-8243-90A7-DA7AB4CBA6AD}" name="Total FGM" dataDxfId="177">
      <calculatedColumnFormula>GN_264[[#This Row],[2PT FGM]]+GN_264[[#This Row],[3PT FGM]]</calculatedColumnFormula>
    </tableColumn>
    <tableColumn id="3" xr3:uid="{E34F035F-FF73-4142-B26B-74363EEA67D3}" name="Total FGA" dataDxfId="176">
      <calculatedColumnFormula>GN_264[[#This Row],[2PT FGA]]+GN_264[[#This Row],[3PT FGA]]</calculatedColumnFormula>
    </tableColumn>
    <tableColumn id="4" xr3:uid="{C2EAE5F2-DB2B-1641-91EF-634E403AEA13}" name="Overall FG%" dataDxfId="175" dataCellStyle="Percent">
      <calculatedColumnFormula>GN_264[[#This Row],[Total FGM]]/GN_264[[#This Row],[Total FGA]]</calculatedColumnFormula>
    </tableColumn>
    <tableColumn id="5" xr3:uid="{B8F43DEC-8108-6442-AD68-EBF6432B3790}" name="2PT FGM" dataDxfId="174"/>
    <tableColumn id="6" xr3:uid="{6009D765-4529-B941-8225-65ED66057A3D}" name="2PT FGA" dataDxfId="173"/>
    <tableColumn id="7" xr3:uid="{6FCAD924-6585-2245-BD93-0D2C634682FB}" name="2PT FG%" dataDxfId="172" dataCellStyle="Percent">
      <calculatedColumnFormula>GN_264[[#This Row],[2PT FGM]]/GN_264[[#This Row],[2PT FGA]]</calculatedColumnFormula>
    </tableColumn>
    <tableColumn id="8" xr3:uid="{D049C961-64E1-594C-885A-D89E4B8DB311}" name="3PT FGM" dataDxfId="171"/>
    <tableColumn id="9" xr3:uid="{72B089B3-9741-C848-AC4C-2B8DC12816FB}" name="3PT FGA" dataDxfId="170"/>
    <tableColumn id="10" xr3:uid="{A60AF4FC-6FB0-854C-AC7B-DCBD4C3F5F89}" name="3PT FG%" dataDxfId="169" dataCellStyle="Percent">
      <calculatedColumnFormula>GN_264[[#This Row],[Total FGM]]/GN_264[[#This Row],[Total FGA]]</calculatedColumnFormula>
    </tableColumn>
    <tableColumn id="11" xr3:uid="{C414ED12-127E-E542-B302-7D42A3019C3F}" name="FTM" dataDxfId="168"/>
    <tableColumn id="12" xr3:uid="{6C6B3164-261B-EE48-83EE-91D070B09D10}" name="FTA" dataDxfId="167"/>
    <tableColumn id="13" xr3:uid="{1844B96E-98B7-9C40-B21C-FCCE1D583467}" name="FT %" dataDxfId="166" dataCellStyle="Percent">
      <calculatedColumnFormula>GN_264[[#This Row],[FTM]]/GN_264[[#This Row],[FTA]]</calculatedColumnFormula>
    </tableColumn>
    <tableColumn id="14" xr3:uid="{A46FBAF0-B7EC-FE4F-9A54-E1981A2EF755}" name="TOTAL POINTS" dataDxfId="165">
      <calculatedColumnFormula>SUM(GN_264[[#This Row],[2PT FGM]]*2,GN_264[[#This Row],[3PT FGM]]*3,GN_264[[#This Row],[FTM]])</calculatedColumnFormula>
    </tableColumn>
    <tableColumn id="15" xr3:uid="{9BC5DB24-8936-9244-BEB4-211F73AF4349}" name="Dunks" dataDxfId="164"/>
    <tableColumn id="16" xr3:uid="{291314BB-7E5E-4142-B7FD-008211052D75}" name="Def. Boards" dataDxfId="163"/>
    <tableColumn id="17" xr3:uid="{275AFC8D-61AC-194D-891B-29119581C818}" name="Off. Boards" dataDxfId="162"/>
    <tableColumn id="18" xr3:uid="{1F5D42C3-9C8E-7B4D-AF52-B9C55EE15E66}" name="Total Boards" dataDxfId="161">
      <calculatedColumnFormula>GN_264[[#This Row],[Def. Boards]]+GN_264[[#This Row],[Off. Boards]]</calculatedColumnFormula>
    </tableColumn>
    <tableColumn id="19" xr3:uid="{1ACBEBA9-F602-5B44-A767-D02474D1ACA5}" name="Dimes" dataDxfId="160"/>
    <tableColumn id="20" xr3:uid="{7162C8A7-E041-724C-8D71-7E4815B70D8A}" name="Cookies" dataDxfId="159"/>
    <tableColumn id="21" xr3:uid="{8825DBC0-CCE2-4941-BBC3-AFB7C5B7F2F5}" name="Swats" dataDxfId="158"/>
    <tableColumn id="22" xr3:uid="{29F93A47-A7BA-184B-BAFB-3D5C02B44255}" name="Turnovers" dataDxfId="157"/>
    <tableColumn id="23" xr3:uid="{B89AE971-E1DD-274B-8A85-42380FCDEBA2}" name="Dimes:TO" dataDxfId="156">
      <calculatedColumnFormula>GN_264[[#This Row],[Dimes]]/GN_264[[#This Row],[Turnovers]]</calculatedColumnFormula>
    </tableColumn>
  </tableColumns>
  <tableStyleInfo name="TableStyleMedium14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5885932-38C8-7B49-B7F8-916EA643207B}" name="LITI_265" displayName="LITI_265" ref="A90:W96" totalsRowShown="0" headerRowDxfId="155" headerRowBorderDxfId="154" tableBorderDxfId="153">
  <autoFilter ref="A90:W96" xr:uid="{A6459B84-4A73-B84A-A756-7403650188A6}"/>
  <tableColumns count="23">
    <tableColumn id="1" xr3:uid="{5DD0228F-38DE-6044-8F60-E71A56919C2D}" name="Column1" dataDxfId="152"/>
    <tableColumn id="2" xr3:uid="{C8923072-362E-E14A-8A8E-524E59C7DADA}" name="Total FGM" dataDxfId="151">
      <calculatedColumnFormula>LITI_265[[#This Row],[2PT FGM]]+LITI_265[[#This Row],[3PT FGM]]</calculatedColumnFormula>
    </tableColumn>
    <tableColumn id="3" xr3:uid="{A79730D9-D97E-BA43-8822-EC4921474178}" name="Total FGA" dataDxfId="150"/>
    <tableColumn id="4" xr3:uid="{3EDD4D09-2B41-AF45-AAD1-E31B4950371A}" name="Overall FG%" dataDxfId="149" dataCellStyle="Percent">
      <calculatedColumnFormula>LITI_265[[#This Row],[Total FGM]]/LITI_265[[#This Row],[Total FGA]]</calculatedColumnFormula>
    </tableColumn>
    <tableColumn id="5" xr3:uid="{2C0503D5-7E80-4F44-A894-78D8525E32A8}" name="2PT FGM" dataDxfId="148"/>
    <tableColumn id="6" xr3:uid="{FEB8AB03-DDD0-F947-BF20-0A82011ACAD4}" name="2PT FGA" dataDxfId="147"/>
    <tableColumn id="7" xr3:uid="{4142E8AA-485F-DC4F-A11B-FBCB162E3051}" name="2PT FG%" dataDxfId="146" dataCellStyle="Percent">
      <calculatedColumnFormula>LITI_265[[#This Row],[2PT FGM]]/LITI_265[[#This Row],[2PT FGA]]</calculatedColumnFormula>
    </tableColumn>
    <tableColumn id="8" xr3:uid="{1107F2C3-ACE1-5F45-9D91-ABFDCC9A2C91}" name="3PT FGM" dataDxfId="145"/>
    <tableColumn id="9" xr3:uid="{51FE0D6A-EEC8-F640-A21C-CA32491F2EDF}" name="3PT FGA" dataDxfId="144"/>
    <tableColumn id="10" xr3:uid="{839B8DC7-75AD-7644-8632-99BB77A406D6}" name="3PT FG%" dataDxfId="143" dataCellStyle="Percent">
      <calculatedColumnFormula>LITI_265[[#This Row],[3PT FGM]]/LITI_265[[#This Row],[3PT FGA]]</calculatedColumnFormula>
    </tableColumn>
    <tableColumn id="11" xr3:uid="{61421E5C-404B-1240-B361-3CB236150314}" name="FTM" dataDxfId="142"/>
    <tableColumn id="12" xr3:uid="{AE305F97-08AC-4646-A2AA-6D964DF7DF06}" name="FTA" dataDxfId="141"/>
    <tableColumn id="13" xr3:uid="{5659FA9A-1493-2045-8358-D18952372004}" name="FT %" dataDxfId="140" dataCellStyle="Percent">
      <calculatedColumnFormula>LITI_265[[#This Row],[FTM]]/LITI_265[[#This Row],[FTA]]</calculatedColumnFormula>
    </tableColumn>
    <tableColumn id="14" xr3:uid="{85CCD007-3055-834B-A5C4-627AFF7599F1}" name="TOTAL POINTS" dataDxfId="139">
      <calculatedColumnFormula>SUM(LITI_265[[#This Row],[2PT FGM]]*2,LITI_265[[#This Row],[3PT FGM]]*3,LITI_265[[#This Row],[FTM]])</calculatedColumnFormula>
    </tableColumn>
    <tableColumn id="15" xr3:uid="{587DE1D9-5C16-4941-99E8-12AB1648A1F6}" name="Dunks" dataDxfId="138"/>
    <tableColumn id="16" xr3:uid="{186FD664-78F1-FE4F-93AA-20734AFAABD5}" name="Def. Boards" dataDxfId="137"/>
    <tableColumn id="17" xr3:uid="{EBE048AD-4B9B-674B-B37B-F4BEE3E3E28E}" name="Off. Boards" dataDxfId="136"/>
    <tableColumn id="18" xr3:uid="{542A3045-460F-1946-9268-8B9F083846F5}" name="Total Boards" dataDxfId="135">
      <calculatedColumnFormula>LITI_265[[#This Row],[Def. Boards]]+LITI_265[[#This Row],[Off. Boards]]</calculatedColumnFormula>
    </tableColumn>
    <tableColumn id="19" xr3:uid="{AC8F6A29-40DE-454A-9CC7-B39331B4C838}" name="Dimes" dataDxfId="134"/>
    <tableColumn id="20" xr3:uid="{EC3C7E25-A359-8D4B-8A85-F0C33EFE57A9}" name="Cookies" dataDxfId="133"/>
    <tableColumn id="21" xr3:uid="{84575AC1-2B87-5548-8D61-C755F8799C24}" name="Swats" dataDxfId="132"/>
    <tableColumn id="22" xr3:uid="{2EB3D788-9570-FC4A-B699-10ACE524A757}" name="Turnovers" dataDxfId="131"/>
    <tableColumn id="23" xr3:uid="{C6386932-3D1F-F048-AE20-597B86B642AE}" name="Dimes:TO" dataDxfId="130">
      <calculatedColumnFormula>LITI_265[[#This Row],[Dimes]]/LITI_265[[#This Row],[Turnovers]]</calculatedColumnFormula>
    </tableColumn>
  </tableColumns>
  <tableStyleInfo name="TableStyleMedium15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524C1114-FFA9-5A43-BE4A-1C4158E35CFF}" name="LITI_266" displayName="LITI_266" ref="A111:W117" totalsRowShown="0" headerRowDxfId="129" headerRowBorderDxfId="128" tableBorderDxfId="127">
  <autoFilter ref="A111:W117" xr:uid="{203ADC86-2FDA-8A41-A0DA-DE004386BBC1}"/>
  <tableColumns count="23">
    <tableColumn id="1" xr3:uid="{744BB60F-D574-3C41-9229-238989242E54}" name="Column1" dataDxfId="126"/>
    <tableColumn id="2" xr3:uid="{DA7DD0AB-352A-1E43-B39F-E600C9058300}" name="Total FGM" dataDxfId="125">
      <calculatedColumnFormula>LITI_266[[#This Row],[2PT FGM]]+LITI_266[[#This Row],[3PT FGM]]</calculatedColumnFormula>
    </tableColumn>
    <tableColumn id="3" xr3:uid="{719D95B1-4A41-8F4E-A17B-64DECA9A937B}" name="Total FGA" dataDxfId="124"/>
    <tableColumn id="4" xr3:uid="{FC8D9B52-EC6F-1E47-A58F-F977AC573BBC}" name="Overall FG%" dataDxfId="123" dataCellStyle="Percent">
      <calculatedColumnFormula>LITI_266[[#This Row],[Total FGM]]/LITI_266[[#This Row],[Total FGA]]</calculatedColumnFormula>
    </tableColumn>
    <tableColumn id="5" xr3:uid="{CD6DCB1B-5990-AC46-84EC-15AE977A5A41}" name="2PT FGM" dataDxfId="122"/>
    <tableColumn id="6" xr3:uid="{C3397D40-9734-474E-AFFB-806D84AF14E2}" name="2PT FGA" dataDxfId="121"/>
    <tableColumn id="7" xr3:uid="{68AE4C88-140E-5C41-8CC3-14B4A265D1C9}" name="2PT FG%" dataDxfId="120" dataCellStyle="Percent">
      <calculatedColumnFormula>LITI_266[[#This Row],[2PT FGM]]/LITI_266[[#This Row],[2PT FGA]]</calculatedColumnFormula>
    </tableColumn>
    <tableColumn id="8" xr3:uid="{E2B02B9B-B9B5-EA4C-946C-3135D2037F43}" name="3PT FGM" dataDxfId="119"/>
    <tableColumn id="9" xr3:uid="{6DB83DA8-997B-F34B-8987-9303AE5F324A}" name="3PT FGA" dataDxfId="118"/>
    <tableColumn id="10" xr3:uid="{07973630-8679-1C4A-886B-1AF87D7E7AAB}" name="3PT FG%" dataDxfId="117" dataCellStyle="Percent">
      <calculatedColumnFormula>LITI_266[[#This Row],[3PT FGM]]/LITI_266[[#This Row],[3PT FGA]]</calculatedColumnFormula>
    </tableColumn>
    <tableColumn id="11" xr3:uid="{E5A013DB-2F63-D045-86C4-1341C3A19ABB}" name="FTM" dataDxfId="116"/>
    <tableColumn id="12" xr3:uid="{39C17784-ABD7-3246-BB74-FF8889C2A8FE}" name="FTA" dataDxfId="115"/>
    <tableColumn id="13" xr3:uid="{410EC405-F4A3-7041-B278-FE0E6D1C624F}" name="FT %" dataDxfId="114" dataCellStyle="Percent">
      <calculatedColumnFormula>LITI_266[[#This Row],[FTM]]/LITI_266[[#This Row],[FTA]]</calculatedColumnFormula>
    </tableColumn>
    <tableColumn id="14" xr3:uid="{0F406534-D46F-3D4F-81D6-25FB779275E6}" name="TOTAL POINTS" dataDxfId="113">
      <calculatedColumnFormula>SUM(LITI_266[[#This Row],[2PT FGM]]*2,LITI_266[[#This Row],[3PT FGM]]*3,LITI_266[[#This Row],[FTM]])</calculatedColumnFormula>
    </tableColumn>
    <tableColumn id="15" xr3:uid="{3C57520C-F1C8-004D-857A-B3A06F208365}" name="Dunks" dataDxfId="112"/>
    <tableColumn id="16" xr3:uid="{143CC684-721B-4C40-9DC5-2B704FD3764F}" name="Def. Boards" dataDxfId="111"/>
    <tableColumn id="17" xr3:uid="{69C91176-C8BB-604C-A3F8-5DD91A869575}" name="Off. Boards" dataDxfId="110"/>
    <tableColumn id="18" xr3:uid="{8F4C79F7-68B4-4447-8E3A-0935E966A6AE}" name="Total Boards" dataDxfId="109">
      <calculatedColumnFormula>LITI_266[[#This Row],[Def. Boards]]+LITI_266[[#This Row],[Off. Boards]]</calculatedColumnFormula>
    </tableColumn>
    <tableColumn id="19" xr3:uid="{00C47C13-7E49-AA43-82EE-1BEB8847C253}" name="Dimes" dataDxfId="108"/>
    <tableColumn id="20" xr3:uid="{90659558-13C5-E94A-8913-6078C5466143}" name="Cookies" dataDxfId="107"/>
    <tableColumn id="21" xr3:uid="{C0F065F2-426A-D548-8EED-F68F91478087}" name="Swats" dataDxfId="106"/>
    <tableColumn id="22" xr3:uid="{F2024058-85F9-CD42-B00D-9DA02CB94329}" name="Turnovers" dataDxfId="105"/>
    <tableColumn id="23" xr3:uid="{6B6B3647-5F35-1B45-AEA0-5FC06FDD7B36}" name="Dimes:TO" dataDxfId="104">
      <calculatedColumnFormula>LITI_266[[#This Row],[Dimes]]/LITI_266[[#This Row],[Turnovers]]</calculatedColumnFormula>
    </tableColumn>
  </tableColumns>
  <tableStyleInfo name="TableStyleMedium15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BE2A7784-1D99-F244-8E9B-92AB9A810F52}" name="LITI_267" displayName="LITI_267" ref="A132:W138" totalsRowShown="0" headerRowDxfId="103" headerRowBorderDxfId="102" tableBorderDxfId="101">
  <autoFilter ref="A132:W138" xr:uid="{3DCCF973-7A2C-3C47-AEFA-4C68EE9B2243}"/>
  <tableColumns count="23">
    <tableColumn id="1" xr3:uid="{A31B718A-BD75-C14D-8843-3BB1589B6F6E}" name="Column1" dataDxfId="100"/>
    <tableColumn id="2" xr3:uid="{EB4290CA-6F57-A548-9410-315C7340CF11}" name="Total FGM" dataDxfId="99">
      <calculatedColumnFormula>LITI_267[[#This Row],[2PT FGM]]+LITI_267[[#This Row],[3PT FGM]]</calculatedColumnFormula>
    </tableColumn>
    <tableColumn id="3" xr3:uid="{A9BE409F-A36C-394F-8841-1158F886A845}" name="Total FGA" dataDxfId="98"/>
    <tableColumn id="4" xr3:uid="{3EF83358-DBB2-5340-97F9-B08400E009AD}" name="Overall FG%" dataDxfId="97" dataCellStyle="Percent">
      <calculatedColumnFormula>LITI_267[[#This Row],[Total FGM]]/LITI_267[[#This Row],[Total FGA]]</calculatedColumnFormula>
    </tableColumn>
    <tableColumn id="5" xr3:uid="{7FD991E5-AA0A-6241-BE06-66A962C1521E}" name="2PT FGM" dataDxfId="96"/>
    <tableColumn id="6" xr3:uid="{72A112A0-D6CA-034F-AC6B-381A5730FE0A}" name="2PT FGA" dataDxfId="95"/>
    <tableColumn id="7" xr3:uid="{0E171BD4-A214-7B47-84EE-3DEB15249399}" name="2PT FG%" dataDxfId="94" dataCellStyle="Percent">
      <calculatedColumnFormula>LITI_267[[#This Row],[2PT FGM]]/LITI_267[[#This Row],[2PT FGA]]</calculatedColumnFormula>
    </tableColumn>
    <tableColumn id="8" xr3:uid="{3E15A09E-C929-F84E-870F-E18DBB680142}" name="3PT FGM" dataDxfId="93"/>
    <tableColumn id="9" xr3:uid="{D126965D-CF8B-8E4C-A774-6B051F6D9AE1}" name="3PT FGA" dataDxfId="92"/>
    <tableColumn id="10" xr3:uid="{65FA5344-1C4D-164D-A662-D8C2B31052E1}" name="3PT FG%" dataDxfId="91" dataCellStyle="Percent">
      <calculatedColumnFormula>LITI_267[[#This Row],[3PT FGM]]/LITI_267[[#This Row],[3PT FGA]]</calculatedColumnFormula>
    </tableColumn>
    <tableColumn id="11" xr3:uid="{A6785A62-9726-B241-A34F-AC4F45F2A660}" name="FTM" dataDxfId="90"/>
    <tableColumn id="12" xr3:uid="{25212292-EA6C-BC43-805C-5842F15388B1}" name="FTA" dataDxfId="89"/>
    <tableColumn id="13" xr3:uid="{FF1C71D7-F390-2746-A0B6-F2CB4921EED1}" name="FT %" dataDxfId="88" dataCellStyle="Percent">
      <calculatedColumnFormula>LITI_267[[#This Row],[FTM]]/LITI_267[[#This Row],[FTA]]</calculatedColumnFormula>
    </tableColumn>
    <tableColumn id="14" xr3:uid="{430CA267-D04A-2240-BF54-017E27379882}" name="TOTAL POINTS" dataDxfId="87">
      <calculatedColumnFormula>SUM(LITI_267[[#This Row],[2PT FGM]]*2,LITI_267[[#This Row],[3PT FGM]]*3,LITI_267[[#This Row],[FTM]])</calculatedColumnFormula>
    </tableColumn>
    <tableColumn id="15" xr3:uid="{3287B95E-611E-D84C-957D-3E9550A95178}" name="Dunks" dataDxfId="86"/>
    <tableColumn id="16" xr3:uid="{1BFFC69B-BD48-4D40-B837-7D823AB72161}" name="Def. Boards" dataDxfId="85"/>
    <tableColumn id="17" xr3:uid="{4656A589-ED87-8B4A-9876-51A77A5E07FC}" name="Off. Boards" dataDxfId="84"/>
    <tableColumn id="18" xr3:uid="{BF947DBA-F2BF-8D49-A391-2FE077058D61}" name="Total Boards" dataDxfId="83">
      <calculatedColumnFormula>LITI_267[[#This Row],[Def. Boards]]+LITI_267[[#This Row],[Off. Boards]]</calculatedColumnFormula>
    </tableColumn>
    <tableColumn id="19" xr3:uid="{C18D9504-1280-B841-9EC8-593C5D638299}" name="Dimes" dataDxfId="82"/>
    <tableColumn id="20" xr3:uid="{BBDA9265-20B6-F64C-AE70-2954311DA599}" name="Cookies" dataDxfId="81"/>
    <tableColumn id="21" xr3:uid="{51997B5D-5247-8042-9226-DA669987C8A7}" name="Swats" dataDxfId="80"/>
    <tableColumn id="22" xr3:uid="{BAF91CB4-4D23-3F42-AB73-77323701A280}" name="Turnovers" dataDxfId="79"/>
    <tableColumn id="23" xr3:uid="{91B2C360-75BB-9E4E-8473-78C0AA185568}" name="Dimes:TO" dataDxfId="78">
      <calculatedColumnFormula>LITI_267[[#This Row],[Dimes]]/LITI_267[[#This Row],[Turnovers]]</calculatedColumnFormula>
    </tableColumn>
  </tableColumns>
  <tableStyleInfo name="TableStyleMedium15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1FD28465-1795-0843-881E-072FAA69F290}" name="LITI_268" displayName="LITI_268" ref="A153:W159" totalsRowShown="0" headerRowDxfId="77" headerRowBorderDxfId="76" tableBorderDxfId="75">
  <autoFilter ref="A153:W159" xr:uid="{A97E7B7A-1086-274B-9883-F07474267B2E}"/>
  <tableColumns count="23">
    <tableColumn id="1" xr3:uid="{6FC6149C-69D3-C349-A460-630A42F4D760}" name="Column1" dataDxfId="74"/>
    <tableColumn id="2" xr3:uid="{AF0AF579-F7A9-DF4A-90FE-26842DA9885D}" name="Total FGM" dataDxfId="73">
      <calculatedColumnFormula>LITI_268[[#This Row],[2PT FGM]]+LITI_268[[#This Row],[3PT FGM]]</calculatedColumnFormula>
    </tableColumn>
    <tableColumn id="3" xr3:uid="{6609418F-7AC8-394E-A6F9-FDCF2F7BA58B}" name="Total FGA" dataDxfId="72"/>
    <tableColumn id="4" xr3:uid="{059F02D7-1DC7-C44C-AFE6-4485ED6970A3}" name="Overall FG%" dataDxfId="71" dataCellStyle="Percent">
      <calculatedColumnFormula>LITI_268[[#This Row],[Total FGM]]/LITI_268[[#This Row],[Total FGA]]</calculatedColumnFormula>
    </tableColumn>
    <tableColumn id="5" xr3:uid="{1F01414B-0A4F-094E-96E4-B7A9DF7E42A3}" name="2PT FGM" dataDxfId="70"/>
    <tableColumn id="6" xr3:uid="{2846A324-4FCF-D749-BD9C-06BC0AAAED35}" name="2PT FGA" dataDxfId="69"/>
    <tableColumn id="7" xr3:uid="{A4D89541-8537-9E48-9D1F-5B76B8D3955B}" name="2PT FG%" dataDxfId="68" dataCellStyle="Percent">
      <calculatedColumnFormula>LITI_268[[#This Row],[2PT FGM]]/LITI_268[[#This Row],[2PT FGA]]</calculatedColumnFormula>
    </tableColumn>
    <tableColumn id="8" xr3:uid="{35D3DE23-827A-A84A-B8FB-A62C4EB1BE83}" name="3PT FGM" dataDxfId="67"/>
    <tableColumn id="9" xr3:uid="{5F667AA8-54A4-5E45-9D2E-F6CFB0BA3DD2}" name="3PT FGA" dataDxfId="66"/>
    <tableColumn id="10" xr3:uid="{A8237F31-4ED3-C542-AF59-EAA5E0ADF098}" name="3PT FG%" dataDxfId="65" dataCellStyle="Percent">
      <calculatedColumnFormula>LITI_268[[#This Row],[3PT FGM]]/LITI_268[[#This Row],[3PT FGA]]</calculatedColumnFormula>
    </tableColumn>
    <tableColumn id="11" xr3:uid="{22B09855-8AA4-7448-AF8D-E98768A34BB7}" name="FTM" dataDxfId="64"/>
    <tableColumn id="12" xr3:uid="{2115E227-89CE-3A48-B4AA-5C68880F8611}" name="FTA" dataDxfId="63"/>
    <tableColumn id="13" xr3:uid="{03DEE41A-4F71-ED49-8B31-49C4ECE3F3E3}" name="FT %" dataDxfId="62" dataCellStyle="Percent">
      <calculatedColumnFormula>LITI_268[[#This Row],[FTM]]/LITI_268[[#This Row],[FTA]]</calculatedColumnFormula>
    </tableColumn>
    <tableColumn id="14" xr3:uid="{36C82012-40B1-2649-A603-2C8D61D6D8C3}" name="TOTAL POINTS" dataDxfId="61">
      <calculatedColumnFormula>SUM(LITI_268[[#This Row],[2PT FGM]]*2,LITI_268[[#This Row],[3PT FGM]]*3,LITI_268[[#This Row],[FTM]])</calculatedColumnFormula>
    </tableColumn>
    <tableColumn id="15" xr3:uid="{92A531F5-5594-4645-8675-9940DA80DD6A}" name="Dunks" dataDxfId="60"/>
    <tableColumn id="16" xr3:uid="{D7CA56F9-B02F-2D4D-85F4-C4A85FF6768B}" name="Def. Boards" dataDxfId="59"/>
    <tableColumn id="17" xr3:uid="{E38F06D8-B16B-254F-8FE8-7DCFEA8BA4B6}" name="Off. Boards" dataDxfId="58"/>
    <tableColumn id="18" xr3:uid="{94ED46C1-2F65-B14F-8B4D-FC54CC998AE7}" name="Total Boards" dataDxfId="57">
      <calculatedColumnFormula>LITI_268[[#This Row],[Def. Boards]]+LITI_268[[#This Row],[Off. Boards]]</calculatedColumnFormula>
    </tableColumn>
    <tableColumn id="19" xr3:uid="{E3DD4E12-E655-2240-A091-E6820D7A0010}" name="Dimes" dataDxfId="56"/>
    <tableColumn id="20" xr3:uid="{9D45B371-A47A-EE4E-9AF2-5B84D206A6D8}" name="Cookies" dataDxfId="55"/>
    <tableColumn id="21" xr3:uid="{FCAC2D96-9B05-4240-A89A-08CE606CD1CE}" name="Swats" dataDxfId="54"/>
    <tableColumn id="22" xr3:uid="{ACF552F1-9B7B-F141-86F9-0537E82D2798}" name="Turnovers" dataDxfId="53"/>
    <tableColumn id="23" xr3:uid="{9E704B8C-CAA5-3B48-9957-4EE46433A5D8}" name="Dimes:TO" dataDxfId="52">
      <calculatedColumnFormula>LITI_268[[#This Row],[Dimes]]/LITI_268[[#This Row],[Turnovers]]</calculatedColumnFormula>
    </tableColumn>
  </tableColumns>
  <tableStyleInfo name="TableStyleMedium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456D7B40-E14E-ED4F-8B79-F5F668A0CC34}" name="LITI_Q1_HALF171" displayName="LITI_Q1_HALF171" ref="A51:W57" totalsRowShown="0" headerRowDxfId="2007" headerRowBorderDxfId="2006" tableBorderDxfId="2005">
  <autoFilter ref="A51:W57" xr:uid="{A20EC703-608B-ED4E-9FFE-DC5C4A18004A}"/>
  <tableColumns count="23">
    <tableColumn id="1" xr3:uid="{4CC3F2B5-154A-EF42-BC2F-E4A55B3C28B7}" name="Bar Mitzvah Boys" dataDxfId="2004"/>
    <tableColumn id="2" xr3:uid="{6B8B4C21-4DEC-3C4D-8167-204721EEBB18}" name="Total FGM" dataDxfId="2003">
      <calculatedColumnFormula>LITI_Q1_HALF171[[#This Row],[2PT FGM]]+LITI_Q1_HALF171[[#This Row],[3PT FGM]]</calculatedColumnFormula>
    </tableColumn>
    <tableColumn id="3" xr3:uid="{C23C7865-E2DB-E547-A9E9-90F2ABB46D13}" name="Total FGA" dataDxfId="2002"/>
    <tableColumn id="4" xr3:uid="{D15407EB-0968-F443-A604-305552D17D3B}" name="Overall FG%" dataDxfId="2001" dataCellStyle="Percent">
      <calculatedColumnFormula>LITI_Q1_HALF171[[#This Row],[Total FGM]]/LITI_Q1_HALF171[[#This Row],[Total FGA]]</calculatedColumnFormula>
    </tableColumn>
    <tableColumn id="5" xr3:uid="{F332A374-077D-7044-9E38-6899A1C3AA30}" name="2PT FGM" dataDxfId="2000"/>
    <tableColumn id="6" xr3:uid="{5FDC3DDE-04B8-D740-BA73-D5B105D6AF3F}" name="2PT FGA" dataDxfId="1999"/>
    <tableColumn id="7" xr3:uid="{B21E24F8-0321-6046-A1F3-3985B86DD818}" name="2PT FG%" dataDxfId="1998" dataCellStyle="Percent">
      <calculatedColumnFormula>LITI_Q1_HALF171[[#This Row],[Total FGM]]/LITI_Q1_HALF171[[#This Row],[Total FGA]]</calculatedColumnFormula>
    </tableColumn>
    <tableColumn id="8" xr3:uid="{AAC116DA-0A0B-7D41-8CDF-62E0E377974F}" name="3PT FGM" dataDxfId="1997"/>
    <tableColumn id="9" xr3:uid="{69ACCD30-899E-E74B-8E84-70EA275949BD}" name="3PT FGA" dataDxfId="1996"/>
    <tableColumn id="10" xr3:uid="{759D6E33-A515-7941-9195-D189AE447039}" name="3PT FG%" dataDxfId="1995" dataCellStyle="Percent">
      <calculatedColumnFormula>LITI_Q1_HALF171[[#This Row],[3PT FGM]]/LITI_Q1_HALF171[[#This Row],[3PT FGA]]</calculatedColumnFormula>
    </tableColumn>
    <tableColumn id="11" xr3:uid="{D9CE1F86-FFF6-9541-811F-3C557EDDDF59}" name="FTM" dataDxfId="1994"/>
    <tableColumn id="12" xr3:uid="{083C8E3E-56A8-E043-9C59-C7373713F14D}" name="FTA" dataDxfId="1993"/>
    <tableColumn id="13" xr3:uid="{D4845BE8-41B5-0741-A1C2-3E95345C7B9A}" name="FT %" dataDxfId="1992" dataCellStyle="Percent">
      <calculatedColumnFormula>LITI_Q1_HALF171[[#This Row],[FTM]]/LITI_Q1_HALF171[[#This Row],[FTA]]</calculatedColumnFormula>
    </tableColumn>
    <tableColumn id="14" xr3:uid="{80F068F2-823D-184D-94BB-3504A845B61D}" name="TOTAL POINTS" dataDxfId="1991">
      <calculatedColumnFormula>SUM(LITI_Q1_HALF171[[#This Row],[2PT FGM]]*2,LITI_Q1_HALF171[[#This Row],[3PT FGM]]*3,LITI_Q1_HALF171[[#This Row],[FTM]])</calculatedColumnFormula>
    </tableColumn>
    <tableColumn id="15" xr3:uid="{3BD10669-8810-614D-A978-D1701B095BA2}" name="Dunks" dataDxfId="1990"/>
    <tableColumn id="16" xr3:uid="{9CD7E9B5-3653-CE4F-BE9A-5F04BE5ECFC6}" name="Def. Boards" dataDxfId="1989"/>
    <tableColumn id="17" xr3:uid="{A8F6F615-D977-6949-8F3D-835792768ED5}" name="Off. Boards" dataDxfId="1988"/>
    <tableColumn id="18" xr3:uid="{D9ECCDD3-18BA-734B-B97D-DD949B831BBC}" name="Total Boards" dataDxfId="1987">
      <calculatedColumnFormula>LITI_Q1_HALF171[[#This Row],[Def. Boards]]+LITI_Q1_HALF171[[#This Row],[Off. Boards]]</calculatedColumnFormula>
    </tableColumn>
    <tableColumn id="19" xr3:uid="{EA9C6C06-083E-3D47-B8C1-DAC75C44D250}" name="Dimes" dataDxfId="1986"/>
    <tableColumn id="20" xr3:uid="{3B347825-E965-A849-8B30-F4254CA0C4CF}" name="Cookies" dataDxfId="1985"/>
    <tableColumn id="21" xr3:uid="{6E4218E0-30E5-2140-9F14-2CC550ABE095}" name="Swats" dataDxfId="1984"/>
    <tableColumn id="22" xr3:uid="{1C141806-0B07-B243-AC46-0AB813CF7150}" name="Turnovers" dataDxfId="1983"/>
    <tableColumn id="23" xr3:uid="{77DEB576-3292-F04B-A8F6-B9FA3675C41B}" name="Dimes:TO" dataDxfId="1982">
      <calculatedColumnFormula>LITI_Q1_HALF171[[#This Row],[Dimes]]/LITI_Q1_HALF171[[#This Row],[Turnovers]]</calculatedColumnFormula>
    </tableColumn>
  </tableColumns>
  <tableStyleInfo name="TableStyleMedium15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BBB6D60-5B37-D44F-891E-35BA7C40522A}" name="LITI_269" displayName="LITI_269" ref="A174:W180" totalsRowShown="0" headerRowDxfId="51" headerRowBorderDxfId="50" tableBorderDxfId="49">
  <autoFilter ref="A174:W180" xr:uid="{1F9133D3-B152-EC4E-B934-9A6A0D398FD5}"/>
  <tableColumns count="23">
    <tableColumn id="1" xr3:uid="{57C966AE-C9E0-674F-8B43-937D700F47DB}" name="Column1" dataDxfId="48"/>
    <tableColumn id="2" xr3:uid="{EA7F1E10-9790-2C4D-B1A4-AE2A363AD90F}" name="Total FGM" dataDxfId="47">
      <calculatedColumnFormula>LITI_269[[#This Row],[2PT FGM]]+LITI_269[[#This Row],[3PT FGM]]</calculatedColumnFormula>
    </tableColumn>
    <tableColumn id="3" xr3:uid="{2DB5B872-9B15-6345-BC75-3DFC3C8A03C0}" name="Total FGA" dataDxfId="46"/>
    <tableColumn id="4" xr3:uid="{2121A897-4040-3746-B8E3-32C95179F58E}" name="Overall FG%" dataDxfId="45" dataCellStyle="Percent">
      <calculatedColumnFormula>LITI_269[[#This Row],[Total FGM]]/LITI_269[[#This Row],[Total FGA]]</calculatedColumnFormula>
    </tableColumn>
    <tableColumn id="5" xr3:uid="{9222A3AF-F716-214D-8560-9112B2F22281}" name="2PT FGM" dataDxfId="44"/>
    <tableColumn id="6" xr3:uid="{0A2548C9-DA2E-384C-A213-97AF8B7AD9C5}" name="2PT FGA" dataDxfId="43"/>
    <tableColumn id="7" xr3:uid="{FAD84D48-9D7B-2942-BAD8-5481D00DA8E3}" name="2PT FG%" dataDxfId="42" dataCellStyle="Percent">
      <calculatedColumnFormula>LITI_269[[#This Row],[2PT FGM]]/LITI_269[[#This Row],[2PT FGA]]</calculatedColumnFormula>
    </tableColumn>
    <tableColumn id="8" xr3:uid="{451FFD56-49C1-C945-BFBC-FC77EAC275B8}" name="3PT FGM" dataDxfId="41"/>
    <tableColumn id="9" xr3:uid="{D5C5D53A-2B41-0940-9C62-9DAD0D606EB2}" name="3PT FGA" dataDxfId="40"/>
    <tableColumn id="10" xr3:uid="{344D1E4E-65A2-7F48-861D-02354B8167D4}" name="3PT FG%" dataDxfId="39" dataCellStyle="Percent">
      <calculatedColumnFormula>LITI_269[[#This Row],[3PT FGM]]/LITI_269[[#This Row],[3PT FGA]]</calculatedColumnFormula>
    </tableColumn>
    <tableColumn id="11" xr3:uid="{4FE3DC6A-E0C1-8141-BFF8-8E81DBCA103C}" name="FTM" dataDxfId="38"/>
    <tableColumn id="12" xr3:uid="{7882552C-A853-404D-ACAD-8C2E32282D87}" name="FTA" dataDxfId="37"/>
    <tableColumn id="13" xr3:uid="{538208D7-DE3B-F04A-913D-85DD50425F64}" name="FT %" dataDxfId="36" dataCellStyle="Percent">
      <calculatedColumnFormula>LITI_269[[#This Row],[FTM]]/LITI_269[[#This Row],[FTA]]</calculatedColumnFormula>
    </tableColumn>
    <tableColumn id="14" xr3:uid="{D264F0BE-1682-1245-9C47-7B9420E1269B}" name="TOTAL POINTS" dataDxfId="35">
      <calculatedColumnFormula>SUM(LITI_269[[#This Row],[2PT FGM]]*2,LITI_269[[#This Row],[3PT FGM]]*3,LITI_269[[#This Row],[FTM]])</calculatedColumnFormula>
    </tableColumn>
    <tableColumn id="15" xr3:uid="{F035BD0C-5797-334D-989E-85C1454B710A}" name="Dunks" dataDxfId="34"/>
    <tableColumn id="16" xr3:uid="{4014638B-2579-664A-8497-7F077332D058}" name="Def. Boards" dataDxfId="33"/>
    <tableColumn id="17" xr3:uid="{2E986AA7-3462-FA40-8723-DF3C76C34A6F}" name="Off. Boards" dataDxfId="32"/>
    <tableColumn id="18" xr3:uid="{2CE98F72-64AE-9B45-8E33-F5A1DB016DB1}" name="Total Boards" dataDxfId="31">
      <calculatedColumnFormula>LITI_269[[#This Row],[Def. Boards]]+LITI_269[[#This Row],[Off. Boards]]</calculatedColumnFormula>
    </tableColumn>
    <tableColumn id="19" xr3:uid="{8F858F2B-794F-6F4B-A76D-666AC57045A6}" name="Dimes" dataDxfId="30"/>
    <tableColumn id="20" xr3:uid="{0EA7B093-E641-E44F-B94D-BFB3374119A1}" name="Cookies" dataDxfId="29"/>
    <tableColumn id="21" xr3:uid="{98018BC7-0969-FF4C-A75E-36D96EC14C94}" name="Swats" dataDxfId="28"/>
    <tableColumn id="22" xr3:uid="{B4F4DDDF-606E-484E-A62F-F4E227197913}" name="Turnovers" dataDxfId="27"/>
    <tableColumn id="23" xr3:uid="{E957E3F9-21B2-D74A-B6A5-21FA25450A95}" name="Dimes:TO" dataDxfId="26">
      <calculatedColumnFormula>LITI_269[[#This Row],[Dimes]]/LITI_269[[#This Row],[Turnovers]]</calculatedColumnFormula>
    </tableColumn>
  </tableColumns>
  <tableStyleInfo name="TableStyleMedium15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FAD53191-E5B2-2146-81DC-01043866DFEC}" name="LITI_270" displayName="LITI_270" ref="A195:W201" totalsRowShown="0" headerRowDxfId="25" headerRowBorderDxfId="24" tableBorderDxfId="23">
  <autoFilter ref="A195:W201" xr:uid="{2CD7A8E9-6E9B-CB41-9B57-727104E608E6}"/>
  <tableColumns count="23">
    <tableColumn id="1" xr3:uid="{19658A13-8820-1D45-A5B8-5B953EE910F4}" name="Column1" dataDxfId="22"/>
    <tableColumn id="2" xr3:uid="{8A794F46-BDA2-A14B-B2DC-EF948504EFE5}" name="Total FGM" dataDxfId="21">
      <calculatedColumnFormula>LITI_270[[#This Row],[2PT FGM]]+LITI_270[[#This Row],[3PT FGM]]</calculatedColumnFormula>
    </tableColumn>
    <tableColumn id="3" xr3:uid="{238A8151-286C-034A-8EB3-AB974750EF75}" name="Total FGA" dataDxfId="20"/>
    <tableColumn id="4" xr3:uid="{2D7C5079-979B-6C49-B615-EEF5F5A3C447}" name="Overall FG%" dataDxfId="19" dataCellStyle="Percent">
      <calculatedColumnFormula>LITI_270[[#This Row],[Total FGM]]/LITI_270[[#This Row],[Total FGA]]</calculatedColumnFormula>
    </tableColumn>
    <tableColumn id="5" xr3:uid="{5D6365CB-CCCA-F146-B1BD-5CCC0B6E6C86}" name="2PT FGM" dataDxfId="18"/>
    <tableColumn id="6" xr3:uid="{E6901D82-56A7-D84B-BFC8-CD1A105450CF}" name="2PT FGA" dataDxfId="17"/>
    <tableColumn id="7" xr3:uid="{1120220A-44A4-2F49-B16B-8F71020143AA}" name="2PT FG%" dataDxfId="16" dataCellStyle="Percent">
      <calculatedColumnFormula>LITI_270[[#This Row],[2PT FGM]]/LITI_270[[#This Row],[2PT FGA]]</calculatedColumnFormula>
    </tableColumn>
    <tableColumn id="8" xr3:uid="{791924E6-C8A8-D14F-A6F5-672980E47CCD}" name="3PT FGM" dataDxfId="15"/>
    <tableColumn id="9" xr3:uid="{EA86013E-6BEE-6642-AD72-23E0A6E3C3C7}" name="3PT FGA" dataDxfId="14"/>
    <tableColumn id="10" xr3:uid="{CB4CAD21-F7EF-0E4A-8898-3B3AFE55953D}" name="3PT FG%" dataDxfId="13" dataCellStyle="Percent">
      <calculatedColumnFormula>LITI_270[[#This Row],[3PT FGM]]/LITI_270[[#This Row],[3PT FGA]]</calculatedColumnFormula>
    </tableColumn>
    <tableColumn id="11" xr3:uid="{2B891028-5ECB-A040-8333-7B615D647B44}" name="FTM" dataDxfId="12"/>
    <tableColumn id="12" xr3:uid="{036768DD-FD5D-5F47-9D2C-45E0A2E50946}" name="FTA" dataDxfId="11"/>
    <tableColumn id="13" xr3:uid="{58957F49-66EF-6443-82C9-50F67DF999F6}" name="FT %" dataDxfId="10" dataCellStyle="Percent">
      <calculatedColumnFormula>LITI_270[[#This Row],[FTM]]/LITI_270[[#This Row],[FTA]]</calculatedColumnFormula>
    </tableColumn>
    <tableColumn id="14" xr3:uid="{099925D5-D883-5A4B-82C7-399A8C9C0B45}" name="TOTAL POINTS" dataDxfId="9">
      <calculatedColumnFormula>SUM(LITI_270[[#This Row],[2PT FGM]]*2,LITI_270[[#This Row],[3PT FGM]]*3,LITI_270[[#This Row],[FTM]])</calculatedColumnFormula>
    </tableColumn>
    <tableColumn id="15" xr3:uid="{4EF859D1-2AB9-2240-BB23-9984245721B2}" name="Dunks" dataDxfId="8"/>
    <tableColumn id="16" xr3:uid="{38B2B928-08AD-614F-BDAD-57B48CA1B9EB}" name="Def. Boards" dataDxfId="7"/>
    <tableColumn id="17" xr3:uid="{004AEF1D-9572-A442-8CB8-2A231B33A95D}" name="Off. Boards" dataDxfId="6"/>
    <tableColumn id="18" xr3:uid="{DDE467C6-CBF2-5C44-A691-F4FF5FDE6D4C}" name="Total Boards" dataDxfId="5">
      <calculatedColumnFormula>LITI_270[[#This Row],[Def. Boards]]+LITI_270[[#This Row],[Off. Boards]]</calculatedColumnFormula>
    </tableColumn>
    <tableColumn id="19" xr3:uid="{AC1344C6-C7FD-924A-A7B1-223BAD9E0DCB}" name="Dimes" dataDxfId="4"/>
    <tableColumn id="20" xr3:uid="{9CF7772E-4622-4043-B79F-5F4E1B654584}" name="Cookies" dataDxfId="3"/>
    <tableColumn id="21" xr3:uid="{41A564AC-60F4-BB48-8495-70C322C160E0}" name="Swats" dataDxfId="2"/>
    <tableColumn id="22" xr3:uid="{A32C7C15-FD2E-504D-A8FC-446941B5527A}" name="Turnovers" dataDxfId="1"/>
    <tableColumn id="23" xr3:uid="{1186EDE6-6C04-D44A-B568-1169B59FF9ED}" name="Dimes:TO" dataDxfId="0">
      <calculatedColumnFormula>LITI_270[[#This Row],[Dimes]]/LITI_270[[#This Row],[Turnovers]]</calculatedColumnFormula>
    </tableColumn>
  </tableColumns>
  <tableStyleInfo name="TableStyleMedium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48E35135-C215-D542-83AA-7C15819838AD}" name="GN_Q1_HALF172" displayName="GN_Q1_HALF172" ref="A60:W66" totalsRowShown="0" headerRowDxfId="1981" headerRowBorderDxfId="1980" tableBorderDxfId="1979">
  <autoFilter ref="A60:W66" xr:uid="{EB5633B4-3C2D-A84C-BC15-22274FBDEFD5}"/>
  <tableColumns count="23">
    <tableColumn id="1" xr3:uid="{51F0777C-098B-724E-A38F-6AF221519A78}" name="Nokia Snakes" dataDxfId="1978"/>
    <tableColumn id="2" xr3:uid="{BE9970BD-FC98-CE44-B10A-9D70A5537420}" name="Total FGM" dataDxfId="1977">
      <calculatedColumnFormula>GN_Q1_HALF172[[#This Row],[2PT FGM]]+GN_Q1_HALF172[[#This Row],[3PT FGM]]</calculatedColumnFormula>
    </tableColumn>
    <tableColumn id="3" xr3:uid="{A9476D3B-E102-E344-9130-657C135C3522}" name="Total FGA" dataDxfId="1976">
      <calculatedColumnFormula>GN_Q1_HALF172[[#This Row],[2PT FGA]]+GN_Q1_HALF172[[#This Row],[3PT FGA]]</calculatedColumnFormula>
    </tableColumn>
    <tableColumn id="4" xr3:uid="{C463772A-F5EF-7842-BE8A-4B9EB99D51DE}" name="Overall FG%" dataDxfId="1975" dataCellStyle="Percent">
      <calculatedColumnFormula>GN_Q1_HALF172[[#This Row],[Total FGM]]/GN_Q1_HALF172[[#This Row],[Total FGA]]</calculatedColumnFormula>
    </tableColumn>
    <tableColumn id="5" xr3:uid="{8B78679C-7CD2-434B-A29B-FC90445CBF0E}" name="2PT FGM" dataDxfId="1974"/>
    <tableColumn id="6" xr3:uid="{CD1768D9-8506-D545-BCA0-813F064C83AB}" name="2PT FGA" dataDxfId="1973"/>
    <tableColumn id="7" xr3:uid="{4A683B24-546F-C048-A199-EA6BA1DD4B92}" name="2PT FG%" dataDxfId="1972" dataCellStyle="Percent">
      <calculatedColumnFormula>GN_Q1_HALF172[[#This Row],[2PT FGM]]/GN_Q1_HALF172[[#This Row],[2PT FGA]]</calculatedColumnFormula>
    </tableColumn>
    <tableColumn id="8" xr3:uid="{11E80F28-1D9A-4948-8F8C-AFA7BA4D82E0}" name="3PT FGM" dataDxfId="1971"/>
    <tableColumn id="9" xr3:uid="{E5DED6E3-092E-7943-8954-49170AFB9EAF}" name="3PT FGA" dataDxfId="1970"/>
    <tableColumn id="10" xr3:uid="{DEBB7285-0C36-4142-8752-F4440450B168}" name="3PT FG%" dataDxfId="1969" dataCellStyle="Percent">
      <calculatedColumnFormula>GN_Q1_HALF172[[#This Row],[Total FGM]]/GN_Q1_HALF172[[#This Row],[Total FGA]]</calculatedColumnFormula>
    </tableColumn>
    <tableColumn id="11" xr3:uid="{81B98193-0D7E-E54C-9B10-06C9066993B9}" name="FTM" dataDxfId="1968"/>
    <tableColumn id="12" xr3:uid="{374F0758-B010-6D43-9694-C7BC37F73CA1}" name="FTA" dataDxfId="1967"/>
    <tableColumn id="13" xr3:uid="{AB508AEA-5141-B343-B31E-3279DA4190B0}" name="FT %" dataDxfId="1966" dataCellStyle="Percent">
      <calculatedColumnFormula>GN_Q1_HALF172[[#This Row],[FTM]]/GN_Q1_HALF172[[#This Row],[FTA]]</calculatedColumnFormula>
    </tableColumn>
    <tableColumn id="14" xr3:uid="{24229CE7-0AA6-8947-9134-BF77F5582CE2}" name="TOTAL POINTS" dataDxfId="1965">
      <calculatedColumnFormula>SUM(GN_Q1_HALF172[[#This Row],[2PT FGM]]*2,GN_Q1_HALF172[[#This Row],[3PT FGM]]*3,GN_Q1_HALF172[[#This Row],[FTM]])</calculatedColumnFormula>
    </tableColumn>
    <tableColumn id="15" xr3:uid="{7181E63E-317C-FC41-A458-4ABB67BBE5C3}" name="Dunks" dataDxfId="1964"/>
    <tableColumn id="16" xr3:uid="{31905A28-1DAD-E446-8D28-803A76E48EE1}" name="Def. Boards" dataDxfId="1963"/>
    <tableColumn id="17" xr3:uid="{DC195D1F-3083-6242-88B0-6896B44A1595}" name="Off. Boards" dataDxfId="1962"/>
    <tableColumn id="18" xr3:uid="{0BAD9228-C915-1740-9350-122431171142}" name="Total Boards" dataDxfId="1961">
      <calculatedColumnFormula>GN_Q1_HALF172[[#This Row],[Def. Boards]]+GN_Q1_HALF172[[#This Row],[Off. Boards]]</calculatedColumnFormula>
    </tableColumn>
    <tableColumn id="19" xr3:uid="{A89F4D3F-1936-744F-9FDA-9145BC29DB9D}" name="Dimes" dataDxfId="1960"/>
    <tableColumn id="20" xr3:uid="{B3B39BC1-6F7F-554E-9715-BC312B96ED72}" name="Cookies" dataDxfId="1959"/>
    <tableColumn id="21" xr3:uid="{C5DE6614-BA47-8A4E-B9DF-74A00B23EDBD}" name="Swats" dataDxfId="1958"/>
    <tableColumn id="22" xr3:uid="{CA3AC739-EC4D-FC4E-90A7-B5F3BA507718}" name="Turnovers" dataDxfId="1957"/>
    <tableColumn id="23" xr3:uid="{9AB6FC08-A43D-BE46-9948-9B6AB17329B0}" name="Dimes:TO" dataDxfId="1956">
      <calculatedColumnFormula>GN_Q1_HALF172[[#This Row],[Dimes]]/GN_Q1_HALF172[[#This Row],[Turnovers]]</calculatedColumnFormula>
    </tableColumn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5" Type="http://schemas.openxmlformats.org/officeDocument/2006/relationships/table" Target="../tables/table34.xml"/><Relationship Id="rId4" Type="http://schemas.openxmlformats.org/officeDocument/2006/relationships/table" Target="../tables/table3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8.xml"/><Relationship Id="rId2" Type="http://schemas.openxmlformats.org/officeDocument/2006/relationships/table" Target="../tables/table37.xml"/><Relationship Id="rId1" Type="http://schemas.openxmlformats.org/officeDocument/2006/relationships/table" Target="../tables/table36.xml"/><Relationship Id="rId6" Type="http://schemas.openxmlformats.org/officeDocument/2006/relationships/table" Target="../tables/table41.xml"/><Relationship Id="rId5" Type="http://schemas.openxmlformats.org/officeDocument/2006/relationships/table" Target="../tables/table40.xml"/><Relationship Id="rId4" Type="http://schemas.openxmlformats.org/officeDocument/2006/relationships/table" Target="../tables/table3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4.xml"/><Relationship Id="rId2" Type="http://schemas.openxmlformats.org/officeDocument/2006/relationships/table" Target="../tables/table43.xml"/><Relationship Id="rId1" Type="http://schemas.openxmlformats.org/officeDocument/2006/relationships/table" Target="../tables/table42.xml"/><Relationship Id="rId6" Type="http://schemas.openxmlformats.org/officeDocument/2006/relationships/table" Target="../tables/table47.xml"/><Relationship Id="rId5" Type="http://schemas.openxmlformats.org/officeDocument/2006/relationships/table" Target="../tables/table46.xml"/><Relationship Id="rId4" Type="http://schemas.openxmlformats.org/officeDocument/2006/relationships/table" Target="../tables/table45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0.xml"/><Relationship Id="rId2" Type="http://schemas.openxmlformats.org/officeDocument/2006/relationships/table" Target="../tables/table49.xml"/><Relationship Id="rId1" Type="http://schemas.openxmlformats.org/officeDocument/2006/relationships/table" Target="../tables/table48.xml"/><Relationship Id="rId6" Type="http://schemas.openxmlformats.org/officeDocument/2006/relationships/table" Target="../tables/table53.xml"/><Relationship Id="rId5" Type="http://schemas.openxmlformats.org/officeDocument/2006/relationships/table" Target="../tables/table52.xml"/><Relationship Id="rId4" Type="http://schemas.openxmlformats.org/officeDocument/2006/relationships/table" Target="../tables/table5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5.xml"/><Relationship Id="rId1" Type="http://schemas.openxmlformats.org/officeDocument/2006/relationships/table" Target="../tables/table5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7.xml"/><Relationship Id="rId1" Type="http://schemas.openxmlformats.org/officeDocument/2006/relationships/table" Target="../tables/table56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9.xml"/><Relationship Id="rId1" Type="http://schemas.openxmlformats.org/officeDocument/2006/relationships/table" Target="../tables/table58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1.xml"/><Relationship Id="rId1" Type="http://schemas.openxmlformats.org/officeDocument/2006/relationships/table" Target="../tables/table60.x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8.xml"/><Relationship Id="rId13" Type="http://schemas.openxmlformats.org/officeDocument/2006/relationships/table" Target="../tables/table73.xml"/><Relationship Id="rId18" Type="http://schemas.openxmlformats.org/officeDocument/2006/relationships/table" Target="../tables/table78.xml"/><Relationship Id="rId3" Type="http://schemas.openxmlformats.org/officeDocument/2006/relationships/table" Target="../tables/table63.xml"/><Relationship Id="rId21" Type="http://schemas.openxmlformats.org/officeDocument/2006/relationships/table" Target="../tables/table81.xml"/><Relationship Id="rId7" Type="http://schemas.openxmlformats.org/officeDocument/2006/relationships/table" Target="../tables/table67.xml"/><Relationship Id="rId12" Type="http://schemas.openxmlformats.org/officeDocument/2006/relationships/table" Target="../tables/table72.xml"/><Relationship Id="rId17" Type="http://schemas.openxmlformats.org/officeDocument/2006/relationships/table" Target="../tables/table77.xml"/><Relationship Id="rId2" Type="http://schemas.openxmlformats.org/officeDocument/2006/relationships/table" Target="../tables/table62.xml"/><Relationship Id="rId16" Type="http://schemas.openxmlformats.org/officeDocument/2006/relationships/table" Target="../tables/table76.xml"/><Relationship Id="rId20" Type="http://schemas.openxmlformats.org/officeDocument/2006/relationships/table" Target="../tables/table80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66.xml"/><Relationship Id="rId11" Type="http://schemas.openxmlformats.org/officeDocument/2006/relationships/table" Target="../tables/table71.xml"/><Relationship Id="rId5" Type="http://schemas.openxmlformats.org/officeDocument/2006/relationships/table" Target="../tables/table65.xml"/><Relationship Id="rId15" Type="http://schemas.openxmlformats.org/officeDocument/2006/relationships/table" Target="../tables/table75.xml"/><Relationship Id="rId10" Type="http://schemas.openxmlformats.org/officeDocument/2006/relationships/table" Target="../tables/table70.xml"/><Relationship Id="rId19" Type="http://schemas.openxmlformats.org/officeDocument/2006/relationships/table" Target="../tables/table79.xml"/><Relationship Id="rId4" Type="http://schemas.openxmlformats.org/officeDocument/2006/relationships/table" Target="../tables/table64.xml"/><Relationship Id="rId9" Type="http://schemas.openxmlformats.org/officeDocument/2006/relationships/table" Target="../tables/table69.xml"/><Relationship Id="rId14" Type="http://schemas.openxmlformats.org/officeDocument/2006/relationships/table" Target="../tables/table7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sjglauber@gmail.com" TargetMode="External"/><Relationship Id="rId2" Type="http://schemas.openxmlformats.org/officeDocument/2006/relationships/hyperlink" Target="mailto:sjglauber@gmail.com" TargetMode="External"/><Relationship Id="rId1" Type="http://schemas.openxmlformats.org/officeDocument/2006/relationships/hyperlink" Target="mailto:sjglauber@gmail.com" TargetMode="External"/><Relationship Id="rId4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7" Type="http://schemas.openxmlformats.org/officeDocument/2006/relationships/table" Target="../tables/table29.xml"/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28.xml"/><Relationship Id="rId5" Type="http://schemas.openxmlformats.org/officeDocument/2006/relationships/table" Target="../tables/table27.xml"/><Relationship Id="rId4" Type="http://schemas.openxmlformats.org/officeDocument/2006/relationships/table" Target="../tables/table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C17F3-963B-4FB0-82FC-B93A817BDBA1}">
  <dimension ref="A1:C36"/>
  <sheetViews>
    <sheetView workbookViewId="0">
      <selection activeCell="G31" sqref="G31"/>
    </sheetView>
  </sheetViews>
  <sheetFormatPr baseColWidth="10" defaultColWidth="8.83203125" defaultRowHeight="15" x14ac:dyDescent="0.2"/>
  <cols>
    <col min="1" max="1" width="14.5" bestFit="1" customWidth="1"/>
    <col min="2" max="2" width="19.6640625" bestFit="1" customWidth="1"/>
    <col min="3" max="3" width="16" bestFit="1" customWidth="1"/>
  </cols>
  <sheetData>
    <row r="1" spans="1:3" x14ac:dyDescent="0.2">
      <c r="A1" t="s">
        <v>25</v>
      </c>
      <c r="B1" t="s">
        <v>22</v>
      </c>
      <c r="C1" t="s">
        <v>23</v>
      </c>
    </row>
    <row r="2" spans="1:3" x14ac:dyDescent="0.2">
      <c r="A2" s="14" t="s">
        <v>35</v>
      </c>
      <c r="B2" t="s">
        <v>98</v>
      </c>
      <c r="C2" t="s">
        <v>208</v>
      </c>
    </row>
    <row r="3" spans="1:3" x14ac:dyDescent="0.2">
      <c r="A3" s="14" t="s">
        <v>36</v>
      </c>
      <c r="B3" t="s">
        <v>88</v>
      </c>
      <c r="C3" t="s">
        <v>208</v>
      </c>
    </row>
    <row r="4" spans="1:3" x14ac:dyDescent="0.2">
      <c r="A4" s="14" t="s">
        <v>40</v>
      </c>
      <c r="B4" t="s">
        <v>83</v>
      </c>
      <c r="C4" t="s">
        <v>208</v>
      </c>
    </row>
    <row r="5" spans="1:3" x14ac:dyDescent="0.2">
      <c r="A5" s="14" t="s">
        <v>30</v>
      </c>
      <c r="B5" t="s">
        <v>96</v>
      </c>
      <c r="C5" t="s">
        <v>208</v>
      </c>
    </row>
    <row r="6" spans="1:3" x14ac:dyDescent="0.2">
      <c r="A6" s="14" t="s">
        <v>206</v>
      </c>
      <c r="B6" t="s">
        <v>207</v>
      </c>
      <c r="C6" t="s">
        <v>208</v>
      </c>
    </row>
    <row r="7" spans="1:3" x14ac:dyDescent="0.2">
      <c r="A7" s="14" t="s">
        <v>44</v>
      </c>
      <c r="B7" t="s">
        <v>80</v>
      </c>
      <c r="C7" t="s">
        <v>132</v>
      </c>
    </row>
    <row r="8" spans="1:3" x14ac:dyDescent="0.2">
      <c r="A8" s="14" t="s">
        <v>52</v>
      </c>
      <c r="B8" t="s">
        <v>91</v>
      </c>
      <c r="C8" t="s">
        <v>132</v>
      </c>
    </row>
    <row r="9" spans="1:3" x14ac:dyDescent="0.2">
      <c r="A9" s="14" t="s">
        <v>53</v>
      </c>
      <c r="B9" t="s">
        <v>77</v>
      </c>
      <c r="C9" t="s">
        <v>132</v>
      </c>
    </row>
    <row r="10" spans="1:3" x14ac:dyDescent="0.2">
      <c r="A10" s="16" t="s">
        <v>56</v>
      </c>
      <c r="B10" t="s">
        <v>95</v>
      </c>
      <c r="C10" t="s">
        <v>132</v>
      </c>
    </row>
    <row r="11" spans="1:3" x14ac:dyDescent="0.2">
      <c r="A11" s="14" t="s">
        <v>34</v>
      </c>
      <c r="B11" t="s">
        <v>78</v>
      </c>
      <c r="C11" t="s">
        <v>132</v>
      </c>
    </row>
    <row r="12" spans="1:3" x14ac:dyDescent="0.2">
      <c r="A12" s="14" t="s">
        <v>41</v>
      </c>
      <c r="B12" t="s">
        <v>79</v>
      </c>
      <c r="C12" t="s">
        <v>132</v>
      </c>
    </row>
    <row r="13" spans="1:3" x14ac:dyDescent="0.2">
      <c r="A13" s="14" t="s">
        <v>46</v>
      </c>
      <c r="B13" t="s">
        <v>81</v>
      </c>
      <c r="C13" t="s">
        <v>132</v>
      </c>
    </row>
    <row r="14" spans="1:3" x14ac:dyDescent="0.2">
      <c r="A14" s="16" t="s">
        <v>38</v>
      </c>
      <c r="B14" t="s">
        <v>82</v>
      </c>
      <c r="C14" t="s">
        <v>132</v>
      </c>
    </row>
    <row r="15" spans="1:3" x14ac:dyDescent="0.2">
      <c r="A15" s="14" t="s">
        <v>31</v>
      </c>
      <c r="B15" t="s">
        <v>84</v>
      </c>
      <c r="C15" t="s">
        <v>132</v>
      </c>
    </row>
    <row r="16" spans="1:3" x14ac:dyDescent="0.2">
      <c r="A16" s="14" t="s">
        <v>57</v>
      </c>
      <c r="B16" t="s">
        <v>86</v>
      </c>
      <c r="C16" t="s">
        <v>132</v>
      </c>
    </row>
    <row r="17" spans="1:3" x14ac:dyDescent="0.2">
      <c r="A17" s="14" t="s">
        <v>54</v>
      </c>
      <c r="B17" t="s">
        <v>87</v>
      </c>
      <c r="C17" t="s">
        <v>132</v>
      </c>
    </row>
    <row r="18" spans="1:3" x14ac:dyDescent="0.2">
      <c r="A18" s="14" t="s">
        <v>39</v>
      </c>
      <c r="B18" t="s">
        <v>89</v>
      </c>
      <c r="C18" t="s">
        <v>132</v>
      </c>
    </row>
    <row r="19" spans="1:3" x14ac:dyDescent="0.2">
      <c r="A19" s="14" t="s">
        <v>28</v>
      </c>
      <c r="B19" t="s">
        <v>92</v>
      </c>
      <c r="C19" t="s">
        <v>132</v>
      </c>
    </row>
    <row r="20" spans="1:3" x14ac:dyDescent="0.2">
      <c r="A20" s="14" t="s">
        <v>50</v>
      </c>
      <c r="B20" t="s">
        <v>93</v>
      </c>
      <c r="C20" t="s">
        <v>132</v>
      </c>
    </row>
    <row r="21" spans="1:3" x14ac:dyDescent="0.2">
      <c r="A21" s="14" t="s">
        <v>49</v>
      </c>
      <c r="B21" t="s">
        <v>94</v>
      </c>
      <c r="C21" t="s">
        <v>132</v>
      </c>
    </row>
    <row r="22" spans="1:3" x14ac:dyDescent="0.2">
      <c r="A22" s="14" t="s">
        <v>47</v>
      </c>
      <c r="B22" t="s">
        <v>97</v>
      </c>
      <c r="C22" t="s">
        <v>132</v>
      </c>
    </row>
    <row r="23" spans="1:3" x14ac:dyDescent="0.2">
      <c r="A23" s="14" t="s">
        <v>42</v>
      </c>
      <c r="B23" t="s">
        <v>101</v>
      </c>
      <c r="C23" t="s">
        <v>132</v>
      </c>
    </row>
    <row r="24" spans="1:3" x14ac:dyDescent="0.2">
      <c r="A24" s="14" t="s">
        <v>48</v>
      </c>
      <c r="B24" t="s">
        <v>99</v>
      </c>
      <c r="C24" t="s">
        <v>132</v>
      </c>
    </row>
    <row r="25" spans="1:3" x14ac:dyDescent="0.2">
      <c r="A25" s="14" t="s">
        <v>51</v>
      </c>
      <c r="B25" t="s">
        <v>102</v>
      </c>
      <c r="C25" t="s">
        <v>132</v>
      </c>
    </row>
    <row r="26" spans="1:3" x14ac:dyDescent="0.2">
      <c r="A26" s="14" t="s">
        <v>43</v>
      </c>
      <c r="B26" t="s">
        <v>104</v>
      </c>
      <c r="C26" t="s">
        <v>132</v>
      </c>
    </row>
    <row r="27" spans="1:3" x14ac:dyDescent="0.2">
      <c r="A27" s="14" t="s">
        <v>45</v>
      </c>
      <c r="B27" t="s">
        <v>90</v>
      </c>
      <c r="C27" t="s">
        <v>132</v>
      </c>
    </row>
    <row r="28" spans="1:3" x14ac:dyDescent="0.2">
      <c r="A28" s="16" t="s">
        <v>37</v>
      </c>
      <c r="B28" t="s">
        <v>100</v>
      </c>
      <c r="C28" t="s">
        <v>209</v>
      </c>
    </row>
    <row r="29" spans="1:3" x14ac:dyDescent="0.2">
      <c r="A29" s="14" t="s">
        <v>32</v>
      </c>
      <c r="B29" t="s">
        <v>103</v>
      </c>
      <c r="C29" t="s">
        <v>209</v>
      </c>
    </row>
    <row r="30" spans="1:3" x14ac:dyDescent="0.2">
      <c r="A30" s="14" t="s">
        <v>29</v>
      </c>
      <c r="B30" t="s">
        <v>24</v>
      </c>
      <c r="C30" t="s">
        <v>209</v>
      </c>
    </row>
    <row r="31" spans="1:3" x14ac:dyDescent="0.2">
      <c r="A31" s="14" t="s">
        <v>33</v>
      </c>
      <c r="B31" t="s">
        <v>135</v>
      </c>
      <c r="C31" t="s">
        <v>209</v>
      </c>
    </row>
    <row r="32" spans="1:3" x14ac:dyDescent="0.2">
      <c r="A32" s="14" t="s">
        <v>55</v>
      </c>
      <c r="B32" t="s">
        <v>85</v>
      </c>
      <c r="C32" t="s">
        <v>209</v>
      </c>
    </row>
    <row r="33" spans="1:3" x14ac:dyDescent="0.2">
      <c r="A33" s="17"/>
    </row>
    <row r="34" spans="1:3" x14ac:dyDescent="0.2">
      <c r="A34">
        <v>2018</v>
      </c>
      <c r="B34" t="s">
        <v>133</v>
      </c>
      <c r="C34" s="57">
        <f>COUNTIF(C2:C33,"*")</f>
        <v>31</v>
      </c>
    </row>
    <row r="35" spans="1:3" x14ac:dyDescent="0.2">
      <c r="A35" s="18">
        <v>2018</v>
      </c>
      <c r="B35" s="18" t="s">
        <v>132</v>
      </c>
      <c r="C35" s="83">
        <f>COUNTIF(C2:C33,"DNP")</f>
        <v>21</v>
      </c>
    </row>
    <row r="36" spans="1:3" x14ac:dyDescent="0.2">
      <c r="A36">
        <v>2018</v>
      </c>
      <c r="B36" t="s">
        <v>105</v>
      </c>
      <c r="C36" s="57">
        <f>C34-C35</f>
        <v>10</v>
      </c>
    </row>
  </sheetData>
  <sortState ref="A2:C32">
    <sortCondition ref="A2"/>
  </sortState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7E185-4659-49BD-B442-032779A7D8E2}">
  <dimension ref="A1:W57"/>
  <sheetViews>
    <sheetView showGridLines="0" workbookViewId="0">
      <selection activeCell="A7" sqref="A7"/>
    </sheetView>
  </sheetViews>
  <sheetFormatPr baseColWidth="10" defaultColWidth="8.83203125" defaultRowHeight="15" x14ac:dyDescent="0.2"/>
  <cols>
    <col min="1" max="1" width="21.1640625" bestFit="1" customWidth="1"/>
    <col min="2" max="2" width="10.5" bestFit="1" customWidth="1"/>
    <col min="3" max="3" width="21.33203125" bestFit="1" customWidth="1"/>
    <col min="5" max="5" width="16.5" bestFit="1" customWidth="1"/>
    <col min="6" max="6" width="12.83203125" bestFit="1" customWidth="1"/>
    <col min="7" max="7" width="13.1640625" bestFit="1" customWidth="1"/>
    <col min="8" max="8" width="13.5" bestFit="1" customWidth="1"/>
    <col min="9" max="9" width="12.83203125" bestFit="1" customWidth="1"/>
    <col min="10" max="10" width="13.1640625" bestFit="1" customWidth="1"/>
    <col min="16" max="16" width="11.5" bestFit="1" customWidth="1"/>
    <col min="18" max="18" width="11.5" bestFit="1" customWidth="1"/>
  </cols>
  <sheetData>
    <row r="1" spans="1:23" x14ac:dyDescent="0.2">
      <c r="B1" s="159"/>
      <c r="C1" s="86" t="s">
        <v>68</v>
      </c>
      <c r="D1" s="86" t="s">
        <v>134</v>
      </c>
      <c r="E1" s="86" t="s">
        <v>74</v>
      </c>
    </row>
    <row r="2" spans="1:23" ht="24" x14ac:dyDescent="0.2">
      <c r="A2" s="84" t="s">
        <v>66</v>
      </c>
      <c r="B2" s="85" t="s">
        <v>184</v>
      </c>
      <c r="C2" s="85" t="s">
        <v>208</v>
      </c>
      <c r="D2" s="85" t="s">
        <v>137</v>
      </c>
      <c r="E2" s="85" t="s">
        <v>209</v>
      </c>
      <c r="H2" s="23"/>
    </row>
    <row r="3" spans="1:23" ht="24" x14ac:dyDescent="0.2">
      <c r="A3" s="84"/>
      <c r="B3" s="85" t="s">
        <v>151</v>
      </c>
      <c r="C3" s="85">
        <f>N11</f>
        <v>33</v>
      </c>
      <c r="D3" s="85"/>
      <c r="E3" s="85">
        <f>N20</f>
        <v>27</v>
      </c>
      <c r="H3" s="23"/>
    </row>
    <row r="4" spans="1:23" ht="16" thickBot="1" x14ac:dyDescent="0.25">
      <c r="A4" s="225" t="s">
        <v>261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</row>
    <row r="5" spans="1:23" ht="32" x14ac:dyDescent="0.2">
      <c r="A5" s="166" t="s">
        <v>208</v>
      </c>
      <c r="B5" s="11" t="s">
        <v>0</v>
      </c>
      <c r="C5" s="11" t="s">
        <v>1</v>
      </c>
      <c r="D5" s="11" t="s">
        <v>2</v>
      </c>
      <c r="E5" s="95" t="s">
        <v>3</v>
      </c>
      <c r="F5" s="96" t="s">
        <v>4</v>
      </c>
      <c r="G5" s="96" t="s">
        <v>5</v>
      </c>
      <c r="H5" s="96" t="s">
        <v>6</v>
      </c>
      <c r="I5" s="96" t="s">
        <v>7</v>
      </c>
      <c r="J5" s="96" t="s">
        <v>8</v>
      </c>
      <c r="K5" s="96" t="s">
        <v>9</v>
      </c>
      <c r="L5" s="96" t="s">
        <v>10</v>
      </c>
      <c r="M5" s="97" t="s">
        <v>11</v>
      </c>
      <c r="N5" s="11" t="s">
        <v>12</v>
      </c>
      <c r="O5" s="10" t="s">
        <v>13</v>
      </c>
      <c r="P5" s="11" t="s">
        <v>14</v>
      </c>
      <c r="Q5" s="11" t="s">
        <v>15</v>
      </c>
      <c r="R5" s="11" t="s">
        <v>16</v>
      </c>
      <c r="S5" s="10" t="s">
        <v>17</v>
      </c>
      <c r="T5" s="10" t="s">
        <v>18</v>
      </c>
      <c r="U5" s="10" t="s">
        <v>19</v>
      </c>
      <c r="V5" s="10" t="s">
        <v>20</v>
      </c>
      <c r="W5" s="10" t="s">
        <v>21</v>
      </c>
    </row>
    <row r="6" spans="1:23" x14ac:dyDescent="0.2">
      <c r="A6" s="13" t="s">
        <v>96</v>
      </c>
      <c r="B6" s="90">
        <f>LITI_Q1_HALF11322[[#This Row],[2PT FGM]]+LITI_Q1_HALF11322[[#This Row],[3PT FGM]]</f>
        <v>3</v>
      </c>
      <c r="C6" s="90">
        <f>LITI_Q1_HALF11322[[#This Row],[2PT FGA]]+LITI_Q1_HALF11322[[#This Row],[3PT FGA]]</f>
        <v>6</v>
      </c>
      <c r="D6" s="91">
        <f>LITI_Q1_HALF11322[[#This Row],[Total FGM]]/LITI_Q1_HALF11322[[#This Row],[Total FGA]]</f>
        <v>0.5</v>
      </c>
      <c r="E6" s="142">
        <f>SUMIF($A$22:$A$59,$A$6,E22:E59)</f>
        <v>2</v>
      </c>
      <c r="F6" s="170">
        <f>SUMIF($A$22:$A$59,$A$6,F22:F59)</f>
        <v>3</v>
      </c>
      <c r="G6" s="91">
        <f>LITI_Q1_HALF11322[[#This Row],[2PT FGM]]/LITI_Q1_HALF11322[[#This Row],[2PT FGA]]</f>
        <v>0.66666666666666663</v>
      </c>
      <c r="H6" s="170">
        <f>SUMIF($A$22:$A$59,$A$6,H22:H59)</f>
        <v>1</v>
      </c>
      <c r="I6" s="170">
        <f>SUMIF($A$22:$A$59,$A$6,I22:I59)</f>
        <v>3</v>
      </c>
      <c r="J6" s="91">
        <f>LITI_Q1_HALF11322[[#This Row],[3PT FGM]]/LITI_Q1_HALF11322[[#This Row],[3PT FGA]]</f>
        <v>0.33333333333333331</v>
      </c>
      <c r="K6" s="247">
        <f>SUMIF($A$22:$A$59,$A$6,K22:K59)</f>
        <v>2</v>
      </c>
      <c r="L6" s="247">
        <f>SUMIF($A$22:$A$59,$A$6,L22:L59)</f>
        <v>2</v>
      </c>
      <c r="M6" s="251">
        <f>LITI_Q1_HALF11322[[#This Row],[FTM]]/LITI_Q1_HALF11322[[#This Row],[FTA]]</f>
        <v>1</v>
      </c>
      <c r="N6" s="19">
        <f>SUM(LITI_Q1_HALF11322[[#This Row],[2PT FGM]]*2,LITI_Q1_HALF11322[[#This Row],[3PT FGM]]*3,LITI_Q1_HALF11322[[#This Row],[FTM]])</f>
        <v>9</v>
      </c>
      <c r="O6" s="170">
        <f>SUMIF($A$22:$A$59,$A$6,O22:O59)</f>
        <v>0</v>
      </c>
      <c r="P6" s="170">
        <f>SUMIF($A$22:$A$59,$A$6,P22:P59)</f>
        <v>5</v>
      </c>
      <c r="Q6" s="170">
        <f>SUMIF($A$22:$A$59,$A$6,Q22:Q59)</f>
        <v>1</v>
      </c>
      <c r="R6" s="19">
        <f>LITI_Q1_HALF11322[[#This Row],[Off. Boards]]+LITI_Q1_HALF11322[[#This Row],[Def. Boards]]</f>
        <v>6</v>
      </c>
      <c r="S6" s="170">
        <f>SUMIF($A$22:$A$59,$A$6,S22:S59)</f>
        <v>2</v>
      </c>
      <c r="T6" s="247">
        <f>SUMIF($A$22:$A$59,$A$6,T22:T59)</f>
        <v>2</v>
      </c>
      <c r="U6" s="247">
        <f>SUMIF($A$22:$A$59,$A$6,U22:U59)</f>
        <v>1</v>
      </c>
      <c r="V6" s="170">
        <f>SUMIF($A$22:$A$59,$A$6,V22:V59)</f>
        <v>2</v>
      </c>
      <c r="W6" s="92">
        <f>LITI_Q1_HALF11322[[#This Row],[Dimes]]/LITI_Q1_HALF11322[[#This Row],[Turnovers]]</f>
        <v>1</v>
      </c>
    </row>
    <row r="7" spans="1:23" x14ac:dyDescent="0.2">
      <c r="A7" s="177" t="s">
        <v>207</v>
      </c>
      <c r="B7" s="243">
        <f>LITI_Q1_HALF11322[[#This Row],[2PT FGM]]+LITI_Q1_HALF11322[[#This Row],[3PT FGM]]</f>
        <v>5</v>
      </c>
      <c r="C7" s="90">
        <f>LITI_Q1_HALF11322[[#This Row],[2PT FGA]]+LITI_Q1_HALF11322[[#This Row],[3PT FGA]]</f>
        <v>9</v>
      </c>
      <c r="D7" s="91">
        <f>LITI_Q1_HALF11322[[#This Row],[Total FGM]]/LITI_Q1_HALF11322[[#This Row],[Total FGA]]</f>
        <v>0.55555555555555558</v>
      </c>
      <c r="E7" s="142">
        <f>SUMIF($A$22:$A$59,$A$7,E22:E59)</f>
        <v>3</v>
      </c>
      <c r="F7" s="247">
        <f>SUMIF($A$22:$A$59,$A$7,F22:F59)</f>
        <v>6</v>
      </c>
      <c r="G7" s="91">
        <f>LITI_Q1_HALF11322[[#This Row],[2PT FGM]]/LITI_Q1_HALF11322[[#This Row],[2PT FGA]]</f>
        <v>0.5</v>
      </c>
      <c r="H7" s="247">
        <f>SUMIF($A$22:$A$59,$A$7,H22:H59)</f>
        <v>2</v>
      </c>
      <c r="I7" s="170">
        <f>SUMIF($A$22:$A$59,$A$7,I22:I59)</f>
        <v>3</v>
      </c>
      <c r="J7" s="244">
        <f>LITI_Q1_HALF11322[[#This Row],[3PT FGM]]/LITI_Q1_HALF11322[[#This Row],[3PT FGA]]</f>
        <v>0.66666666666666663</v>
      </c>
      <c r="K7" s="170">
        <f>SUMIF($A$22:$A$59,$A$7,K22:K59)</f>
        <v>0</v>
      </c>
      <c r="L7" s="170">
        <f>SUMIF($A$22:$A$59,$A$7,L22:L59)</f>
        <v>0</v>
      </c>
      <c r="M7" s="99" t="e">
        <f>LITI_Q1_HALF11322[[#This Row],[FTM]]/LITI_Q1_HALF11322[[#This Row],[FTA]]</f>
        <v>#DIV/0!</v>
      </c>
      <c r="N7" s="246">
        <f>SUM(LITI_Q1_HALF11322[[#This Row],[2PT FGM]]*2,LITI_Q1_HALF11322[[#This Row],[3PT FGM]]*3,LITI_Q1_HALF11322[[#This Row],[FTM]])</f>
        <v>12</v>
      </c>
      <c r="O7" s="170">
        <f>SUMIF($A$22:$A$59,$A$7,O22:O59)</f>
        <v>2</v>
      </c>
      <c r="P7" s="247">
        <f>SUMIF($A$22:$A$59,$A$7,P22:P59)</f>
        <v>7</v>
      </c>
      <c r="Q7" s="247">
        <f>SUMIF($A$22:$A$59,$A$7,Q22:Q59)</f>
        <v>2</v>
      </c>
      <c r="R7" s="246">
        <f>LITI_Q1_HALF11322[[#This Row],[Off. Boards]]+LITI_Q1_HALF11322[[#This Row],[Def. Boards]]</f>
        <v>9</v>
      </c>
      <c r="S7" s="170">
        <f>SUMIF($A$22:$A$59,$A$7,S22:S59)</f>
        <v>0</v>
      </c>
      <c r="T7" s="170">
        <f>SUMIF($A$22:$A$59,$A$7,T22:T59)</f>
        <v>0</v>
      </c>
      <c r="U7" s="170">
        <f>SUMIF($A$22:$A$59,$A$7,U22:U59)</f>
        <v>0</v>
      </c>
      <c r="V7" s="248">
        <f>SUMIF($A$22:$A$59,$A$7,V22:V59)</f>
        <v>3</v>
      </c>
      <c r="W7" s="92">
        <f>LITI_Q1_HALF11322[[#This Row],[Dimes]]/LITI_Q1_HALF11322[[#This Row],[Turnovers]]</f>
        <v>0</v>
      </c>
    </row>
    <row r="8" spans="1:23" x14ac:dyDescent="0.2">
      <c r="A8" s="13" t="s">
        <v>88</v>
      </c>
      <c r="B8" s="90">
        <f>LITI_Q1_HALF11322[[#This Row],[2PT FGM]]+LITI_Q1_HALF11322[[#This Row],[3PT FGM]]</f>
        <v>3</v>
      </c>
      <c r="C8" s="90">
        <f>LITI_Q1_HALF11322[[#This Row],[2PT FGA]]+LITI_Q1_HALF11322[[#This Row],[3PT FGA]]</f>
        <v>8</v>
      </c>
      <c r="D8" s="91">
        <f>LITI_Q1_HALF11322[[#This Row],[Total FGM]]/LITI_Q1_HALF11322[[#This Row],[Total FGA]]</f>
        <v>0.375</v>
      </c>
      <c r="E8" s="142">
        <f>SUMIF($A$22:$A$59,$A$8,E22:E59)</f>
        <v>3</v>
      </c>
      <c r="F8" s="170">
        <f>SUMIF($A$22:$A$59,$A$8,F22:F59)</f>
        <v>4</v>
      </c>
      <c r="G8" s="91">
        <f>LITI_Q1_HALF11322[[#This Row],[2PT FGM]]/LITI_Q1_HALF11322[[#This Row],[2PT FGA]]</f>
        <v>0.75</v>
      </c>
      <c r="H8" s="170">
        <f>SUMIF($A$22:$A$59,$A$8,H22:H59)</f>
        <v>0</v>
      </c>
      <c r="I8" s="170">
        <f>SUMIF($A$22:$A$59,$A$8,I22:I59)</f>
        <v>4</v>
      </c>
      <c r="J8" s="91">
        <f>LITI_Q1_HALF11322[[#This Row],[3PT FGM]]/LITI_Q1_HALF11322[[#This Row],[3PT FGA]]</f>
        <v>0</v>
      </c>
      <c r="K8" s="170">
        <f>SUMIF($A$22:$A$59,$A$8,K22:K59)</f>
        <v>0</v>
      </c>
      <c r="L8" s="170">
        <f>SUMIF($A$22:$A$59,$A$8,L22:L59)</f>
        <v>0</v>
      </c>
      <c r="M8" s="99" t="e">
        <f>LITI_Q1_HALF11322[[#This Row],[FTM]]/LITI_Q1_HALF11322[[#This Row],[FTA]]</f>
        <v>#DIV/0!</v>
      </c>
      <c r="N8" s="19">
        <f>SUM(LITI_Q1_HALF11322[[#This Row],[2PT FGM]]*2,LITI_Q1_HALF11322[[#This Row],[3PT FGM]]*3,LITI_Q1_HALF11322[[#This Row],[FTM]])</f>
        <v>6</v>
      </c>
      <c r="O8" s="170">
        <f>SUMIF($A$22:$A$59,$A$8,O22:O59)</f>
        <v>0</v>
      </c>
      <c r="P8" s="170">
        <f>SUMIF($A$22:$A$59,$A$8,P22:P59)</f>
        <v>4</v>
      </c>
      <c r="Q8" s="170">
        <f>SUMIF($A$22:$A$59,$A$8,Q22:Q59)</f>
        <v>0</v>
      </c>
      <c r="R8" s="19">
        <f>LITI_Q1_HALF11322[[#This Row],[Off. Boards]]+LITI_Q1_HALF11322[[#This Row],[Def. Boards]]</f>
        <v>4</v>
      </c>
      <c r="S8" s="247">
        <f>SUMIF($A$22:$A$59,$A$8,S22:S59)</f>
        <v>4</v>
      </c>
      <c r="T8" s="170">
        <f>SUMIF($A$22:$A$59,$A$8,T22:T59)</f>
        <v>0</v>
      </c>
      <c r="U8" s="170">
        <f>SUMIF($A$22:$A$59,$A$8,U22:U59)</f>
        <v>0</v>
      </c>
      <c r="V8" s="248">
        <f>SUMIF($A$22:$A$59,$A$8,V22:V59)</f>
        <v>3</v>
      </c>
      <c r="W8" s="92">
        <f>LITI_Q1_HALF11322[[#This Row],[Dimes]]/LITI_Q1_HALF11322[[#This Row],[Turnovers]]</f>
        <v>1.3333333333333333</v>
      </c>
    </row>
    <row r="9" spans="1:23" x14ac:dyDescent="0.2">
      <c r="A9" s="13" t="s">
        <v>98</v>
      </c>
      <c r="B9" s="90">
        <f>LITI_Q1_HALF11322[[#This Row],[2PT FGM]]+LITI_Q1_HALF11322[[#This Row],[3PT FGM]]</f>
        <v>1</v>
      </c>
      <c r="C9" s="90">
        <f>LITI_Q1_HALF11322[[#This Row],[2PT FGA]]+LITI_Q1_HALF11322[[#This Row],[3PT FGA]]</f>
        <v>6</v>
      </c>
      <c r="D9" s="91">
        <f>LITI_Q1_HALF11322[[#This Row],[Total FGM]]/LITI_Q1_HALF11322[[#This Row],[Total FGA]]</f>
        <v>0.16666666666666666</v>
      </c>
      <c r="E9" s="142">
        <f>SUMIF($A$22:$A$59,$A$9,E22:E59)</f>
        <v>1</v>
      </c>
      <c r="F9" s="247">
        <f>SUMIF($A$22:$A$59,$A$9,F22:F59)</f>
        <v>6</v>
      </c>
      <c r="G9" s="91">
        <f>LITI_Q1_HALF11322[[#This Row],[2PT FGM]]/LITI_Q1_HALF11322[[#This Row],[2PT FGA]]</f>
        <v>0.16666666666666666</v>
      </c>
      <c r="H9" s="170">
        <f>SUMIF($A$22:$A$59,$A$9,H22:H59)</f>
        <v>0</v>
      </c>
      <c r="I9" s="170">
        <f>SUMIF($A$22:$A$59,$A$9,I22:I59)</f>
        <v>0</v>
      </c>
      <c r="J9" s="91" t="e">
        <f>LITI_Q1_HALF11322[[#This Row],[3PT FGM]]/LITI_Q1_HALF11322[[#This Row],[3PT FGA]]</f>
        <v>#DIV/0!</v>
      </c>
      <c r="K9" s="170">
        <f>SUMIF($A$22:$A$59,$A$9,K22:K59)</f>
        <v>0</v>
      </c>
      <c r="L9" s="170">
        <f>SUMIF($A$22:$A$59,$A$9,L22:L59)</f>
        <v>0</v>
      </c>
      <c r="M9" s="99" t="e">
        <f>LITI_Q1_HALF11322[[#This Row],[FTM]]/LITI_Q1_HALF11322[[#This Row],[FTA]]</f>
        <v>#DIV/0!</v>
      </c>
      <c r="N9" s="19">
        <f>SUM(LITI_Q1_HALF11322[[#This Row],[2PT FGM]]*2,LITI_Q1_HALF11322[[#This Row],[3PT FGM]]*3,LITI_Q1_HALF11322[[#This Row],[FTM]])</f>
        <v>2</v>
      </c>
      <c r="O9" s="170">
        <f>SUMIF($A$22:$A$59,$A$9,O22:O59)</f>
        <v>0</v>
      </c>
      <c r="P9" s="170">
        <f>SUMIF($A$22:$A$59,$A$9,P22:P59)</f>
        <v>2</v>
      </c>
      <c r="Q9" s="170">
        <f>SUMIF($A$22:$A$59,$A$9,Q22:Q59)</f>
        <v>1</v>
      </c>
      <c r="R9" s="19">
        <f>LITI_Q1_HALF11322[[#This Row],[Off. Boards]]+LITI_Q1_HALF11322[[#This Row],[Def. Boards]]</f>
        <v>3</v>
      </c>
      <c r="S9" s="170">
        <f>SUMIF($A$22:$A$59,$A$9,S22:S59)</f>
        <v>2</v>
      </c>
      <c r="T9" s="170">
        <f>SUMIF($A$22:$A$59,$A$9,T22:T59)</f>
        <v>0</v>
      </c>
      <c r="U9" s="170">
        <f>SUMIF($A$22:$A$59,$A$9,U22:U59)</f>
        <v>0</v>
      </c>
      <c r="V9" s="170">
        <f>SUMIF($A$22:$A$59,$A$9,V22:V59)</f>
        <v>0</v>
      </c>
      <c r="W9" s="250" t="e">
        <f>LITI_Q1_HALF11322[[#This Row],[Dimes]]/LITI_Q1_HALF11322[[#This Row],[Turnovers]]</f>
        <v>#DIV/0!</v>
      </c>
    </row>
    <row r="10" spans="1:23" x14ac:dyDescent="0.2">
      <c r="A10" s="13" t="s">
        <v>83</v>
      </c>
      <c r="B10" s="90">
        <f>LITI_Q1_HALF11322[[#This Row],[2PT FGM]]+LITI_Q1_HALF11322[[#This Row],[3PT FGM]]</f>
        <v>2</v>
      </c>
      <c r="C10" s="90">
        <f>LITI_Q1_HALF11322[[#This Row],[2PT FGA]]+LITI_Q1_HALF11322[[#This Row],[3PT FGA]]</f>
        <v>5</v>
      </c>
      <c r="D10" s="91">
        <f>LITI_Q1_HALF11322[[#This Row],[Total FGM]]/LITI_Q1_HALF11322[[#This Row],[Total FGA]]</f>
        <v>0.4</v>
      </c>
      <c r="E10" s="142">
        <f>SUMIF($A$22:$A$59,$A$10,E22:E59)</f>
        <v>2</v>
      </c>
      <c r="F10" s="170">
        <f>SUMIF($A$22:$A$59,$A$10,F22:F59)</f>
        <v>2</v>
      </c>
      <c r="G10" s="91">
        <f>LITI_Q1_HALF11322[[#This Row],[2PT FGM]]/LITI_Q1_HALF11322[[#This Row],[2PT FGA]]</f>
        <v>1</v>
      </c>
      <c r="H10" s="170">
        <f>SUMIF($A$22:$A$59,$A$10,H22:H59)</f>
        <v>0</v>
      </c>
      <c r="I10" s="170">
        <f>SUMIF($A$22:$A$59,$A$10,I22:I59)</f>
        <v>3</v>
      </c>
      <c r="J10" s="91">
        <f>LITI_Q1_HALF11322[[#This Row],[3PT FGM]]/LITI_Q1_HALF11322[[#This Row],[3PT FGA]]</f>
        <v>0</v>
      </c>
      <c r="K10" s="170">
        <f>SUMIF($A$22:$A$59,$A$10,K22:K59)</f>
        <v>0</v>
      </c>
      <c r="L10" s="170">
        <f>SUMIF($A$22:$A$59,$A$10,L22:L59)</f>
        <v>0</v>
      </c>
      <c r="M10" s="99" t="e">
        <f>LITI_Q1_HALF11322[[#This Row],[FTM]]/LITI_Q1_HALF11322[[#This Row],[FTA]]</f>
        <v>#DIV/0!</v>
      </c>
      <c r="N10" s="19">
        <f>SUM(LITI_Q1_HALF11322[[#This Row],[2PT FGM]]*2,LITI_Q1_HALF11322[[#This Row],[3PT FGM]]*3,LITI_Q1_HALF11322[[#This Row],[FTM]])</f>
        <v>4</v>
      </c>
      <c r="O10" s="170">
        <f>SUMIF($A$22:$A$59,$A$10,O22:O59)</f>
        <v>0</v>
      </c>
      <c r="P10" s="170">
        <f>SUMIF($A$22:$A$59,$A$10,P22:P59)</f>
        <v>1</v>
      </c>
      <c r="Q10" s="170">
        <f>SUMIF($A$22:$A$59,$A$10,Q22:Q59)</f>
        <v>0</v>
      </c>
      <c r="R10" s="19">
        <f>LITI_Q1_HALF11322[[#This Row],[Off. Boards]]+LITI_Q1_HALF11322[[#This Row],[Def. Boards]]</f>
        <v>1</v>
      </c>
      <c r="S10" s="170">
        <f>SUMIF($A$22:$A$59,$A$10,S22:S59)</f>
        <v>0</v>
      </c>
      <c r="T10" s="170">
        <f>SUMIF($A$22:$A$59,$A$10,T22:T59)</f>
        <v>1</v>
      </c>
      <c r="U10" s="170">
        <f>SUMIF($A$22:$A$59,$A$10,U22:U59)</f>
        <v>0</v>
      </c>
      <c r="V10" s="170">
        <f>SUMIF($A$22:$A$59,$A$10,V22:V59)</f>
        <v>2</v>
      </c>
      <c r="W10" s="92">
        <f>LITI_Q1_HALF11322[[#This Row],[Dimes]]/LITI_Q1_HALF11322[[#This Row],[Turnovers]]</f>
        <v>0</v>
      </c>
    </row>
    <row r="11" spans="1:23" ht="16" thickBot="1" x14ac:dyDescent="0.25">
      <c r="A11" s="82" t="s">
        <v>76</v>
      </c>
      <c r="B11" s="100">
        <f>SUM(B6:B10)</f>
        <v>14</v>
      </c>
      <c r="C11" s="100">
        <f>SUM(C6:C10)</f>
        <v>34</v>
      </c>
      <c r="D11" s="101">
        <f>LITI_Q1_HALF11322[[#This Row],[Total FGM]]/LITI_Q1_HALF11322[[#This Row],[Total FGA]]</f>
        <v>0.41176470588235292</v>
      </c>
      <c r="E11" s="102">
        <f>SUM(E6:E10)</f>
        <v>11</v>
      </c>
      <c r="F11" s="103">
        <f>SUM(F6:F10)</f>
        <v>21</v>
      </c>
      <c r="G11" s="108">
        <f>LITI_Q1_HALF11322[[#This Row],[2PT FGM]]/LITI_Q1_HALF11322[[#This Row],[2PT FGA]]</f>
        <v>0.52380952380952384</v>
      </c>
      <c r="H11" s="103">
        <f>SUM(H6:H10)</f>
        <v>3</v>
      </c>
      <c r="I11" s="103">
        <f>SUM(I6:I10)</f>
        <v>13</v>
      </c>
      <c r="J11" s="104">
        <f>LITI_Q1_HALF11322[[#This Row],[3PT FGM]]/LITI_Q1_HALF11322[[#This Row],[3PT FGA]]</f>
        <v>0.23076923076923078</v>
      </c>
      <c r="K11" s="103">
        <f>SUM(K6:K10)</f>
        <v>2</v>
      </c>
      <c r="L11" s="103">
        <f>SUM(L6:L10)</f>
        <v>2</v>
      </c>
      <c r="M11" s="105">
        <f>LITI_Q1_HALF11322[[#This Row],[FTM]]/LITI_Q1_HALF11322[[#This Row],[FTA]]</f>
        <v>1</v>
      </c>
      <c r="N11" s="62">
        <f>SUM(LITI_Q1_HALF11322[[#This Row],[2PT FGM]]*2,LITI_Q1_HALF11322[[#This Row],[3PT FGM]]*3,LITI_Q1_HALF11322[[#This Row],[FTM]])</f>
        <v>33</v>
      </c>
      <c r="O11" s="106">
        <f>SUM(O6:O10)</f>
        <v>2</v>
      </c>
      <c r="P11" s="106">
        <f t="shared" ref="P11:V11" si="0">SUM(P6:P10)</f>
        <v>19</v>
      </c>
      <c r="Q11" s="106">
        <f t="shared" si="0"/>
        <v>4</v>
      </c>
      <c r="R11" s="106">
        <f t="shared" si="0"/>
        <v>23</v>
      </c>
      <c r="S11" s="106">
        <f t="shared" si="0"/>
        <v>8</v>
      </c>
      <c r="T11" s="106">
        <f t="shared" si="0"/>
        <v>3</v>
      </c>
      <c r="U11" s="106">
        <f t="shared" si="0"/>
        <v>1</v>
      </c>
      <c r="V11" s="106">
        <f t="shared" si="0"/>
        <v>10</v>
      </c>
      <c r="W11" s="107">
        <f>LITI_Q1_HALF11322[[#This Row],[Dimes]]/LITI_Q1_HALF11322[[#This Row],[Turnovers]]</f>
        <v>0.8</v>
      </c>
    </row>
    <row r="13" spans="1:23" ht="16" thickBot="1" x14ac:dyDescent="0.25">
      <c r="A13" s="227" t="s">
        <v>261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</row>
    <row r="14" spans="1:23" ht="32" x14ac:dyDescent="0.2">
      <c r="A14" s="166" t="s">
        <v>209</v>
      </c>
      <c r="B14" s="11" t="s">
        <v>0</v>
      </c>
      <c r="C14" s="11" t="s">
        <v>1</v>
      </c>
      <c r="D14" s="11" t="s">
        <v>2</v>
      </c>
      <c r="E14" s="95" t="s">
        <v>3</v>
      </c>
      <c r="F14" s="96" t="s">
        <v>4</v>
      </c>
      <c r="G14" s="96" t="s">
        <v>5</v>
      </c>
      <c r="H14" s="96" t="s">
        <v>6</v>
      </c>
      <c r="I14" s="96" t="s">
        <v>7</v>
      </c>
      <c r="J14" s="96" t="s">
        <v>8</v>
      </c>
      <c r="K14" s="96" t="s">
        <v>9</v>
      </c>
      <c r="L14" s="96" t="s">
        <v>10</v>
      </c>
      <c r="M14" s="97" t="s">
        <v>11</v>
      </c>
      <c r="N14" s="11" t="s">
        <v>12</v>
      </c>
      <c r="O14" s="10" t="s">
        <v>13</v>
      </c>
      <c r="P14" s="11" t="s">
        <v>14</v>
      </c>
      <c r="Q14" s="11" t="s">
        <v>15</v>
      </c>
      <c r="R14" s="11" t="s">
        <v>16</v>
      </c>
      <c r="S14" s="10" t="s">
        <v>17</v>
      </c>
      <c r="T14" s="10" t="s">
        <v>18</v>
      </c>
      <c r="U14" s="10" t="s">
        <v>19</v>
      </c>
      <c r="V14" s="10" t="s">
        <v>20</v>
      </c>
      <c r="W14" s="10" t="s">
        <v>21</v>
      </c>
    </row>
    <row r="15" spans="1:23" x14ac:dyDescent="0.2">
      <c r="A15" t="s">
        <v>24</v>
      </c>
      <c r="B15" s="90">
        <f>GN_Q1_HALF11423[[#This Row],[2PT FGM]]+GN_Q1_HALF11423[[#This Row],[3PT FGM]]</f>
        <v>3</v>
      </c>
      <c r="C15" s="90">
        <f>GN_Q1_HALF11423[[#This Row],[2PT FGA]]+GN_Q1_HALF11423[[#This Row],[3PT FGA]]</f>
        <v>6</v>
      </c>
      <c r="D15" s="91">
        <f>GN_Q1_HALF11423[[#This Row],[Total FGM]]/GN_Q1_HALF11423[[#This Row],[Total FGA]]</f>
        <v>0.5</v>
      </c>
      <c r="E15" s="98">
        <f>SUMIF($A$22:$A$59,$A$15,E22:E59)</f>
        <v>2</v>
      </c>
      <c r="F15" s="19">
        <f>SUMIF($A$22:$A$59,$A$15,F22:F59)</f>
        <v>2</v>
      </c>
      <c r="G15" s="91">
        <f>GN_Q1_HALF11423[[#This Row],[2PT FGM]]/GN_Q1_HALF11423[[#This Row],[2PT FGA]]</f>
        <v>1</v>
      </c>
      <c r="H15" s="19">
        <f>SUMIF($A$22:$A$59,$A$15,H22:H59)</f>
        <v>1</v>
      </c>
      <c r="I15" s="19">
        <f>SUMIF($A$22:$A$59,$A$15,I22:I59)</f>
        <v>4</v>
      </c>
      <c r="J15" s="91">
        <f>GN_Q1_HALF11423[[#This Row],[3PT FGM]]/GN_Q1_HALF11423[[#This Row],[3PT FGA]]</f>
        <v>0.25</v>
      </c>
      <c r="K15" s="19">
        <f>SUMIF($A$22:$A$59,$A$15,K22:K59)</f>
        <v>0</v>
      </c>
      <c r="L15" s="19">
        <f>SUMIF($A$22:$A$59,$A$15,L22:L59)</f>
        <v>0</v>
      </c>
      <c r="M15" s="99" t="e">
        <f>GN_Q1_HALF11423[[#This Row],[FTM]]/GN_Q1_HALF11423[[#This Row],[FTA]]</f>
        <v>#DIV/0!</v>
      </c>
      <c r="N15" s="19">
        <f>SUM(GN_Q1_HALF11423[[#This Row],[2PT FGM]]*2,GN_Q1_HALF11423[[#This Row],[3PT FGM]]*3,GN_Q1_HALF11423[[#This Row],[FTM]])</f>
        <v>7</v>
      </c>
      <c r="O15" s="19">
        <f>SUMIF($A$22:$A$59,$A$15,O22:O59)</f>
        <v>1</v>
      </c>
      <c r="P15" s="19">
        <f>SUMIF($A$22:$A$59,$A$15,P22:P59)</f>
        <v>4</v>
      </c>
      <c r="Q15" s="19">
        <f>SUMIF($A$22:$A$59,$A$15,Q22:Q59)</f>
        <v>0</v>
      </c>
      <c r="R15" s="19">
        <f>GN_Q1_HALF11423[[#This Row],[Off. Boards]]+GN_Q1_HALF11423[[#This Row],[Def. Boards]]</f>
        <v>4</v>
      </c>
      <c r="S15" s="19">
        <f>SUMIF($A$22:$A$59,$A$15,S22:S59)</f>
        <v>2</v>
      </c>
      <c r="T15" s="246">
        <f>SUMIF($A$22:$A$59,$A$15,T22:T59)</f>
        <v>2</v>
      </c>
      <c r="U15" s="19">
        <f>SUMIF($A$22:$A$59,$A$15,U22:U59)</f>
        <v>0</v>
      </c>
      <c r="V15" s="19">
        <f>SUMIF($A$22:$A$59,$A$15,V22:V59)</f>
        <v>0</v>
      </c>
      <c r="W15" s="250" t="e">
        <f>GN_Q1_HALF11423[[#This Row],[Dimes]]/GN_Q1_HALF11423[[#This Row],[Turnovers]]</f>
        <v>#DIV/0!</v>
      </c>
    </row>
    <row r="16" spans="1:23" x14ac:dyDescent="0.2">
      <c r="A16" t="s">
        <v>135</v>
      </c>
      <c r="B16" s="90">
        <f>GN_Q1_HALF11423[[#This Row],[2PT FGM]]+GN_Q1_HALF11423[[#This Row],[3PT FGM]]</f>
        <v>4</v>
      </c>
      <c r="C16" s="90">
        <f>GN_Q1_HALF11423[[#This Row],[2PT FGA]]+GN_Q1_HALF11423[[#This Row],[3PT FGA]]</f>
        <v>5</v>
      </c>
      <c r="D16" s="244">
        <f>GN_Q1_HALF11423[[#This Row],[Total FGM]]/GN_Q1_HALF11423[[#This Row],[Total FGA]]</f>
        <v>0.8</v>
      </c>
      <c r="E16" s="245">
        <f>SUMIF($A$22:$A$59,$A$16,E22:E59)</f>
        <v>4</v>
      </c>
      <c r="F16" s="19">
        <f>SUMIF($A$22:$A$59,$A$16,F22:F59)</f>
        <v>4</v>
      </c>
      <c r="G16" s="91">
        <f>GN_Q1_HALF11423[[#This Row],[2PT FGM]]/GN_Q1_HALF11423[[#This Row],[2PT FGA]]</f>
        <v>1</v>
      </c>
      <c r="H16" s="19">
        <f>SUMIF($A$22:$A$59,$A$16,H22:H59)</f>
        <v>0</v>
      </c>
      <c r="I16" s="19">
        <f>SUMIF($A$22:$A$59,$A$16,I22:I59)</f>
        <v>1</v>
      </c>
      <c r="J16" s="91">
        <f>GN_Q1_HALF11423[[#This Row],[3PT FGM]]/GN_Q1_HALF11423[[#This Row],[3PT FGA]]</f>
        <v>0</v>
      </c>
      <c r="K16" s="19">
        <f>SUMIF($A$22:$A$59,$A$16,K22:K59)</f>
        <v>0</v>
      </c>
      <c r="L16" s="19">
        <f>SUMIF($A$22:$A$59,$A$16,L22:L59)</f>
        <v>0</v>
      </c>
      <c r="M16" s="99" t="e">
        <f>GN_Q1_HALF11423[[#This Row],[FTM]]/GN_Q1_HALF11423[[#This Row],[FTA]]</f>
        <v>#DIV/0!</v>
      </c>
      <c r="N16" s="19">
        <f>SUM(GN_Q1_HALF11423[[#This Row],[2PT FGM]]*2,GN_Q1_HALF11423[[#This Row],[3PT FGM]]*3,GN_Q1_HALF11423[[#This Row],[FTM]])</f>
        <v>8</v>
      </c>
      <c r="O16" s="246">
        <f>SUMIF($A$22:$A$59,$A$16,O22:O59)</f>
        <v>3</v>
      </c>
      <c r="P16" s="19">
        <f>SUMIF($A$22:$A$59,$A$16,P22:P59)</f>
        <v>3</v>
      </c>
      <c r="Q16" s="246">
        <f>SUMIF($A$22:$A$59,$A$16,Q22:Q59)</f>
        <v>2</v>
      </c>
      <c r="R16" s="19">
        <f>GN_Q1_HALF11423[[#This Row],[Off. Boards]]+GN_Q1_HALF11423[[#This Row],[Def. Boards]]</f>
        <v>5</v>
      </c>
      <c r="S16" s="19">
        <f>SUMIF($A$22:$A$59,$A$16,S22:S59)</f>
        <v>0</v>
      </c>
      <c r="T16" s="19">
        <f>SUMIF($A$22:$A$59,$A$16,T22:T59)</f>
        <v>0</v>
      </c>
      <c r="U16" s="246">
        <f>SUMIF($A$22:$A$59,$A$16,U22:U59)</f>
        <v>1</v>
      </c>
      <c r="V16" s="249">
        <f>SUMIF($A$22:$A$59,$A$16,V22:V59)</f>
        <v>3</v>
      </c>
      <c r="W16" s="92">
        <f>GN_Q1_HALF11423[[#This Row],[Dimes]]/GN_Q1_HALF11423[[#This Row],[Turnovers]]</f>
        <v>0</v>
      </c>
    </row>
    <row r="17" spans="1:23" x14ac:dyDescent="0.2">
      <c r="A17" t="s">
        <v>103</v>
      </c>
      <c r="B17" s="90">
        <f>GN_Q1_HALF11423[[#This Row],[2PT FGM]]+GN_Q1_HALF11423[[#This Row],[3PT FGM]]</f>
        <v>1</v>
      </c>
      <c r="C17" s="90">
        <f>GN_Q1_HALF11423[[#This Row],[2PT FGA]]+GN_Q1_HALF11423[[#This Row],[3PT FGA]]</f>
        <v>10</v>
      </c>
      <c r="D17" s="91">
        <f>GN_Q1_HALF11423[[#This Row],[Total FGM]]/GN_Q1_HALF11423[[#This Row],[Total FGA]]</f>
        <v>0.1</v>
      </c>
      <c r="E17" s="98">
        <f>SUMIF($A$22:$A$59,$A$17,E22:E59)</f>
        <v>0</v>
      </c>
      <c r="F17" s="19">
        <f>SUMIF($A$22:$A$59,$A$17,F22:F59)</f>
        <v>3</v>
      </c>
      <c r="G17" s="91">
        <f>GN_Q1_HALF11423[[#This Row],[2PT FGM]]/GN_Q1_HALF11423[[#This Row],[2PT FGA]]</f>
        <v>0</v>
      </c>
      <c r="H17" s="19">
        <f>SUMIF($A$22:$A$59,$A$17,H22:H59)</f>
        <v>1</v>
      </c>
      <c r="I17" s="19">
        <f>SUMIF($A$22:$A$59,$A$17,I22:I59)</f>
        <v>7</v>
      </c>
      <c r="J17" s="91">
        <f>GN_Q1_HALF11423[[#This Row],[3PT FGM]]/GN_Q1_HALF11423[[#This Row],[3PT FGA]]</f>
        <v>0.14285714285714285</v>
      </c>
      <c r="K17" s="19">
        <f>SUMIF($A$22:$A$59,$A$17,K22:K59)</f>
        <v>0</v>
      </c>
      <c r="L17" s="19">
        <f>SUMIF($A$22:$A$59,$A$17,L22:L59)</f>
        <v>0</v>
      </c>
      <c r="M17" s="99" t="e">
        <f>GN_Q1_HALF11423[[#This Row],[FTM]]/GN_Q1_HALF11423[[#This Row],[FTA]]</f>
        <v>#DIV/0!</v>
      </c>
      <c r="N17" s="19">
        <f>SUM(GN_Q1_HALF11423[[#This Row],[2PT FGM]]*2,GN_Q1_HALF11423[[#This Row],[3PT FGM]]*3,GN_Q1_HALF11423[[#This Row],[FTM]])</f>
        <v>3</v>
      </c>
      <c r="O17" s="19">
        <f>SUMIF($A$22:$A$59,$A$17,O22:O59)</f>
        <v>0</v>
      </c>
      <c r="P17" s="19">
        <f>SUMIF($A$22:$A$59,$A$17,P22:P59)</f>
        <v>2</v>
      </c>
      <c r="Q17" s="246">
        <f>SUMIF($A$22:$A$59,$A$17,Q22:Q59)</f>
        <v>2</v>
      </c>
      <c r="R17" s="19">
        <f>GN_Q1_HALF11423[[#This Row],[Off. Boards]]+GN_Q1_HALF11423[[#This Row],[Def. Boards]]</f>
        <v>4</v>
      </c>
      <c r="S17" s="19">
        <f>SUMIF($A$22:$A$59,$A$17,S22:S59)</f>
        <v>2</v>
      </c>
      <c r="T17" s="246">
        <f>SUMIF($A$22:$A$59,$A$17,T22:T59)</f>
        <v>2</v>
      </c>
      <c r="U17" s="19">
        <f>SUMIF($A$22:$A$59,$A$17,U22:U59)</f>
        <v>0</v>
      </c>
      <c r="V17" s="19">
        <f>SUMIF($A$22:$A$59,$A$17,V22:V59)</f>
        <v>2</v>
      </c>
      <c r="W17" s="92">
        <f>GN_Q1_HALF11423[[#This Row],[Dimes]]/GN_Q1_HALF11423[[#This Row],[Turnovers]]</f>
        <v>1</v>
      </c>
    </row>
    <row r="18" spans="1:23" x14ac:dyDescent="0.2">
      <c r="A18" t="s">
        <v>100</v>
      </c>
      <c r="B18" s="90">
        <f>GN_Q1_HALF11423[[#This Row],[2PT FGM]]+GN_Q1_HALF11423[[#This Row],[3PT FGM]]</f>
        <v>2</v>
      </c>
      <c r="C18" s="243">
        <f>GN_Q1_HALF11423[[#This Row],[2PT FGA]]+GN_Q1_HALF11423[[#This Row],[3PT FGA]]</f>
        <v>13</v>
      </c>
      <c r="D18" s="91">
        <f>GN_Q1_HALF11423[[#This Row],[Total FGM]]/GN_Q1_HALF11423[[#This Row],[Total FGA]]</f>
        <v>0.15384615384615385</v>
      </c>
      <c r="E18" s="98">
        <f>SUMIF($A$22:$A$59,$A$18,E22:E59)</f>
        <v>0</v>
      </c>
      <c r="F18" s="19">
        <f>SUMIF($A$22:$A$59,$A$18,F22:F59)</f>
        <v>2</v>
      </c>
      <c r="G18" s="91">
        <f>GN_Q1_HALF11423[[#This Row],[2PT FGM]]/GN_Q1_HALF11423[[#This Row],[2PT FGA]]</f>
        <v>0</v>
      </c>
      <c r="H18" s="246">
        <f>SUMIF($A$22:$A$59,$A$18,H22:H59)</f>
        <v>2</v>
      </c>
      <c r="I18" s="246">
        <f>SUMIF($A$22:$A$59,$A$18,I22:I59)</f>
        <v>11</v>
      </c>
      <c r="J18" s="91">
        <f>GN_Q1_HALF11423[[#This Row],[3PT FGM]]/GN_Q1_HALF11423[[#This Row],[3PT FGA]]</f>
        <v>0.18181818181818182</v>
      </c>
      <c r="K18" s="19">
        <f>SUMIF($A$22:$A$59,$A$18,K22:K59)</f>
        <v>0</v>
      </c>
      <c r="L18" s="19">
        <f>SUMIF($A$22:$A$59,$A$18,L22:L59)</f>
        <v>0</v>
      </c>
      <c r="M18" s="99" t="e">
        <f>GN_Q1_HALF11423[[#This Row],[FTM]]/GN_Q1_HALF11423[[#This Row],[FTA]]</f>
        <v>#DIV/0!</v>
      </c>
      <c r="N18" s="19">
        <f>SUM(GN_Q1_HALF11423[[#This Row],[2PT FGM]]*2,GN_Q1_HALF11423[[#This Row],[3PT FGM]]*3,GN_Q1_HALF11423[[#This Row],[FTM]])</f>
        <v>6</v>
      </c>
      <c r="O18" s="19">
        <f>SUMIF($A$22:$A$59,$A$18,O22:O59)</f>
        <v>0</v>
      </c>
      <c r="P18" s="19">
        <f>SUMIF($A$22:$A$59,$A$18,P22:P59)</f>
        <v>1</v>
      </c>
      <c r="Q18" s="19">
        <f>SUMIF($A$22:$A$59,$A$18,Q22:Q59)</f>
        <v>1</v>
      </c>
      <c r="R18" s="19">
        <f>GN_Q1_HALF11423[[#This Row],[Off. Boards]]+GN_Q1_HALF11423[[#This Row],[Def. Boards]]</f>
        <v>2</v>
      </c>
      <c r="S18" s="246">
        <f>SUMIF($A$22:$A$59,$A$18,S22:S59)</f>
        <v>4</v>
      </c>
      <c r="T18" s="19">
        <f>SUMIF($A$22:$A$59,$A$18,T22:T59)</f>
        <v>1</v>
      </c>
      <c r="U18" s="19">
        <f>SUMIF($A$22:$A$59,$A$18,U22:U59)</f>
        <v>0</v>
      </c>
      <c r="V18" s="19">
        <f>SUMIF($A$22:$A$59,$A$18,V22:V59)</f>
        <v>0</v>
      </c>
      <c r="W18" s="92" t="e">
        <f>GN_Q1_HALF11423[[#This Row],[Dimes]]/GN_Q1_HALF11423[[#This Row],[Turnovers]]</f>
        <v>#DIV/0!</v>
      </c>
    </row>
    <row r="19" spans="1:23" x14ac:dyDescent="0.2">
      <c r="A19" t="s">
        <v>85</v>
      </c>
      <c r="B19" s="90">
        <f>GN_Q1_HALF11423[[#This Row],[2PT FGM]]+GN_Q1_HALF11423[[#This Row],[3PT FGM]]</f>
        <v>1</v>
      </c>
      <c r="C19" s="90">
        <f>GN_Q1_HALF11423[[#This Row],[2PT FGA]]+GN_Q1_HALF11423[[#This Row],[3PT FGA]]</f>
        <v>3</v>
      </c>
      <c r="D19" s="91">
        <f>GN_Q1_HALF11423[[#This Row],[Total FGM]]/GN_Q1_HALF11423[[#This Row],[Total FGA]]</f>
        <v>0.33333333333333331</v>
      </c>
      <c r="E19" s="98">
        <f>SUMIF($A$22:$A$59,$A$19,E22:E59)</f>
        <v>0</v>
      </c>
      <c r="F19" s="19">
        <f>SUMIF($A$22:$A$59,$A$19,F22:F59)</f>
        <v>0</v>
      </c>
      <c r="G19" s="91" t="e">
        <f>GN_Q1_HALF11423[[#This Row],[2PT FGM]]/GN_Q1_HALF11423[[#This Row],[2PT FGA]]</f>
        <v>#DIV/0!</v>
      </c>
      <c r="H19" s="19">
        <f>SUMIF($A$22:$A$59,$A$19,H22:H59)</f>
        <v>1</v>
      </c>
      <c r="I19" s="19">
        <f>SUMIF($A$22:$A$59,$A$19,I22:I59)</f>
        <v>3</v>
      </c>
      <c r="J19" s="91">
        <f>GN_Q1_HALF11423[[#This Row],[3PT FGM]]/GN_Q1_HALF11423[[#This Row],[3PT FGA]]</f>
        <v>0.33333333333333331</v>
      </c>
      <c r="K19" s="19">
        <f>SUMIF($A$22:$A$59,$A$19,K22:K59)</f>
        <v>0</v>
      </c>
      <c r="L19" s="19">
        <f>SUMIF($A$22:$A$59,$A$19,L22:L59)</f>
        <v>0</v>
      </c>
      <c r="M19" s="99" t="e">
        <f>GN_Q1_HALF11423[[#This Row],[FTM]]/GN_Q1_HALF11423[[#This Row],[FTA]]</f>
        <v>#DIV/0!</v>
      </c>
      <c r="N19" s="19">
        <f>SUM(GN_Q1_HALF11423[[#This Row],[2PT FGM]]*2,GN_Q1_HALF11423[[#This Row],[3PT FGM]]*3,GN_Q1_HALF11423[[#This Row],[FTM]])</f>
        <v>3</v>
      </c>
      <c r="O19" s="19">
        <f>SUMIF($A$22:$A$59,$A$19,O22:O59)</f>
        <v>0</v>
      </c>
      <c r="P19" s="19">
        <f>SUMIF($A$22:$A$59,$A$19,P22:P59)</f>
        <v>0</v>
      </c>
      <c r="Q19" s="19">
        <f>SUMIF($A$22:$A$59,$A$19,Q22:Q59)</f>
        <v>0</v>
      </c>
      <c r="R19" s="19">
        <f>GN_Q1_HALF11423[[#This Row],[Off. Boards]]+GN_Q1_HALF11423[[#This Row],[Def. Boards]]</f>
        <v>0</v>
      </c>
      <c r="S19" s="19">
        <f>SUMIF($A$22:$A$59,$A$19,S22:S59)</f>
        <v>0</v>
      </c>
      <c r="T19" s="19">
        <f>SUMIF($A$22:$A$59,$A$19,T22:T59)</f>
        <v>1</v>
      </c>
      <c r="U19" s="19">
        <f>SUMIF($A$22:$A$59,$A$19,U22:U59)</f>
        <v>0</v>
      </c>
      <c r="V19" s="19">
        <f>SUMIF($A$22:$A$59,$A$19,V22:V59)</f>
        <v>0</v>
      </c>
      <c r="W19" s="92" t="e">
        <f>GN_Q1_HALF11423[[#This Row],[Dimes]]/GN_Q1_HALF11423[[#This Row],[Turnovers]]</f>
        <v>#DIV/0!</v>
      </c>
    </row>
    <row r="20" spans="1:23" ht="16" thickBot="1" x14ac:dyDescent="0.25">
      <c r="A20" s="82" t="s">
        <v>76</v>
      </c>
      <c r="B20" s="100">
        <f>SUM(B15:B19)</f>
        <v>11</v>
      </c>
      <c r="C20" s="100">
        <f>SUM(C15:C19)</f>
        <v>37</v>
      </c>
      <c r="D20" s="101">
        <f>GN_Q1_HALF11423[[#This Row],[Total FGM]]/GN_Q1_HALF11423[[#This Row],[Total FGA]]</f>
        <v>0.29729729729729731</v>
      </c>
      <c r="E20" s="102">
        <f>SUM(E15:E19)</f>
        <v>6</v>
      </c>
      <c r="F20" s="103">
        <f>SUM(F15:F19)</f>
        <v>11</v>
      </c>
      <c r="G20" s="104">
        <f>GN_Q1_HALF11423[[#This Row],[2PT FGM]]/GN_Q1_HALF11423[[#This Row],[2PT FGA]]</f>
        <v>0.54545454545454541</v>
      </c>
      <c r="H20" s="103">
        <f>SUM(H15:H19)</f>
        <v>5</v>
      </c>
      <c r="I20" s="103">
        <f>SUM(I15:I19)</f>
        <v>26</v>
      </c>
      <c r="J20" s="109">
        <f>GN_Q1_HALF11423[[#This Row],[3PT FGM]]/GN_Q1_HALF11423[[#This Row],[3PT FGA]]</f>
        <v>0.19230769230769232</v>
      </c>
      <c r="K20" s="103">
        <f>SUM(K15:K19)</f>
        <v>0</v>
      </c>
      <c r="L20" s="103">
        <f>SUM(L15:L19)</f>
        <v>0</v>
      </c>
      <c r="M20" s="105" t="e">
        <f>GN_Q1_HALF11423[[#This Row],[FTM]]/GN_Q1_HALF11423[[#This Row],[FTA]]</f>
        <v>#DIV/0!</v>
      </c>
      <c r="N20" s="62">
        <f>SUM(GN_Q1_HALF11423[[#This Row],[2PT FGM]]*2,GN_Q1_HALF11423[[#This Row],[3PT FGM]]*3,GN_Q1_HALF11423[[#This Row],[FTM]])</f>
        <v>27</v>
      </c>
      <c r="O20" s="100">
        <f>SUM(O15:O19)</f>
        <v>4</v>
      </c>
      <c r="P20" s="100">
        <f>SUM(P15:P19)</f>
        <v>10</v>
      </c>
      <c r="Q20" s="100">
        <f>SUM(Q15:Q19)</f>
        <v>5</v>
      </c>
      <c r="R20" s="106">
        <f>GN_Q1_HALF11423[[#This Row],[Def. Boards]]+GN_Q1_HALF11423[[#This Row],[Off. Boards]]</f>
        <v>15</v>
      </c>
      <c r="S20" s="100">
        <f>SUM(S15:S19)</f>
        <v>8</v>
      </c>
      <c r="T20" s="100">
        <f>SUM(T15:T19)</f>
        <v>6</v>
      </c>
      <c r="U20" s="100">
        <f>SUM(U15:U19)</f>
        <v>1</v>
      </c>
      <c r="V20" s="100">
        <f>SUM(V15:V19)</f>
        <v>5</v>
      </c>
      <c r="W20" s="107">
        <f>GN_Q1_HALF11423[[#This Row],[Dimes]]/GN_Q1_HALF11423[[#This Row],[Turnovers]]</f>
        <v>1.6</v>
      </c>
    </row>
    <row r="21" spans="1:23" ht="16" thickBot="1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</row>
    <row r="22" spans="1:23" ht="16" thickTop="1" x14ac:dyDescent="0.2"/>
    <row r="23" spans="1:23" ht="16" thickBot="1" x14ac:dyDescent="0.25">
      <c r="A23" s="220" t="s">
        <v>146</v>
      </c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</row>
    <row r="24" spans="1:23" ht="32" x14ac:dyDescent="0.2">
      <c r="A24" s="166" t="s">
        <v>208</v>
      </c>
      <c r="B24" s="11" t="s">
        <v>0</v>
      </c>
      <c r="C24" s="11" t="s">
        <v>1</v>
      </c>
      <c r="D24" s="11" t="s">
        <v>2</v>
      </c>
      <c r="E24" s="95" t="s">
        <v>3</v>
      </c>
      <c r="F24" s="96" t="s">
        <v>4</v>
      </c>
      <c r="G24" s="96" t="s">
        <v>5</v>
      </c>
      <c r="H24" s="96" t="s">
        <v>6</v>
      </c>
      <c r="I24" s="96" t="s">
        <v>7</v>
      </c>
      <c r="J24" s="96" t="s">
        <v>8</v>
      </c>
      <c r="K24" s="96" t="s">
        <v>9</v>
      </c>
      <c r="L24" s="96" t="s">
        <v>10</v>
      </c>
      <c r="M24" s="97" t="s">
        <v>11</v>
      </c>
      <c r="N24" s="11" t="s">
        <v>12</v>
      </c>
      <c r="O24" s="10" t="s">
        <v>13</v>
      </c>
      <c r="P24" s="11" t="s">
        <v>14</v>
      </c>
      <c r="Q24" s="11" t="s">
        <v>15</v>
      </c>
      <c r="R24" s="11" t="s">
        <v>16</v>
      </c>
      <c r="S24" s="10" t="s">
        <v>17</v>
      </c>
      <c r="T24" s="10" t="s">
        <v>18</v>
      </c>
      <c r="U24" s="10" t="s">
        <v>19</v>
      </c>
      <c r="V24" s="10" t="s">
        <v>20</v>
      </c>
      <c r="W24" s="10" t="s">
        <v>21</v>
      </c>
    </row>
    <row r="25" spans="1:23" x14ac:dyDescent="0.2">
      <c r="A25" s="13" t="s">
        <v>96</v>
      </c>
      <c r="B25" s="90">
        <f>LITI_Q1_HALF1131724[[#This Row],[2PT FGM]]+LITI_Q1_HALF1131724[[#This Row],[3PT FGM]]</f>
        <v>3</v>
      </c>
      <c r="C25" s="90">
        <f>LITI_Q1_HALF1131724[[#This Row],[2PT FGA]]+LITI_Q1_HALF1131724[[#This Row],[3PT FGA]]</f>
        <v>5</v>
      </c>
      <c r="D25" s="91">
        <f>LITI_Q1_HALF1131724[[#This Row],[Total FGM]]/LITI_Q1_HALF1131724[[#This Row],[Total FGA]]</f>
        <v>0.6</v>
      </c>
      <c r="E25" s="98">
        <v>2</v>
      </c>
      <c r="F25" s="19">
        <v>2</v>
      </c>
      <c r="G25" s="91">
        <f>LITI_Q1_HALF1131724[[#This Row],[2PT FGM]]/LITI_Q1_HALF1131724[[#This Row],[2PT FGA]]</f>
        <v>1</v>
      </c>
      <c r="H25" s="19">
        <v>1</v>
      </c>
      <c r="I25" s="19">
        <v>3</v>
      </c>
      <c r="J25" s="91">
        <f>LITI_Q1_HALF1131724[[#This Row],[3PT FGM]]/LITI_Q1_HALF1131724[[#This Row],[3PT FGA]]</f>
        <v>0.33333333333333331</v>
      </c>
      <c r="K25" s="19">
        <v>0</v>
      </c>
      <c r="L25" s="19">
        <v>0</v>
      </c>
      <c r="M25" s="99" t="e">
        <f>LITI_Q1_HALF1131724[[#This Row],[FTM]]/LITI_Q1_HALF1131724[[#This Row],[FTA]]</f>
        <v>#DIV/0!</v>
      </c>
      <c r="N25" s="19">
        <f>SUM(LITI_Q1_HALF1131724[[#This Row],[2PT FGM]]*2,LITI_Q1_HALF1131724[[#This Row],[3PT FGM]]*3,LITI_Q1_HALF1131724[[#This Row],[FTM]])</f>
        <v>7</v>
      </c>
      <c r="O25" s="19">
        <v>0</v>
      </c>
      <c r="P25" s="19">
        <v>3</v>
      </c>
      <c r="Q25" s="19">
        <v>0</v>
      </c>
      <c r="R25" s="19">
        <f>LITI_Q1_HALF1131724[[#This Row],[Off. Boards]]+LITI_Q1_HALF1131724[[#This Row],[Def. Boards]]</f>
        <v>3</v>
      </c>
      <c r="S25" s="19">
        <v>0</v>
      </c>
      <c r="T25" s="19">
        <v>0</v>
      </c>
      <c r="U25" s="19">
        <v>0</v>
      </c>
      <c r="V25" s="19">
        <v>0</v>
      </c>
      <c r="W25" s="92" t="e">
        <f>LITI_Q1_HALF1131724[[#This Row],[Dimes]]/LITI_Q1_HALF1131724[[#This Row],[Turnovers]]</f>
        <v>#DIV/0!</v>
      </c>
    </row>
    <row r="26" spans="1:23" x14ac:dyDescent="0.2">
      <c r="A26" s="13" t="s">
        <v>207</v>
      </c>
      <c r="B26" s="90">
        <f>LITI_Q1_HALF1131724[[#This Row],[2PT FGM]]+LITI_Q1_HALF1131724[[#This Row],[3PT FGM]]</f>
        <v>3</v>
      </c>
      <c r="C26" s="90">
        <f>LITI_Q1_HALF1131724[[#This Row],[2PT FGA]]+LITI_Q1_HALF1131724[[#This Row],[3PT FGA]]</f>
        <v>5</v>
      </c>
      <c r="D26" s="91">
        <f>LITI_Q1_HALF1131724[[#This Row],[Total FGM]]/LITI_Q1_HALF1131724[[#This Row],[Total FGA]]</f>
        <v>0.6</v>
      </c>
      <c r="E26" s="98">
        <v>3</v>
      </c>
      <c r="F26" s="19">
        <v>4</v>
      </c>
      <c r="G26" s="91">
        <f>LITI_Q1_HALF1131724[[#This Row],[2PT FGM]]/LITI_Q1_HALF1131724[[#This Row],[2PT FGA]]</f>
        <v>0.75</v>
      </c>
      <c r="H26" s="19">
        <v>0</v>
      </c>
      <c r="I26" s="19">
        <v>1</v>
      </c>
      <c r="J26" s="91">
        <f>LITI_Q1_HALF1131724[[#This Row],[3PT FGM]]/LITI_Q1_HALF1131724[[#This Row],[3PT FGA]]</f>
        <v>0</v>
      </c>
      <c r="K26" s="19">
        <v>0</v>
      </c>
      <c r="L26" s="19">
        <v>0</v>
      </c>
      <c r="M26" s="99" t="e">
        <f>LITI_Q1_HALF1131724[[#This Row],[FTM]]/LITI_Q1_HALF1131724[[#This Row],[FTA]]</f>
        <v>#DIV/0!</v>
      </c>
      <c r="N26" s="19">
        <f>SUM(LITI_Q1_HALF1131724[[#This Row],[2PT FGM]]*2,LITI_Q1_HALF1131724[[#This Row],[3PT FGM]]*3,LITI_Q1_HALF1131724[[#This Row],[FTM]])</f>
        <v>6</v>
      </c>
      <c r="O26" s="19">
        <v>2</v>
      </c>
      <c r="P26" s="19">
        <v>3</v>
      </c>
      <c r="Q26" s="19">
        <v>1</v>
      </c>
      <c r="R26" s="19">
        <f>LITI_Q1_HALF1131724[[#This Row],[Off. Boards]]+LITI_Q1_HALF1131724[[#This Row],[Def. Boards]]</f>
        <v>4</v>
      </c>
      <c r="S26" s="19">
        <v>0</v>
      </c>
      <c r="T26" s="19">
        <v>0</v>
      </c>
      <c r="U26" s="19">
        <v>0</v>
      </c>
      <c r="V26" s="19">
        <v>0</v>
      </c>
      <c r="W26" s="92" t="e">
        <f>LITI_Q1_HALF1131724[[#This Row],[Dimes]]/LITI_Q1_HALF1131724[[#This Row],[Turnovers]]</f>
        <v>#DIV/0!</v>
      </c>
    </row>
    <row r="27" spans="1:23" x14ac:dyDescent="0.2">
      <c r="A27" s="13" t="s">
        <v>88</v>
      </c>
      <c r="B27" s="90">
        <f>LITI_Q1_HALF1131724[[#This Row],[2PT FGM]]+LITI_Q1_HALF1131724[[#This Row],[3PT FGM]]</f>
        <v>2</v>
      </c>
      <c r="C27" s="90">
        <f>LITI_Q1_HALF1131724[[#This Row],[2PT FGA]]+LITI_Q1_HALF1131724[[#This Row],[3PT FGA]]</f>
        <v>3</v>
      </c>
      <c r="D27" s="91">
        <f>LITI_Q1_HALF1131724[[#This Row],[Total FGM]]/LITI_Q1_HALF1131724[[#This Row],[Total FGA]]</f>
        <v>0.66666666666666663</v>
      </c>
      <c r="E27" s="98">
        <v>2</v>
      </c>
      <c r="F27" s="19">
        <v>2</v>
      </c>
      <c r="G27" s="91">
        <f>LITI_Q1_HALF1131724[[#This Row],[2PT FGM]]/LITI_Q1_HALF1131724[[#This Row],[2PT FGA]]</f>
        <v>1</v>
      </c>
      <c r="H27" s="19">
        <v>0</v>
      </c>
      <c r="I27" s="19">
        <v>1</v>
      </c>
      <c r="J27" s="91">
        <f>LITI_Q1_HALF1131724[[#This Row],[3PT FGM]]/LITI_Q1_HALF1131724[[#This Row],[3PT FGA]]</f>
        <v>0</v>
      </c>
      <c r="K27" s="19">
        <v>0</v>
      </c>
      <c r="L27" s="19">
        <v>0</v>
      </c>
      <c r="M27" s="99" t="e">
        <f>LITI_Q1_HALF1131724[[#This Row],[FTM]]/LITI_Q1_HALF1131724[[#This Row],[FTA]]</f>
        <v>#DIV/0!</v>
      </c>
      <c r="N27" s="19">
        <f>SUM(LITI_Q1_HALF1131724[[#This Row],[2PT FGM]]*2,LITI_Q1_HALF1131724[[#This Row],[3PT FGM]]*3,LITI_Q1_HALF1131724[[#This Row],[FTM]])</f>
        <v>4</v>
      </c>
      <c r="O27" s="19">
        <v>0</v>
      </c>
      <c r="P27" s="19">
        <v>2</v>
      </c>
      <c r="Q27" s="19">
        <v>0</v>
      </c>
      <c r="R27" s="19">
        <f>LITI_Q1_HALF1131724[[#This Row],[Off. Boards]]+LITI_Q1_HALF1131724[[#This Row],[Def. Boards]]</f>
        <v>2</v>
      </c>
      <c r="S27" s="19">
        <v>2</v>
      </c>
      <c r="T27" s="19">
        <v>0</v>
      </c>
      <c r="U27" s="19">
        <v>0</v>
      </c>
      <c r="V27" s="19">
        <v>2</v>
      </c>
      <c r="W27" s="92">
        <f>LITI_Q1_HALF1131724[[#This Row],[Dimes]]/LITI_Q1_HALF1131724[[#This Row],[Turnovers]]</f>
        <v>1</v>
      </c>
    </row>
    <row r="28" spans="1:23" x14ac:dyDescent="0.2">
      <c r="A28" s="13" t="s">
        <v>98</v>
      </c>
      <c r="B28" s="90">
        <f>LITI_Q1_HALF1131724[[#This Row],[2PT FGM]]+LITI_Q1_HALF1131724[[#This Row],[3PT FGM]]</f>
        <v>0</v>
      </c>
      <c r="C28" s="90">
        <f>LITI_Q1_HALF1131724[[#This Row],[2PT FGA]]+LITI_Q1_HALF1131724[[#This Row],[3PT FGA]]</f>
        <v>3</v>
      </c>
      <c r="D28" s="91">
        <f>LITI_Q1_HALF1131724[[#This Row],[Total FGM]]/LITI_Q1_HALF1131724[[#This Row],[Total FGA]]</f>
        <v>0</v>
      </c>
      <c r="E28" s="98">
        <v>0</v>
      </c>
      <c r="F28" s="19">
        <v>3</v>
      </c>
      <c r="G28" s="91">
        <f>LITI_Q1_HALF1131724[[#This Row],[2PT FGM]]/LITI_Q1_HALF1131724[[#This Row],[2PT FGA]]</f>
        <v>0</v>
      </c>
      <c r="H28" s="19">
        <v>0</v>
      </c>
      <c r="I28" s="19">
        <v>0</v>
      </c>
      <c r="J28" s="91" t="e">
        <f>LITI_Q1_HALF1131724[[#This Row],[3PT FGM]]/LITI_Q1_HALF1131724[[#This Row],[3PT FGA]]</f>
        <v>#DIV/0!</v>
      </c>
      <c r="K28" s="19">
        <v>0</v>
      </c>
      <c r="L28" s="19">
        <v>0</v>
      </c>
      <c r="M28" s="99" t="e">
        <f>LITI_Q1_HALF1131724[[#This Row],[FTM]]/LITI_Q1_HALF1131724[[#This Row],[FTA]]</f>
        <v>#DIV/0!</v>
      </c>
      <c r="N28" s="19">
        <f>SUM(LITI_Q1_HALF1131724[[#This Row],[2PT FGM]]*2,LITI_Q1_HALF1131724[[#This Row],[3PT FGM]]*3,LITI_Q1_HALF1131724[[#This Row],[FTM]])</f>
        <v>0</v>
      </c>
      <c r="O28" s="19">
        <v>0</v>
      </c>
      <c r="P28" s="19">
        <v>1</v>
      </c>
      <c r="Q28" s="19">
        <v>1</v>
      </c>
      <c r="R28" s="19">
        <f>LITI_Q1_HALF1131724[[#This Row],[Off. Boards]]+LITI_Q1_HALF1131724[[#This Row],[Def. Boards]]</f>
        <v>2</v>
      </c>
      <c r="S28" s="19">
        <v>1</v>
      </c>
      <c r="T28" s="19">
        <v>0</v>
      </c>
      <c r="U28" s="19">
        <v>0</v>
      </c>
      <c r="V28" s="19">
        <v>0</v>
      </c>
      <c r="W28" s="92" t="e">
        <f>LITI_Q1_HALF1131724[[#This Row],[Dimes]]/LITI_Q1_HALF1131724[[#This Row],[Turnovers]]</f>
        <v>#DIV/0!</v>
      </c>
    </row>
    <row r="29" spans="1:23" x14ac:dyDescent="0.2">
      <c r="A29" s="13" t="s">
        <v>83</v>
      </c>
      <c r="B29" s="90">
        <f>LITI_Q1_HALF1131724[[#This Row],[2PT FGM]]+LITI_Q1_HALF1131724[[#This Row],[3PT FGM]]</f>
        <v>0</v>
      </c>
      <c r="C29" s="90">
        <f>LITI_Q1_HALF1131724[[#This Row],[2PT FGA]]+LITI_Q1_HALF1131724[[#This Row],[3PT FGA]]</f>
        <v>2</v>
      </c>
      <c r="D29" s="91">
        <f>LITI_Q1_HALF1131724[[#This Row],[Total FGM]]/LITI_Q1_HALF1131724[[#This Row],[Total FGA]]</f>
        <v>0</v>
      </c>
      <c r="E29" s="98">
        <v>0</v>
      </c>
      <c r="F29" s="19">
        <v>0</v>
      </c>
      <c r="G29" s="91" t="e">
        <f>LITI_Q1_HALF1131724[[#This Row],[2PT FGM]]/LITI_Q1_HALF1131724[[#This Row],[2PT FGA]]</f>
        <v>#DIV/0!</v>
      </c>
      <c r="H29" s="19">
        <v>0</v>
      </c>
      <c r="I29" s="19">
        <v>2</v>
      </c>
      <c r="J29" s="91">
        <f>LITI_Q1_HALF1131724[[#This Row],[3PT FGM]]/LITI_Q1_HALF1131724[[#This Row],[3PT FGA]]</f>
        <v>0</v>
      </c>
      <c r="K29" s="19">
        <v>0</v>
      </c>
      <c r="L29" s="19">
        <v>0</v>
      </c>
      <c r="M29" s="99" t="e">
        <f>LITI_Q1_HALF1131724[[#This Row],[FTM]]/LITI_Q1_HALF1131724[[#This Row],[FTA]]</f>
        <v>#DIV/0!</v>
      </c>
      <c r="N29" s="19">
        <f>SUM(LITI_Q1_HALF1131724[[#This Row],[2PT FGM]]*2,LITI_Q1_HALF1131724[[#This Row],[3PT FGM]]*3,LITI_Q1_HALF1131724[[#This Row],[FTM]])</f>
        <v>0</v>
      </c>
      <c r="O29" s="19">
        <v>0</v>
      </c>
      <c r="P29" s="19">
        <v>1</v>
      </c>
      <c r="Q29" s="19">
        <v>0</v>
      </c>
      <c r="R29" s="19">
        <f>LITI_Q1_HALF1131724[[#This Row],[Off. Boards]]+LITI_Q1_HALF1131724[[#This Row],[Def. Boards]]</f>
        <v>1</v>
      </c>
      <c r="S29" s="19">
        <v>0</v>
      </c>
      <c r="T29" s="19">
        <v>1</v>
      </c>
      <c r="U29" s="19">
        <v>0</v>
      </c>
      <c r="V29" s="19">
        <v>2</v>
      </c>
      <c r="W29" s="92">
        <f>LITI_Q1_HALF1131724[[#This Row],[Dimes]]/LITI_Q1_HALF1131724[[#This Row],[Turnovers]]</f>
        <v>0</v>
      </c>
    </row>
    <row r="30" spans="1:23" ht="16" thickBot="1" x14ac:dyDescent="0.25">
      <c r="A30" s="82" t="s">
        <v>76</v>
      </c>
      <c r="B30" s="100">
        <f>SUM(B25:B29)</f>
        <v>8</v>
      </c>
      <c r="C30" s="100">
        <f>SUM(C25:C29)</f>
        <v>18</v>
      </c>
      <c r="D30" s="101">
        <f>LITI_Q1_HALF1131724[[#This Row],[Total FGM]]/LITI_Q1_HALF1131724[[#This Row],[Total FGA]]</f>
        <v>0.44444444444444442</v>
      </c>
      <c r="E30" s="102">
        <f>SUM(E25:E29)</f>
        <v>7</v>
      </c>
      <c r="F30" s="103">
        <f>SUM(F25:F29)</f>
        <v>11</v>
      </c>
      <c r="G30" s="108">
        <f>LITI_Q1_HALF1131724[[#This Row],[2PT FGM]]/LITI_Q1_HALF1131724[[#This Row],[2PT FGA]]</f>
        <v>0.63636363636363635</v>
      </c>
      <c r="H30" s="103">
        <f>SUM(H25:H29)</f>
        <v>1</v>
      </c>
      <c r="I30" s="103">
        <f>SUM(I25:I29)</f>
        <v>7</v>
      </c>
      <c r="J30" s="104">
        <f>LITI_Q1_HALF1131724[[#This Row],[3PT FGM]]/LITI_Q1_HALF1131724[[#This Row],[3PT FGA]]</f>
        <v>0.14285714285714285</v>
      </c>
      <c r="K30" s="103">
        <f>SUM(K25:K29)</f>
        <v>0</v>
      </c>
      <c r="L30" s="103">
        <f>SUM(L25:L29)</f>
        <v>0</v>
      </c>
      <c r="M30" s="105" t="e">
        <f>LITI_Q1_HALF1131724[[#This Row],[FTM]]/LITI_Q1_HALF1131724[[#This Row],[FTA]]</f>
        <v>#DIV/0!</v>
      </c>
      <c r="N30" s="62">
        <f>SUM(LITI_Q1_HALF1131724[[#This Row],[2PT FGM]]*2,LITI_Q1_HALF1131724[[#This Row],[3PT FGM]]*3,LITI_Q1_HALF1131724[[#This Row],[FTM]])</f>
        <v>17</v>
      </c>
      <c r="O30" s="106">
        <f>SUM(O25:O29)</f>
        <v>2</v>
      </c>
      <c r="P30" s="106">
        <f t="shared" ref="P30:V30" si="1">SUM(P25:P29)</f>
        <v>10</v>
      </c>
      <c r="Q30" s="106">
        <f t="shared" si="1"/>
        <v>2</v>
      </c>
      <c r="R30" s="106">
        <f t="shared" si="1"/>
        <v>12</v>
      </c>
      <c r="S30" s="106">
        <f t="shared" si="1"/>
        <v>3</v>
      </c>
      <c r="T30" s="106">
        <f t="shared" si="1"/>
        <v>1</v>
      </c>
      <c r="U30" s="106">
        <f t="shared" si="1"/>
        <v>0</v>
      </c>
      <c r="V30" s="106">
        <f t="shared" si="1"/>
        <v>4</v>
      </c>
      <c r="W30" s="107">
        <f>LITI_Q1_HALF1131724[[#This Row],[Dimes]]/LITI_Q1_HALF1131724[[#This Row],[Turnovers]]</f>
        <v>0.75</v>
      </c>
    </row>
    <row r="32" spans="1:23" ht="16" thickBot="1" x14ac:dyDescent="0.25">
      <c r="A32" s="220" t="s">
        <v>146</v>
      </c>
      <c r="B32" s="219"/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</row>
    <row r="33" spans="1:23" ht="32" x14ac:dyDescent="0.2">
      <c r="A33" s="166" t="s">
        <v>209</v>
      </c>
      <c r="B33" s="11" t="s">
        <v>0</v>
      </c>
      <c r="C33" s="11" t="s">
        <v>1</v>
      </c>
      <c r="D33" s="11" t="s">
        <v>2</v>
      </c>
      <c r="E33" s="95" t="s">
        <v>3</v>
      </c>
      <c r="F33" s="96" t="s">
        <v>4</v>
      </c>
      <c r="G33" s="96" t="s">
        <v>5</v>
      </c>
      <c r="H33" s="96" t="s">
        <v>6</v>
      </c>
      <c r="I33" s="96" t="s">
        <v>7</v>
      </c>
      <c r="J33" s="96" t="s">
        <v>8</v>
      </c>
      <c r="K33" s="96" t="s">
        <v>9</v>
      </c>
      <c r="L33" s="96" t="s">
        <v>10</v>
      </c>
      <c r="M33" s="97" t="s">
        <v>11</v>
      </c>
      <c r="N33" s="11" t="s">
        <v>12</v>
      </c>
      <c r="O33" s="10" t="s">
        <v>13</v>
      </c>
      <c r="P33" s="11" t="s">
        <v>14</v>
      </c>
      <c r="Q33" s="11" t="s">
        <v>15</v>
      </c>
      <c r="R33" s="11" t="s">
        <v>16</v>
      </c>
      <c r="S33" s="10" t="s">
        <v>17</v>
      </c>
      <c r="T33" s="10" t="s">
        <v>18</v>
      </c>
      <c r="U33" s="10" t="s">
        <v>19</v>
      </c>
      <c r="V33" s="10" t="s">
        <v>20</v>
      </c>
      <c r="W33" s="10" t="s">
        <v>21</v>
      </c>
    </row>
    <row r="34" spans="1:23" x14ac:dyDescent="0.2">
      <c r="A34" t="s">
        <v>24</v>
      </c>
      <c r="B34" s="90">
        <f>GN_Q1_HALF1141825[[#This Row],[2PT FGM]]+GN_Q1_HALF1141825[[#This Row],[3PT FGM]]</f>
        <v>1</v>
      </c>
      <c r="C34" s="90">
        <f>GN_Q1_HALF1141825[[#This Row],[2PT FGA]]+GN_Q1_HALF1141825[[#This Row],[3PT FGA]]</f>
        <v>2</v>
      </c>
      <c r="D34" s="91">
        <f>GN_Q1_HALF1141825[[#This Row],[Total FGM]]/GN_Q1_HALF1141825[[#This Row],[Total FGA]]</f>
        <v>0.5</v>
      </c>
      <c r="E34" s="98">
        <v>0</v>
      </c>
      <c r="F34" s="19">
        <v>0</v>
      </c>
      <c r="G34" s="91" t="e">
        <f>GN_Q1_HALF1141825[[#This Row],[2PT FGM]]/GN_Q1_HALF1141825[[#This Row],[2PT FGA]]</f>
        <v>#DIV/0!</v>
      </c>
      <c r="H34" s="19">
        <v>1</v>
      </c>
      <c r="I34" s="19">
        <v>2</v>
      </c>
      <c r="J34" s="91">
        <f>GN_Q1_HALF1141825[[#This Row],[3PT FGM]]/GN_Q1_HALF1141825[[#This Row],[3PT FGA]]</f>
        <v>0.5</v>
      </c>
      <c r="K34" s="19">
        <v>0</v>
      </c>
      <c r="L34" s="19">
        <v>0</v>
      </c>
      <c r="M34" s="99" t="e">
        <f>GN_Q1_HALF1141825[[#This Row],[FTM]]/GN_Q1_HALF1141825[[#This Row],[FTA]]</f>
        <v>#DIV/0!</v>
      </c>
      <c r="N34" s="19">
        <f>SUM(GN_Q1_HALF1141825[[#This Row],[2PT FGM]]*2,GN_Q1_HALF1141825[[#This Row],[3PT FGM]]*3,GN_Q1_HALF1141825[[#This Row],[FTM]])</f>
        <v>3</v>
      </c>
      <c r="O34" s="19">
        <v>0</v>
      </c>
      <c r="P34" s="19">
        <v>3</v>
      </c>
      <c r="Q34" s="19">
        <v>0</v>
      </c>
      <c r="R34" s="19">
        <f>GN_Q1_HALF1141825[[#This Row],[Off. Boards]]+GN_Q1_HALF1141825[[#This Row],[Def. Boards]]</f>
        <v>3</v>
      </c>
      <c r="S34" s="19">
        <v>1</v>
      </c>
      <c r="T34" s="19">
        <v>1</v>
      </c>
      <c r="U34" s="19">
        <v>0</v>
      </c>
      <c r="V34" s="19">
        <v>0</v>
      </c>
      <c r="W34" s="92" t="e">
        <f>GN_Q1_HALF1141825[[#This Row],[Dimes]]/GN_Q1_HALF1141825[[#This Row],[Turnovers]]</f>
        <v>#DIV/0!</v>
      </c>
    </row>
    <row r="35" spans="1:23" x14ac:dyDescent="0.2">
      <c r="A35" t="s">
        <v>135</v>
      </c>
      <c r="B35" s="90">
        <f>GN_Q1_HALF1141825[[#This Row],[2PT FGM]]+GN_Q1_HALF1141825[[#This Row],[3PT FGM]]</f>
        <v>3</v>
      </c>
      <c r="C35" s="90">
        <f>GN_Q1_HALF1141825[[#This Row],[2PT FGA]]+GN_Q1_HALF1141825[[#This Row],[3PT FGA]]</f>
        <v>4</v>
      </c>
      <c r="D35" s="91">
        <f>GN_Q1_HALF1141825[[#This Row],[Total FGM]]/GN_Q1_HALF1141825[[#This Row],[Total FGA]]</f>
        <v>0.75</v>
      </c>
      <c r="E35" s="98">
        <v>3</v>
      </c>
      <c r="F35" s="19">
        <v>3</v>
      </c>
      <c r="G35" s="91">
        <f>GN_Q1_HALF1141825[[#This Row],[2PT FGM]]/GN_Q1_HALF1141825[[#This Row],[2PT FGA]]</f>
        <v>1</v>
      </c>
      <c r="H35" s="19">
        <v>0</v>
      </c>
      <c r="I35" s="19">
        <v>1</v>
      </c>
      <c r="J35" s="91">
        <f>GN_Q1_HALF1141825[[#This Row],[3PT FGM]]/GN_Q1_HALF1141825[[#This Row],[3PT FGA]]</f>
        <v>0</v>
      </c>
      <c r="K35" s="19">
        <v>0</v>
      </c>
      <c r="L35" s="19">
        <v>0</v>
      </c>
      <c r="M35" s="99" t="e">
        <f>GN_Q1_HALF1141825[[#This Row],[FTM]]/GN_Q1_HALF1141825[[#This Row],[FTA]]</f>
        <v>#DIV/0!</v>
      </c>
      <c r="N35" s="19">
        <f>SUM(GN_Q1_HALF1141825[[#This Row],[2PT FGM]]*2,GN_Q1_HALF1141825[[#This Row],[3PT FGM]]*3,GN_Q1_HALF1141825[[#This Row],[FTM]])</f>
        <v>6</v>
      </c>
      <c r="O35" s="19">
        <v>2</v>
      </c>
      <c r="P35" s="19">
        <v>2</v>
      </c>
      <c r="Q35" s="19">
        <v>2</v>
      </c>
      <c r="R35" s="19">
        <f>GN_Q1_HALF1141825[[#This Row],[Off. Boards]]+GN_Q1_HALF1141825[[#This Row],[Def. Boards]]</f>
        <v>4</v>
      </c>
      <c r="S35" s="19">
        <v>0</v>
      </c>
      <c r="T35" s="19">
        <v>0</v>
      </c>
      <c r="U35" s="19">
        <v>0</v>
      </c>
      <c r="V35" s="19">
        <v>2</v>
      </c>
      <c r="W35" s="92">
        <f>GN_Q1_HALF1141825[[#This Row],[Dimes]]/GN_Q1_HALF1141825[[#This Row],[Turnovers]]</f>
        <v>0</v>
      </c>
    </row>
    <row r="36" spans="1:23" x14ac:dyDescent="0.2">
      <c r="A36" t="s">
        <v>103</v>
      </c>
      <c r="B36" s="90">
        <f>GN_Q1_HALF1141825[[#This Row],[2PT FGM]]+GN_Q1_HALF1141825[[#This Row],[3PT FGM]]</f>
        <v>1</v>
      </c>
      <c r="C36" s="90">
        <f>GN_Q1_HALF1141825[[#This Row],[2PT FGA]]+GN_Q1_HALF1141825[[#This Row],[3PT FGA]]</f>
        <v>5</v>
      </c>
      <c r="D36" s="91">
        <f>GN_Q1_HALF1141825[[#This Row],[Total FGM]]/GN_Q1_HALF1141825[[#This Row],[Total FGA]]</f>
        <v>0.2</v>
      </c>
      <c r="E36" s="98">
        <v>0</v>
      </c>
      <c r="F36" s="19">
        <v>2</v>
      </c>
      <c r="G36" s="91">
        <f>GN_Q1_HALF1141825[[#This Row],[2PT FGM]]/GN_Q1_HALF1141825[[#This Row],[2PT FGA]]</f>
        <v>0</v>
      </c>
      <c r="H36" s="19">
        <v>1</v>
      </c>
      <c r="I36" s="19">
        <v>3</v>
      </c>
      <c r="J36" s="91">
        <f>GN_Q1_HALF1141825[[#This Row],[3PT FGM]]/GN_Q1_HALF1141825[[#This Row],[3PT FGA]]</f>
        <v>0.33333333333333331</v>
      </c>
      <c r="K36" s="19">
        <v>0</v>
      </c>
      <c r="L36" s="19">
        <v>0</v>
      </c>
      <c r="M36" s="99" t="e">
        <f>GN_Q1_HALF1141825[[#This Row],[FTM]]/GN_Q1_HALF1141825[[#This Row],[FTA]]</f>
        <v>#DIV/0!</v>
      </c>
      <c r="N36" s="19">
        <f>SUM(GN_Q1_HALF1141825[[#This Row],[2PT FGM]]*2,GN_Q1_HALF1141825[[#This Row],[3PT FGM]]*3,GN_Q1_HALF1141825[[#This Row],[FTM]])</f>
        <v>3</v>
      </c>
      <c r="O36" s="19">
        <v>0</v>
      </c>
      <c r="P36" s="19">
        <v>2</v>
      </c>
      <c r="Q36" s="19">
        <v>0</v>
      </c>
      <c r="R36" s="19">
        <f>GN_Q1_HALF1141825[[#This Row],[Off. Boards]]+GN_Q1_HALF1141825[[#This Row],[Def. Boards]]</f>
        <v>2</v>
      </c>
      <c r="S36" s="19">
        <v>1</v>
      </c>
      <c r="T36" s="19">
        <v>0</v>
      </c>
      <c r="U36" s="19">
        <v>0</v>
      </c>
      <c r="V36" s="19">
        <v>0</v>
      </c>
      <c r="W36" s="92" t="e">
        <f>GN_Q1_HALF1141825[[#This Row],[Dimes]]/GN_Q1_HALF1141825[[#This Row],[Turnovers]]</f>
        <v>#DIV/0!</v>
      </c>
    </row>
    <row r="37" spans="1:23" x14ac:dyDescent="0.2">
      <c r="A37" t="s">
        <v>100</v>
      </c>
      <c r="B37" s="90">
        <f>GN_Q1_HALF1141825[[#This Row],[2PT FGM]]+GN_Q1_HALF1141825[[#This Row],[3PT FGM]]</f>
        <v>0</v>
      </c>
      <c r="C37" s="90">
        <f>GN_Q1_HALF1141825[[#This Row],[2PT FGA]]+GN_Q1_HALF1141825[[#This Row],[3PT FGA]]</f>
        <v>6</v>
      </c>
      <c r="D37" s="91">
        <f>GN_Q1_HALF1141825[[#This Row],[Total FGM]]/GN_Q1_HALF1141825[[#This Row],[Total FGA]]</f>
        <v>0</v>
      </c>
      <c r="E37" s="98">
        <v>0</v>
      </c>
      <c r="F37" s="19">
        <v>1</v>
      </c>
      <c r="G37" s="91">
        <f>GN_Q1_HALF1141825[[#This Row],[2PT FGM]]/GN_Q1_HALF1141825[[#This Row],[2PT FGA]]</f>
        <v>0</v>
      </c>
      <c r="H37" s="19">
        <v>0</v>
      </c>
      <c r="I37" s="19">
        <v>5</v>
      </c>
      <c r="J37" s="91">
        <f>GN_Q1_HALF1141825[[#This Row],[3PT FGM]]/GN_Q1_HALF1141825[[#This Row],[3PT FGA]]</f>
        <v>0</v>
      </c>
      <c r="K37" s="19">
        <v>0</v>
      </c>
      <c r="L37" s="19">
        <v>0</v>
      </c>
      <c r="M37" s="99" t="e">
        <f>GN_Q1_HALF1141825[[#This Row],[FTM]]/GN_Q1_HALF1141825[[#This Row],[FTA]]</f>
        <v>#DIV/0!</v>
      </c>
      <c r="N37" s="19">
        <f>SUM(GN_Q1_HALF1141825[[#This Row],[2PT FGM]]*2,GN_Q1_HALF1141825[[#This Row],[3PT FGM]]*3,GN_Q1_HALF1141825[[#This Row],[FTM]])</f>
        <v>0</v>
      </c>
      <c r="O37" s="19">
        <v>0</v>
      </c>
      <c r="P37" s="19">
        <v>0</v>
      </c>
      <c r="Q37" s="19">
        <v>0</v>
      </c>
      <c r="R37" s="19">
        <f>GN_Q1_HALF1141825[[#This Row],[Off. Boards]]+GN_Q1_HALF1141825[[#This Row],[Def. Boards]]</f>
        <v>0</v>
      </c>
      <c r="S37" s="19">
        <v>3</v>
      </c>
      <c r="T37" s="19">
        <v>0</v>
      </c>
      <c r="U37" s="19">
        <v>0</v>
      </c>
      <c r="V37" s="19">
        <v>0</v>
      </c>
      <c r="W37" s="92" t="e">
        <f>GN_Q1_HALF1141825[[#This Row],[Dimes]]/GN_Q1_HALF1141825[[#This Row],[Turnovers]]</f>
        <v>#DIV/0!</v>
      </c>
    </row>
    <row r="38" spans="1:23" x14ac:dyDescent="0.2">
      <c r="A38" t="s">
        <v>85</v>
      </c>
      <c r="B38" s="90">
        <f>GN_Q1_HALF1141825[[#This Row],[2PT FGM]]+GN_Q1_HALF1141825[[#This Row],[3PT FGM]]</f>
        <v>1</v>
      </c>
      <c r="C38" s="90">
        <f>GN_Q1_HALF1141825[[#This Row],[2PT FGA]]+GN_Q1_HALF1141825[[#This Row],[3PT FGA]]</f>
        <v>3</v>
      </c>
      <c r="D38" s="91">
        <f>GN_Q1_HALF1141825[[#This Row],[Total FGM]]/GN_Q1_HALF1141825[[#This Row],[Total FGA]]</f>
        <v>0.33333333333333331</v>
      </c>
      <c r="E38" s="98">
        <v>0</v>
      </c>
      <c r="F38" s="19">
        <v>0</v>
      </c>
      <c r="G38" s="91" t="e">
        <f>GN_Q1_HALF1141825[[#This Row],[2PT FGM]]/GN_Q1_HALF1141825[[#This Row],[2PT FGA]]</f>
        <v>#DIV/0!</v>
      </c>
      <c r="H38" s="19">
        <v>1</v>
      </c>
      <c r="I38" s="19">
        <v>3</v>
      </c>
      <c r="J38" s="91">
        <f>GN_Q1_HALF1141825[[#This Row],[3PT FGM]]/GN_Q1_HALF1141825[[#This Row],[3PT FGA]]</f>
        <v>0.33333333333333331</v>
      </c>
      <c r="K38" s="19">
        <v>0</v>
      </c>
      <c r="L38" s="19">
        <v>0</v>
      </c>
      <c r="M38" s="99" t="e">
        <f>GN_Q1_HALF1141825[[#This Row],[FTM]]/GN_Q1_HALF1141825[[#This Row],[FTA]]</f>
        <v>#DIV/0!</v>
      </c>
      <c r="N38" s="19">
        <f>SUM(GN_Q1_HALF1141825[[#This Row],[2PT FGM]]*2,GN_Q1_HALF1141825[[#This Row],[3PT FGM]]*3,GN_Q1_HALF1141825[[#This Row],[FTM]])</f>
        <v>3</v>
      </c>
      <c r="O38" s="19">
        <v>0</v>
      </c>
      <c r="P38" s="19">
        <v>0</v>
      </c>
      <c r="Q38" s="19">
        <v>0</v>
      </c>
      <c r="R38" s="19">
        <f>GN_Q1_HALF1141825[[#This Row],[Off. Boards]]+GN_Q1_HALF1141825[[#This Row],[Def. Boards]]</f>
        <v>0</v>
      </c>
      <c r="S38" s="19">
        <v>0</v>
      </c>
      <c r="T38" s="19">
        <v>1</v>
      </c>
      <c r="U38" s="19">
        <v>0</v>
      </c>
      <c r="V38" s="19">
        <v>0</v>
      </c>
      <c r="W38" s="92" t="e">
        <f>GN_Q1_HALF1141825[[#This Row],[Dimes]]/GN_Q1_HALF1141825[[#This Row],[Turnovers]]</f>
        <v>#DIV/0!</v>
      </c>
    </row>
    <row r="39" spans="1:23" ht="16" thickBot="1" x14ac:dyDescent="0.25">
      <c r="A39" s="82" t="s">
        <v>76</v>
      </c>
      <c r="B39" s="100">
        <f>SUM(B34:B38)</f>
        <v>6</v>
      </c>
      <c r="C39" s="100">
        <f>SUM(C34:C38)</f>
        <v>20</v>
      </c>
      <c r="D39" s="101">
        <f>GN_Q1_HALF1141825[[#This Row],[Total FGM]]/GN_Q1_HALF1141825[[#This Row],[Total FGA]]</f>
        <v>0.3</v>
      </c>
      <c r="E39" s="102">
        <f>SUM(E34:E38)</f>
        <v>3</v>
      </c>
      <c r="F39" s="103">
        <f>SUM(F34:F38)</f>
        <v>6</v>
      </c>
      <c r="G39" s="104">
        <f>GN_Q1_HALF1141825[[#This Row],[2PT FGM]]/GN_Q1_HALF1141825[[#This Row],[2PT FGA]]</f>
        <v>0.5</v>
      </c>
      <c r="H39" s="103">
        <f>SUM(H34:H38)</f>
        <v>3</v>
      </c>
      <c r="I39" s="103">
        <f>SUM(I34:I38)</f>
        <v>14</v>
      </c>
      <c r="J39" s="109">
        <f>GN_Q1_HALF1141825[[#This Row],[3PT FGM]]/GN_Q1_HALF1141825[[#This Row],[3PT FGA]]</f>
        <v>0.21428571428571427</v>
      </c>
      <c r="K39" s="103">
        <f>SUM(K34:K38)</f>
        <v>0</v>
      </c>
      <c r="L39" s="103">
        <f>SUM(L34:L38)</f>
        <v>0</v>
      </c>
      <c r="M39" s="105" t="e">
        <f>GN_Q1_HALF1141825[[#This Row],[FTM]]/GN_Q1_HALF1141825[[#This Row],[FTA]]</f>
        <v>#DIV/0!</v>
      </c>
      <c r="N39" s="62">
        <f>SUM(GN_Q1_HALF1141825[[#This Row],[2PT FGM]]*2,GN_Q1_HALF1141825[[#This Row],[3PT FGM]]*3,GN_Q1_HALF1141825[[#This Row],[FTM]])</f>
        <v>15</v>
      </c>
      <c r="O39" s="100">
        <f>SUM(O34:O38)</f>
        <v>2</v>
      </c>
      <c r="P39" s="100">
        <f>SUM(P34:P38)</f>
        <v>7</v>
      </c>
      <c r="Q39" s="100">
        <f>SUM(Q34:Q38)</f>
        <v>2</v>
      </c>
      <c r="R39" s="106">
        <f>GN_Q1_HALF1141825[[#This Row],[Def. Boards]]+GN_Q1_HALF1141825[[#This Row],[Off. Boards]]</f>
        <v>9</v>
      </c>
      <c r="S39" s="100">
        <f>SUM(S34:S38)</f>
        <v>5</v>
      </c>
      <c r="T39" s="100">
        <f>SUM(T34:T38)</f>
        <v>2</v>
      </c>
      <c r="U39" s="100">
        <f>SUM(U34:U38)</f>
        <v>0</v>
      </c>
      <c r="V39" s="100">
        <f>SUM(V34:V38)</f>
        <v>2</v>
      </c>
      <c r="W39" s="107">
        <f>GN_Q1_HALF1141825[[#This Row],[Dimes]]/GN_Q1_HALF1141825[[#This Row],[Turnovers]]</f>
        <v>2.5</v>
      </c>
    </row>
    <row r="41" spans="1:23" ht="16" thickBot="1" x14ac:dyDescent="0.25">
      <c r="A41" s="221" t="s">
        <v>147</v>
      </c>
      <c r="B41" s="222"/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</row>
    <row r="42" spans="1:23" ht="32" x14ac:dyDescent="0.2">
      <c r="A42" s="166" t="s">
        <v>208</v>
      </c>
      <c r="B42" s="11" t="s">
        <v>0</v>
      </c>
      <c r="C42" s="11" t="s">
        <v>1</v>
      </c>
      <c r="D42" s="11" t="s">
        <v>2</v>
      </c>
      <c r="E42" s="95" t="s">
        <v>3</v>
      </c>
      <c r="F42" s="96" t="s">
        <v>4</v>
      </c>
      <c r="G42" s="96" t="s">
        <v>5</v>
      </c>
      <c r="H42" s="96" t="s">
        <v>6</v>
      </c>
      <c r="I42" s="96" t="s">
        <v>7</v>
      </c>
      <c r="J42" s="96" t="s">
        <v>8</v>
      </c>
      <c r="K42" s="96" t="s">
        <v>9</v>
      </c>
      <c r="L42" s="96" t="s">
        <v>10</v>
      </c>
      <c r="M42" s="97" t="s">
        <v>11</v>
      </c>
      <c r="N42" s="11" t="s">
        <v>12</v>
      </c>
      <c r="O42" s="10" t="s">
        <v>13</v>
      </c>
      <c r="P42" s="11" t="s">
        <v>14</v>
      </c>
      <c r="Q42" s="11" t="s">
        <v>15</v>
      </c>
      <c r="R42" s="11" t="s">
        <v>16</v>
      </c>
      <c r="S42" s="10" t="s">
        <v>17</v>
      </c>
      <c r="T42" s="10" t="s">
        <v>18</v>
      </c>
      <c r="U42" s="10" t="s">
        <v>19</v>
      </c>
      <c r="V42" s="10" t="s">
        <v>20</v>
      </c>
      <c r="W42" s="10" t="s">
        <v>21</v>
      </c>
    </row>
    <row r="43" spans="1:23" x14ac:dyDescent="0.2">
      <c r="A43" s="13" t="s">
        <v>96</v>
      </c>
      <c r="B43" s="90">
        <f>LITI_Q1_HALF1131932[[#This Row],[2PT FGM]]+LITI_Q1_HALF1131932[[#This Row],[3PT FGM]]</f>
        <v>0</v>
      </c>
      <c r="C43" s="90">
        <f>LITI_Q1_HALF1131932[[#This Row],[2PT FGA]]+LITI_Q1_HALF1131932[[#This Row],[3PT FGA]]</f>
        <v>1</v>
      </c>
      <c r="D43" s="91">
        <f>LITI_Q1_HALF1131932[[#This Row],[Total FGM]]/LITI_Q1_HALF1131932[[#This Row],[Total FGA]]</f>
        <v>0</v>
      </c>
      <c r="E43" s="98">
        <v>0</v>
      </c>
      <c r="F43" s="19">
        <v>1</v>
      </c>
      <c r="G43" s="91">
        <f>LITI_Q1_HALF1131932[[#This Row],[2PT FGM]]/LITI_Q1_HALF1131932[[#This Row],[2PT FGA]]</f>
        <v>0</v>
      </c>
      <c r="H43" s="19">
        <v>0</v>
      </c>
      <c r="I43" s="19">
        <v>0</v>
      </c>
      <c r="J43" s="91" t="e">
        <f>LITI_Q1_HALF1131932[[#This Row],[3PT FGM]]/LITI_Q1_HALF1131932[[#This Row],[3PT FGA]]</f>
        <v>#DIV/0!</v>
      </c>
      <c r="K43" s="19">
        <v>2</v>
      </c>
      <c r="L43" s="19">
        <v>2</v>
      </c>
      <c r="M43" s="99">
        <f>LITI_Q1_HALF1131932[[#This Row],[FTM]]/LITI_Q1_HALF1131932[[#This Row],[FTA]]</f>
        <v>1</v>
      </c>
      <c r="N43" s="19">
        <f>SUM(LITI_Q1_HALF1131932[[#This Row],[2PT FGM]]*2,LITI_Q1_HALF1131932[[#This Row],[3PT FGM]]*3,LITI_Q1_HALF1131932[[#This Row],[FTM]])</f>
        <v>2</v>
      </c>
      <c r="O43" s="19">
        <v>0</v>
      </c>
      <c r="P43" s="19">
        <v>2</v>
      </c>
      <c r="Q43" s="19">
        <v>1</v>
      </c>
      <c r="R43" s="19">
        <f>LITI_Q1_HALF1131932[[#This Row],[Off. Boards]]+LITI_Q1_HALF1131932[[#This Row],[Def. Boards]]</f>
        <v>3</v>
      </c>
      <c r="S43" s="19">
        <v>2</v>
      </c>
      <c r="T43" s="19">
        <v>2</v>
      </c>
      <c r="U43" s="19">
        <v>1</v>
      </c>
      <c r="V43" s="19">
        <v>2</v>
      </c>
      <c r="W43" s="92">
        <f>LITI_Q1_HALF1131932[[#This Row],[Dimes]]/LITI_Q1_HALF1131932[[#This Row],[Turnovers]]</f>
        <v>1</v>
      </c>
    </row>
    <row r="44" spans="1:23" x14ac:dyDescent="0.2">
      <c r="A44" s="13" t="s">
        <v>207</v>
      </c>
      <c r="B44" s="90">
        <f>LITI_Q1_HALF1131932[[#This Row],[2PT FGM]]+LITI_Q1_HALF1131932[[#This Row],[3PT FGM]]</f>
        <v>2</v>
      </c>
      <c r="C44" s="90">
        <f>LITI_Q1_HALF1131932[[#This Row],[2PT FGA]]+LITI_Q1_HALF1131932[[#This Row],[3PT FGA]]</f>
        <v>4</v>
      </c>
      <c r="D44" s="91">
        <f>LITI_Q1_HALF1131932[[#This Row],[Total FGM]]/LITI_Q1_HALF1131932[[#This Row],[Total FGA]]</f>
        <v>0.5</v>
      </c>
      <c r="E44" s="98">
        <v>0</v>
      </c>
      <c r="F44" s="19">
        <v>2</v>
      </c>
      <c r="G44" s="91">
        <f>LITI_Q1_HALF1131932[[#This Row],[2PT FGM]]/LITI_Q1_HALF1131932[[#This Row],[2PT FGA]]</f>
        <v>0</v>
      </c>
      <c r="H44" s="19">
        <v>2</v>
      </c>
      <c r="I44" s="19">
        <v>2</v>
      </c>
      <c r="J44" s="91">
        <f>LITI_Q1_HALF1131932[[#This Row],[3PT FGM]]/LITI_Q1_HALF1131932[[#This Row],[3PT FGA]]</f>
        <v>1</v>
      </c>
      <c r="K44" s="19">
        <v>0</v>
      </c>
      <c r="L44" s="19">
        <v>0</v>
      </c>
      <c r="M44" s="99" t="e">
        <f>LITI_Q1_HALF1131932[[#This Row],[FTM]]/LITI_Q1_HALF1131932[[#This Row],[FTA]]</f>
        <v>#DIV/0!</v>
      </c>
      <c r="N44" s="19">
        <f>SUM(LITI_Q1_HALF1131932[[#This Row],[2PT FGM]]*2,LITI_Q1_HALF1131932[[#This Row],[3PT FGM]]*3,LITI_Q1_HALF1131932[[#This Row],[FTM]])</f>
        <v>6</v>
      </c>
      <c r="O44" s="19">
        <v>0</v>
      </c>
      <c r="P44" s="19">
        <v>4</v>
      </c>
      <c r="Q44" s="19">
        <v>1</v>
      </c>
      <c r="R44" s="19">
        <f>LITI_Q1_HALF1131932[[#This Row],[Off. Boards]]+LITI_Q1_HALF1131932[[#This Row],[Def. Boards]]</f>
        <v>5</v>
      </c>
      <c r="S44" s="19">
        <v>0</v>
      </c>
      <c r="T44" s="19">
        <v>0</v>
      </c>
      <c r="U44" s="19">
        <v>0</v>
      </c>
      <c r="V44" s="19">
        <v>3</v>
      </c>
      <c r="W44" s="92">
        <f>LITI_Q1_HALF1131932[[#This Row],[Dimes]]/LITI_Q1_HALF1131932[[#This Row],[Turnovers]]</f>
        <v>0</v>
      </c>
    </row>
    <row r="45" spans="1:23" x14ac:dyDescent="0.2">
      <c r="A45" s="13" t="s">
        <v>88</v>
      </c>
      <c r="B45" s="90">
        <f>LITI_Q1_HALF1131932[[#This Row],[2PT FGM]]+LITI_Q1_HALF1131932[[#This Row],[3PT FGM]]</f>
        <v>1</v>
      </c>
      <c r="C45" s="90">
        <f>LITI_Q1_HALF1131932[[#This Row],[2PT FGA]]+LITI_Q1_HALF1131932[[#This Row],[3PT FGA]]</f>
        <v>5</v>
      </c>
      <c r="D45" s="91">
        <f>LITI_Q1_HALF1131932[[#This Row],[Total FGM]]/LITI_Q1_HALF1131932[[#This Row],[Total FGA]]</f>
        <v>0.2</v>
      </c>
      <c r="E45" s="98">
        <v>1</v>
      </c>
      <c r="F45" s="19">
        <v>2</v>
      </c>
      <c r="G45" s="91">
        <f>LITI_Q1_HALF1131932[[#This Row],[2PT FGM]]/LITI_Q1_HALF1131932[[#This Row],[2PT FGA]]</f>
        <v>0.5</v>
      </c>
      <c r="H45" s="19">
        <v>0</v>
      </c>
      <c r="I45" s="19">
        <v>3</v>
      </c>
      <c r="J45" s="91">
        <f>LITI_Q1_HALF1131932[[#This Row],[3PT FGM]]/LITI_Q1_HALF1131932[[#This Row],[3PT FGA]]</f>
        <v>0</v>
      </c>
      <c r="K45" s="19">
        <v>0</v>
      </c>
      <c r="L45" s="19">
        <v>0</v>
      </c>
      <c r="M45" s="99" t="e">
        <f>LITI_Q1_HALF1131932[[#This Row],[FTM]]/LITI_Q1_HALF1131932[[#This Row],[FTA]]</f>
        <v>#DIV/0!</v>
      </c>
      <c r="N45" s="19">
        <f>SUM(LITI_Q1_HALF1131932[[#This Row],[2PT FGM]]*2,LITI_Q1_HALF1131932[[#This Row],[3PT FGM]]*3,LITI_Q1_HALF1131932[[#This Row],[FTM]])</f>
        <v>2</v>
      </c>
      <c r="O45" s="19">
        <v>0</v>
      </c>
      <c r="P45" s="19">
        <v>2</v>
      </c>
      <c r="Q45" s="19">
        <v>0</v>
      </c>
      <c r="R45" s="19">
        <f>LITI_Q1_HALF1131932[[#This Row],[Off. Boards]]+LITI_Q1_HALF1131932[[#This Row],[Def. Boards]]</f>
        <v>2</v>
      </c>
      <c r="S45" s="19">
        <v>2</v>
      </c>
      <c r="T45" s="19">
        <v>0</v>
      </c>
      <c r="U45" s="19">
        <v>0</v>
      </c>
      <c r="V45" s="19">
        <v>1</v>
      </c>
      <c r="W45" s="92">
        <f>LITI_Q1_HALF1131932[[#This Row],[Dimes]]/LITI_Q1_HALF1131932[[#This Row],[Turnovers]]</f>
        <v>2</v>
      </c>
    </row>
    <row r="46" spans="1:23" x14ac:dyDescent="0.2">
      <c r="A46" s="13" t="s">
        <v>98</v>
      </c>
      <c r="B46" s="90">
        <f>LITI_Q1_HALF1131932[[#This Row],[2PT FGM]]+LITI_Q1_HALF1131932[[#This Row],[3PT FGM]]</f>
        <v>1</v>
      </c>
      <c r="C46" s="90">
        <f>LITI_Q1_HALF1131932[[#This Row],[2PT FGA]]+LITI_Q1_HALF1131932[[#This Row],[3PT FGA]]</f>
        <v>3</v>
      </c>
      <c r="D46" s="91">
        <f>LITI_Q1_HALF1131932[[#This Row],[Total FGM]]/LITI_Q1_HALF1131932[[#This Row],[Total FGA]]</f>
        <v>0.33333333333333331</v>
      </c>
      <c r="E46" s="98">
        <v>1</v>
      </c>
      <c r="F46" s="19">
        <v>3</v>
      </c>
      <c r="G46" s="91">
        <f>LITI_Q1_HALF1131932[[#This Row],[2PT FGM]]/LITI_Q1_HALF1131932[[#This Row],[2PT FGA]]</f>
        <v>0.33333333333333331</v>
      </c>
      <c r="H46" s="19">
        <v>0</v>
      </c>
      <c r="I46" s="19">
        <v>0</v>
      </c>
      <c r="J46" s="91" t="e">
        <f>LITI_Q1_HALF1131932[[#This Row],[3PT FGM]]/LITI_Q1_HALF1131932[[#This Row],[3PT FGA]]</f>
        <v>#DIV/0!</v>
      </c>
      <c r="K46" s="19">
        <v>0</v>
      </c>
      <c r="L46" s="19">
        <v>0</v>
      </c>
      <c r="M46" s="99" t="e">
        <f>LITI_Q1_HALF1131932[[#This Row],[FTM]]/LITI_Q1_HALF1131932[[#This Row],[FTA]]</f>
        <v>#DIV/0!</v>
      </c>
      <c r="N46" s="19">
        <f>SUM(LITI_Q1_HALF1131932[[#This Row],[2PT FGM]]*2,LITI_Q1_HALF1131932[[#This Row],[3PT FGM]]*3,LITI_Q1_HALF1131932[[#This Row],[FTM]])</f>
        <v>2</v>
      </c>
      <c r="O46" s="19">
        <v>0</v>
      </c>
      <c r="P46" s="19">
        <v>1</v>
      </c>
      <c r="Q46" s="19">
        <v>0</v>
      </c>
      <c r="R46" s="19">
        <f>LITI_Q1_HALF1131932[[#This Row],[Off. Boards]]+LITI_Q1_HALF1131932[[#This Row],[Def. Boards]]</f>
        <v>1</v>
      </c>
      <c r="S46" s="19">
        <v>1</v>
      </c>
      <c r="T46" s="19">
        <v>0</v>
      </c>
      <c r="U46" s="19">
        <v>0</v>
      </c>
      <c r="V46" s="19">
        <v>0</v>
      </c>
      <c r="W46" s="92" t="e">
        <f>LITI_Q1_HALF1131932[[#This Row],[Dimes]]/LITI_Q1_HALF1131932[[#This Row],[Turnovers]]</f>
        <v>#DIV/0!</v>
      </c>
    </row>
    <row r="47" spans="1:23" x14ac:dyDescent="0.2">
      <c r="A47" s="13" t="s">
        <v>83</v>
      </c>
      <c r="B47" s="90">
        <f>LITI_Q1_HALF1131932[[#This Row],[2PT FGM]]+LITI_Q1_HALF1131932[[#This Row],[3PT FGM]]</f>
        <v>2</v>
      </c>
      <c r="C47" s="90">
        <f>LITI_Q1_HALF1131932[[#This Row],[2PT FGA]]+LITI_Q1_HALF1131932[[#This Row],[3PT FGA]]</f>
        <v>3</v>
      </c>
      <c r="D47" s="91">
        <f>LITI_Q1_HALF1131932[[#This Row],[Total FGM]]/LITI_Q1_HALF1131932[[#This Row],[Total FGA]]</f>
        <v>0.66666666666666663</v>
      </c>
      <c r="E47" s="98">
        <v>2</v>
      </c>
      <c r="F47" s="19">
        <v>2</v>
      </c>
      <c r="G47" s="91">
        <f>LITI_Q1_HALF1131932[[#This Row],[2PT FGM]]/LITI_Q1_HALF1131932[[#This Row],[2PT FGA]]</f>
        <v>1</v>
      </c>
      <c r="H47" s="19">
        <v>0</v>
      </c>
      <c r="I47" s="19">
        <v>1</v>
      </c>
      <c r="J47" s="91">
        <f>LITI_Q1_HALF1131932[[#This Row],[3PT FGM]]/LITI_Q1_HALF1131932[[#This Row],[3PT FGA]]</f>
        <v>0</v>
      </c>
      <c r="K47" s="19">
        <v>0</v>
      </c>
      <c r="L47" s="19">
        <v>0</v>
      </c>
      <c r="M47" s="99" t="e">
        <f>LITI_Q1_HALF1131932[[#This Row],[FTM]]/LITI_Q1_HALF1131932[[#This Row],[FTA]]</f>
        <v>#DIV/0!</v>
      </c>
      <c r="N47" s="19">
        <f>SUM(LITI_Q1_HALF1131932[[#This Row],[2PT FGM]]*2,LITI_Q1_HALF1131932[[#This Row],[3PT FGM]]*3,LITI_Q1_HALF1131932[[#This Row],[FTM]])</f>
        <v>4</v>
      </c>
      <c r="O47" s="19">
        <v>0</v>
      </c>
      <c r="P47" s="19">
        <v>0</v>
      </c>
      <c r="Q47" s="19">
        <v>0</v>
      </c>
      <c r="R47" s="19">
        <f>LITI_Q1_HALF1131932[[#This Row],[Off. Boards]]+LITI_Q1_HALF1131932[[#This Row],[Def. Boards]]</f>
        <v>0</v>
      </c>
      <c r="S47" s="19">
        <v>0</v>
      </c>
      <c r="T47" s="19">
        <v>0</v>
      </c>
      <c r="U47" s="19">
        <v>0</v>
      </c>
      <c r="V47" s="19">
        <v>0</v>
      </c>
      <c r="W47" s="92" t="e">
        <f>LITI_Q1_HALF1131932[[#This Row],[Dimes]]/LITI_Q1_HALF1131932[[#This Row],[Turnovers]]</f>
        <v>#DIV/0!</v>
      </c>
    </row>
    <row r="48" spans="1:23" ht="16" thickBot="1" x14ac:dyDescent="0.25">
      <c r="A48" s="82" t="s">
        <v>76</v>
      </c>
      <c r="B48" s="100">
        <f>SUM(B43:B47)</f>
        <v>6</v>
      </c>
      <c r="C48" s="100">
        <f>SUM(C43:C47)</f>
        <v>16</v>
      </c>
      <c r="D48" s="101">
        <f>LITI_Q1_HALF1131932[[#This Row],[Total FGM]]/LITI_Q1_HALF1131932[[#This Row],[Total FGA]]</f>
        <v>0.375</v>
      </c>
      <c r="E48" s="102">
        <f>SUM(E43:E47)</f>
        <v>4</v>
      </c>
      <c r="F48" s="103">
        <f>SUM(F43:F47)</f>
        <v>10</v>
      </c>
      <c r="G48" s="108">
        <f>LITI_Q1_HALF1131932[[#This Row],[2PT FGM]]/LITI_Q1_HALF1131932[[#This Row],[2PT FGA]]</f>
        <v>0.4</v>
      </c>
      <c r="H48" s="103">
        <f>SUM(H43:H47)</f>
        <v>2</v>
      </c>
      <c r="I48" s="103">
        <f>SUM(I43:I47)</f>
        <v>6</v>
      </c>
      <c r="J48" s="104">
        <f>LITI_Q1_HALF1131932[[#This Row],[3PT FGM]]/LITI_Q1_HALF1131932[[#This Row],[3PT FGA]]</f>
        <v>0.33333333333333331</v>
      </c>
      <c r="K48" s="103">
        <f>SUM(K43:K47)</f>
        <v>2</v>
      </c>
      <c r="L48" s="103">
        <f>SUM(L43:L47)</f>
        <v>2</v>
      </c>
      <c r="M48" s="105">
        <f>LITI_Q1_HALF1131932[[#This Row],[FTM]]/LITI_Q1_HALF1131932[[#This Row],[FTA]]</f>
        <v>1</v>
      </c>
      <c r="N48" s="62">
        <f>SUM(LITI_Q1_HALF1131932[[#This Row],[2PT FGM]]*2,LITI_Q1_HALF1131932[[#This Row],[3PT FGM]]*3,LITI_Q1_HALF1131932[[#This Row],[FTM]])</f>
        <v>16</v>
      </c>
      <c r="O48" s="106">
        <f>SUM(O43:O47)</f>
        <v>0</v>
      </c>
      <c r="P48" s="106">
        <f t="shared" ref="P48:V48" si="2">SUM(P43:P47)</f>
        <v>9</v>
      </c>
      <c r="Q48" s="106">
        <f t="shared" si="2"/>
        <v>2</v>
      </c>
      <c r="R48" s="106">
        <f t="shared" si="2"/>
        <v>11</v>
      </c>
      <c r="S48" s="106">
        <f t="shared" si="2"/>
        <v>5</v>
      </c>
      <c r="T48" s="106">
        <f t="shared" si="2"/>
        <v>2</v>
      </c>
      <c r="U48" s="106">
        <f t="shared" si="2"/>
        <v>1</v>
      </c>
      <c r="V48" s="106">
        <f t="shared" si="2"/>
        <v>6</v>
      </c>
      <c r="W48" s="107">
        <f>LITI_Q1_HALF1131932[[#This Row],[Dimes]]/LITI_Q1_HALF1131932[[#This Row],[Turnovers]]</f>
        <v>0.83333333333333337</v>
      </c>
    </row>
    <row r="50" spans="1:23" ht="16" thickBot="1" x14ac:dyDescent="0.25">
      <c r="A50" s="223" t="s">
        <v>147</v>
      </c>
      <c r="B50" s="224"/>
      <c r="C50" s="224"/>
      <c r="D50" s="224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</row>
    <row r="51" spans="1:23" ht="32" x14ac:dyDescent="0.2">
      <c r="A51" s="166" t="s">
        <v>209</v>
      </c>
      <c r="B51" s="11" t="s">
        <v>0</v>
      </c>
      <c r="C51" s="11" t="s">
        <v>1</v>
      </c>
      <c r="D51" s="11" t="s">
        <v>2</v>
      </c>
      <c r="E51" s="95" t="s">
        <v>3</v>
      </c>
      <c r="F51" s="96" t="s">
        <v>4</v>
      </c>
      <c r="G51" s="96" t="s">
        <v>5</v>
      </c>
      <c r="H51" s="96" t="s">
        <v>6</v>
      </c>
      <c r="I51" s="96" t="s">
        <v>7</v>
      </c>
      <c r="J51" s="96" t="s">
        <v>8</v>
      </c>
      <c r="K51" s="96" t="s">
        <v>9</v>
      </c>
      <c r="L51" s="96" t="s">
        <v>10</v>
      </c>
      <c r="M51" s="97" t="s">
        <v>11</v>
      </c>
      <c r="N51" s="11" t="s">
        <v>12</v>
      </c>
      <c r="O51" s="10" t="s">
        <v>13</v>
      </c>
      <c r="P51" s="11" t="s">
        <v>14</v>
      </c>
      <c r="Q51" s="11" t="s">
        <v>15</v>
      </c>
      <c r="R51" s="11" t="s">
        <v>16</v>
      </c>
      <c r="S51" s="10" t="s">
        <v>17</v>
      </c>
      <c r="T51" s="10" t="s">
        <v>18</v>
      </c>
      <c r="U51" s="10" t="s">
        <v>19</v>
      </c>
      <c r="V51" s="10" t="s">
        <v>20</v>
      </c>
      <c r="W51" s="10" t="s">
        <v>21</v>
      </c>
    </row>
    <row r="52" spans="1:23" x14ac:dyDescent="0.2">
      <c r="A52" t="s">
        <v>24</v>
      </c>
      <c r="B52" s="90">
        <f>GN_Q1_HALF1142034[[#This Row],[2PT FGM]]+GN_Q1_HALF1142034[[#This Row],[3PT FGM]]</f>
        <v>2</v>
      </c>
      <c r="C52" s="90">
        <f>GN_Q1_HALF1142034[[#This Row],[2PT FGA]]+GN_Q1_HALF1142034[[#This Row],[3PT FGA]]</f>
        <v>4</v>
      </c>
      <c r="D52" s="91">
        <f>GN_Q1_HALF1142034[[#This Row],[Total FGM]]/GN_Q1_HALF1142034[[#This Row],[Total FGA]]</f>
        <v>0.5</v>
      </c>
      <c r="E52" s="98">
        <v>2</v>
      </c>
      <c r="F52" s="19">
        <v>2</v>
      </c>
      <c r="G52" s="91">
        <f>GN_Q1_HALF1142034[[#This Row],[2PT FGM]]/GN_Q1_HALF1142034[[#This Row],[2PT FGA]]</f>
        <v>1</v>
      </c>
      <c r="H52" s="19">
        <v>0</v>
      </c>
      <c r="I52" s="19">
        <v>2</v>
      </c>
      <c r="J52" s="91">
        <f>GN_Q1_HALF1142034[[#This Row],[3PT FGM]]/GN_Q1_HALF1142034[[#This Row],[3PT FGA]]</f>
        <v>0</v>
      </c>
      <c r="K52" s="19">
        <v>0</v>
      </c>
      <c r="L52" s="19">
        <v>0</v>
      </c>
      <c r="M52" s="99" t="e">
        <f>GN_Q1_HALF1142034[[#This Row],[FTM]]/GN_Q1_HALF1142034[[#This Row],[FTA]]</f>
        <v>#DIV/0!</v>
      </c>
      <c r="N52" s="19">
        <f>SUM(GN_Q1_HALF1142034[[#This Row],[2PT FGM]]*2,GN_Q1_HALF1142034[[#This Row],[3PT FGM]]*3,GN_Q1_HALF1142034[[#This Row],[FTM]])</f>
        <v>4</v>
      </c>
      <c r="O52" s="19">
        <v>1</v>
      </c>
      <c r="P52" s="19">
        <v>1</v>
      </c>
      <c r="Q52" s="19">
        <v>0</v>
      </c>
      <c r="R52" s="19">
        <f>GN_Q1_HALF1142034[[#This Row],[Off. Boards]]+GN_Q1_HALF1142034[[#This Row],[Def. Boards]]</f>
        <v>1</v>
      </c>
      <c r="S52" s="19">
        <v>1</v>
      </c>
      <c r="T52" s="19">
        <v>1</v>
      </c>
      <c r="U52" s="19">
        <v>0</v>
      </c>
      <c r="V52" s="19">
        <v>0</v>
      </c>
      <c r="W52" s="92" t="e">
        <f>GN_Q1_HALF1142034[[#This Row],[Dimes]]/GN_Q1_HALF1142034[[#This Row],[Turnovers]]</f>
        <v>#DIV/0!</v>
      </c>
    </row>
    <row r="53" spans="1:23" x14ac:dyDescent="0.2">
      <c r="A53" t="s">
        <v>135</v>
      </c>
      <c r="B53" s="90">
        <f>GN_Q1_HALF1142034[[#This Row],[2PT FGM]]+GN_Q1_HALF1142034[[#This Row],[3PT FGM]]</f>
        <v>1</v>
      </c>
      <c r="C53" s="90">
        <f>GN_Q1_HALF1142034[[#This Row],[2PT FGA]]+GN_Q1_HALF1142034[[#This Row],[3PT FGA]]</f>
        <v>1</v>
      </c>
      <c r="D53" s="91">
        <f>GN_Q1_HALF1142034[[#This Row],[Total FGM]]/GN_Q1_HALF1142034[[#This Row],[Total FGA]]</f>
        <v>1</v>
      </c>
      <c r="E53" s="98">
        <v>1</v>
      </c>
      <c r="F53" s="19">
        <v>1</v>
      </c>
      <c r="G53" s="91">
        <f>GN_Q1_HALF1142034[[#This Row],[2PT FGM]]/GN_Q1_HALF1142034[[#This Row],[2PT FGA]]</f>
        <v>1</v>
      </c>
      <c r="H53" s="19">
        <v>0</v>
      </c>
      <c r="I53" s="19">
        <v>0</v>
      </c>
      <c r="J53" s="91" t="e">
        <f>GN_Q1_HALF1142034[[#This Row],[3PT FGM]]/GN_Q1_HALF1142034[[#This Row],[3PT FGA]]</f>
        <v>#DIV/0!</v>
      </c>
      <c r="K53" s="19">
        <v>0</v>
      </c>
      <c r="L53" s="19">
        <v>0</v>
      </c>
      <c r="M53" s="99" t="e">
        <f>GN_Q1_HALF1142034[[#This Row],[FTM]]/GN_Q1_HALF1142034[[#This Row],[FTA]]</f>
        <v>#DIV/0!</v>
      </c>
      <c r="N53" s="19">
        <f>SUM(GN_Q1_HALF1142034[[#This Row],[2PT FGM]]*2,GN_Q1_HALF1142034[[#This Row],[3PT FGM]]*3,GN_Q1_HALF1142034[[#This Row],[FTM]])</f>
        <v>2</v>
      </c>
      <c r="O53" s="19">
        <v>1</v>
      </c>
      <c r="P53" s="19">
        <v>1</v>
      </c>
      <c r="Q53" s="19">
        <v>0</v>
      </c>
      <c r="R53" s="19">
        <f>GN_Q1_HALF1142034[[#This Row],[Off. Boards]]+GN_Q1_HALF1142034[[#This Row],[Def. Boards]]</f>
        <v>1</v>
      </c>
      <c r="S53" s="19">
        <v>0</v>
      </c>
      <c r="T53" s="19">
        <v>0</v>
      </c>
      <c r="U53" s="19">
        <v>1</v>
      </c>
      <c r="V53" s="19">
        <v>1</v>
      </c>
      <c r="W53" s="92">
        <f>GN_Q1_HALF1142034[[#This Row],[Dimes]]/GN_Q1_HALF1142034[[#This Row],[Turnovers]]</f>
        <v>0</v>
      </c>
    </row>
    <row r="54" spans="1:23" x14ac:dyDescent="0.2">
      <c r="A54" t="s">
        <v>103</v>
      </c>
      <c r="B54" s="90">
        <f>GN_Q1_HALF1142034[[#This Row],[2PT FGM]]+GN_Q1_HALF1142034[[#This Row],[3PT FGM]]</f>
        <v>0</v>
      </c>
      <c r="C54" s="90">
        <f>GN_Q1_HALF1142034[[#This Row],[2PT FGA]]+GN_Q1_HALF1142034[[#This Row],[3PT FGA]]</f>
        <v>5</v>
      </c>
      <c r="D54" s="91">
        <f>GN_Q1_HALF1142034[[#This Row],[Total FGM]]/GN_Q1_HALF1142034[[#This Row],[Total FGA]]</f>
        <v>0</v>
      </c>
      <c r="E54" s="98">
        <v>0</v>
      </c>
      <c r="F54" s="19">
        <v>1</v>
      </c>
      <c r="G54" s="91">
        <f>GN_Q1_HALF1142034[[#This Row],[2PT FGM]]/GN_Q1_HALF1142034[[#This Row],[2PT FGA]]</f>
        <v>0</v>
      </c>
      <c r="H54" s="19">
        <v>0</v>
      </c>
      <c r="I54" s="19">
        <v>4</v>
      </c>
      <c r="J54" s="91">
        <f>GN_Q1_HALF1142034[[#This Row],[3PT FGM]]/GN_Q1_HALF1142034[[#This Row],[3PT FGA]]</f>
        <v>0</v>
      </c>
      <c r="K54" s="19">
        <v>0</v>
      </c>
      <c r="L54" s="19">
        <v>0</v>
      </c>
      <c r="M54" s="99" t="e">
        <f>GN_Q1_HALF1142034[[#This Row],[FTM]]/GN_Q1_HALF1142034[[#This Row],[FTA]]</f>
        <v>#DIV/0!</v>
      </c>
      <c r="N54" s="19">
        <f>SUM(GN_Q1_HALF1142034[[#This Row],[2PT FGM]]*2,GN_Q1_HALF1142034[[#This Row],[3PT FGM]]*3,GN_Q1_HALF1142034[[#This Row],[FTM]])</f>
        <v>0</v>
      </c>
      <c r="O54" s="19">
        <v>0</v>
      </c>
      <c r="P54" s="19">
        <v>0</v>
      </c>
      <c r="Q54" s="19">
        <v>2</v>
      </c>
      <c r="R54" s="19">
        <f>GN_Q1_HALF1142034[[#This Row],[Off. Boards]]+GN_Q1_HALF1142034[[#This Row],[Def. Boards]]</f>
        <v>2</v>
      </c>
      <c r="S54" s="19">
        <v>1</v>
      </c>
      <c r="T54" s="19">
        <v>2</v>
      </c>
      <c r="U54" s="19">
        <v>0</v>
      </c>
      <c r="V54" s="19">
        <v>2</v>
      </c>
      <c r="W54" s="92">
        <f>GN_Q1_HALF1142034[[#This Row],[Dimes]]/GN_Q1_HALF1142034[[#This Row],[Turnovers]]</f>
        <v>0.5</v>
      </c>
    </row>
    <row r="55" spans="1:23" x14ac:dyDescent="0.2">
      <c r="A55" t="s">
        <v>100</v>
      </c>
      <c r="B55" s="90">
        <f>GN_Q1_HALF1142034[[#This Row],[2PT FGM]]+GN_Q1_HALF1142034[[#This Row],[3PT FGM]]</f>
        <v>2</v>
      </c>
      <c r="C55" s="90">
        <f>GN_Q1_HALF1142034[[#This Row],[2PT FGA]]+GN_Q1_HALF1142034[[#This Row],[3PT FGA]]</f>
        <v>7</v>
      </c>
      <c r="D55" s="91">
        <f>GN_Q1_HALF1142034[[#This Row],[Total FGM]]/GN_Q1_HALF1142034[[#This Row],[Total FGA]]</f>
        <v>0.2857142857142857</v>
      </c>
      <c r="E55" s="98">
        <v>0</v>
      </c>
      <c r="F55" s="19">
        <v>1</v>
      </c>
      <c r="G55" s="91">
        <f>GN_Q1_HALF1142034[[#This Row],[2PT FGM]]/GN_Q1_HALF1142034[[#This Row],[2PT FGA]]</f>
        <v>0</v>
      </c>
      <c r="H55" s="19">
        <v>2</v>
      </c>
      <c r="I55" s="19">
        <v>6</v>
      </c>
      <c r="J55" s="91">
        <f>GN_Q1_HALF1142034[[#This Row],[3PT FGM]]/GN_Q1_HALF1142034[[#This Row],[3PT FGA]]</f>
        <v>0.33333333333333331</v>
      </c>
      <c r="K55" s="19">
        <v>0</v>
      </c>
      <c r="L55" s="19">
        <v>0</v>
      </c>
      <c r="M55" s="99" t="e">
        <f>GN_Q1_HALF1142034[[#This Row],[FTM]]/GN_Q1_HALF1142034[[#This Row],[FTA]]</f>
        <v>#DIV/0!</v>
      </c>
      <c r="N55" s="19">
        <f>SUM(GN_Q1_HALF1142034[[#This Row],[2PT FGM]]*2,GN_Q1_HALF1142034[[#This Row],[3PT FGM]]*3,GN_Q1_HALF1142034[[#This Row],[FTM]])</f>
        <v>6</v>
      </c>
      <c r="O55" s="19">
        <v>0</v>
      </c>
      <c r="P55" s="19">
        <v>1</v>
      </c>
      <c r="Q55" s="19">
        <v>1</v>
      </c>
      <c r="R55" s="19">
        <f>GN_Q1_HALF1142034[[#This Row],[Off. Boards]]+GN_Q1_HALF1142034[[#This Row],[Def. Boards]]</f>
        <v>2</v>
      </c>
      <c r="S55" s="19">
        <v>1</v>
      </c>
      <c r="T55" s="19">
        <v>1</v>
      </c>
      <c r="U55" s="19">
        <v>0</v>
      </c>
      <c r="V55" s="19">
        <v>0</v>
      </c>
      <c r="W55" s="92" t="e">
        <f>GN_Q1_HALF1142034[[#This Row],[Dimes]]/GN_Q1_HALF1142034[[#This Row],[Turnovers]]</f>
        <v>#DIV/0!</v>
      </c>
    </row>
    <row r="56" spans="1:23" x14ac:dyDescent="0.2">
      <c r="A56" t="s">
        <v>85</v>
      </c>
      <c r="B56" s="90">
        <f>GN_Q1_HALF1142034[[#This Row],[2PT FGM]]+GN_Q1_HALF1142034[[#This Row],[3PT FGM]]</f>
        <v>0</v>
      </c>
      <c r="C56" s="90">
        <f>GN_Q1_HALF1142034[[#This Row],[2PT FGA]]+GN_Q1_HALF1142034[[#This Row],[3PT FGA]]</f>
        <v>0</v>
      </c>
      <c r="D56" s="91" t="e">
        <f>GN_Q1_HALF1142034[[#This Row],[Total FGM]]/GN_Q1_HALF1142034[[#This Row],[Total FGA]]</f>
        <v>#DIV/0!</v>
      </c>
      <c r="E56" s="98">
        <v>0</v>
      </c>
      <c r="F56" s="19">
        <v>0</v>
      </c>
      <c r="G56" s="91" t="e">
        <f>GN_Q1_HALF1142034[[#This Row],[2PT FGM]]/GN_Q1_HALF1142034[[#This Row],[2PT FGA]]</f>
        <v>#DIV/0!</v>
      </c>
      <c r="H56" s="19">
        <v>0</v>
      </c>
      <c r="I56" s="19">
        <v>0</v>
      </c>
      <c r="J56" s="91" t="e">
        <f>GN_Q1_HALF1142034[[#This Row],[3PT FGM]]/GN_Q1_HALF1142034[[#This Row],[3PT FGA]]</f>
        <v>#DIV/0!</v>
      </c>
      <c r="K56" s="19">
        <v>0</v>
      </c>
      <c r="L56" s="19">
        <v>0</v>
      </c>
      <c r="M56" s="99" t="e">
        <f>GN_Q1_HALF1142034[[#This Row],[FTM]]/GN_Q1_HALF1142034[[#This Row],[FTA]]</f>
        <v>#DIV/0!</v>
      </c>
      <c r="N56" s="19">
        <f>SUM(GN_Q1_HALF1142034[[#This Row],[2PT FGM]]*2,GN_Q1_HALF1142034[[#This Row],[3PT FGM]]*3,GN_Q1_HALF1142034[[#This Row],[FTM]])</f>
        <v>0</v>
      </c>
      <c r="O56" s="19">
        <v>0</v>
      </c>
      <c r="P56" s="19">
        <v>0</v>
      </c>
      <c r="Q56" s="19">
        <v>0</v>
      </c>
      <c r="R56" s="19">
        <f>GN_Q1_HALF1142034[[#This Row],[Off. Boards]]+GN_Q1_HALF1142034[[#This Row],[Def. Boards]]</f>
        <v>0</v>
      </c>
      <c r="S56" s="19">
        <v>0</v>
      </c>
      <c r="T56" s="19">
        <v>0</v>
      </c>
      <c r="U56" s="19">
        <v>0</v>
      </c>
      <c r="V56" s="19">
        <v>0</v>
      </c>
      <c r="W56" s="92" t="e">
        <f>GN_Q1_HALF1142034[[#This Row],[Dimes]]/GN_Q1_HALF1142034[[#This Row],[Turnovers]]</f>
        <v>#DIV/0!</v>
      </c>
    </row>
    <row r="57" spans="1:23" ht="16" thickBot="1" x14ac:dyDescent="0.25">
      <c r="A57" s="82" t="s">
        <v>76</v>
      </c>
      <c r="B57" s="100">
        <f>SUM(B52:B56)</f>
        <v>5</v>
      </c>
      <c r="C57" s="100">
        <f>SUM(C52:C56)</f>
        <v>17</v>
      </c>
      <c r="D57" s="101">
        <f>GN_Q1_HALF1142034[[#This Row],[Total FGM]]/GN_Q1_HALF1142034[[#This Row],[Total FGA]]</f>
        <v>0.29411764705882354</v>
      </c>
      <c r="E57" s="102">
        <f>SUM(E52:E56)</f>
        <v>3</v>
      </c>
      <c r="F57" s="103">
        <f>SUM(F52:F56)</f>
        <v>5</v>
      </c>
      <c r="G57" s="104">
        <f>GN_Q1_HALF1142034[[#This Row],[2PT FGM]]/GN_Q1_HALF1142034[[#This Row],[2PT FGA]]</f>
        <v>0.6</v>
      </c>
      <c r="H57" s="103">
        <f>SUM(H52:H56)</f>
        <v>2</v>
      </c>
      <c r="I57" s="103">
        <f>SUM(I52:I56)</f>
        <v>12</v>
      </c>
      <c r="J57" s="109">
        <f>GN_Q1_HALF1142034[[#This Row],[3PT FGM]]/GN_Q1_HALF1142034[[#This Row],[3PT FGA]]</f>
        <v>0.16666666666666666</v>
      </c>
      <c r="K57" s="103">
        <f>SUM(K52:K56)</f>
        <v>0</v>
      </c>
      <c r="L57" s="103">
        <f>SUM(L52:L56)</f>
        <v>0</v>
      </c>
      <c r="M57" s="105" t="e">
        <f>GN_Q1_HALF1142034[[#This Row],[FTM]]/GN_Q1_HALF1142034[[#This Row],[FTA]]</f>
        <v>#DIV/0!</v>
      </c>
      <c r="N57" s="62">
        <f>SUM(GN_Q1_HALF1142034[[#This Row],[2PT FGM]]*2,GN_Q1_HALF1142034[[#This Row],[3PT FGM]]*3,GN_Q1_HALF1142034[[#This Row],[FTM]])</f>
        <v>12</v>
      </c>
      <c r="O57" s="100">
        <f>SUM(O52:O56)</f>
        <v>2</v>
      </c>
      <c r="P57" s="100">
        <f>SUM(P52:P56)</f>
        <v>3</v>
      </c>
      <c r="Q57" s="100">
        <f>SUM(Q52:Q56)</f>
        <v>3</v>
      </c>
      <c r="R57" s="106">
        <f>GN_Q1_HALF1142034[[#This Row],[Def. Boards]]+GN_Q1_HALF1142034[[#This Row],[Off. Boards]]</f>
        <v>6</v>
      </c>
      <c r="S57" s="100">
        <f>SUM(S52:S56)</f>
        <v>3</v>
      </c>
      <c r="T57" s="100">
        <f>SUM(T52:T56)</f>
        <v>4</v>
      </c>
      <c r="U57" s="100">
        <f>SUM(U52:U56)</f>
        <v>1</v>
      </c>
      <c r="V57" s="100">
        <f>SUM(V52:V56)</f>
        <v>3</v>
      </c>
      <c r="W57" s="107">
        <f>GN_Q1_HALF1142034[[#This Row],[Dimes]]/GN_Q1_HALF1142034[[#This Row],[Turnovers]]</f>
        <v>1</v>
      </c>
    </row>
  </sheetData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52F99-155B-43B5-8DEC-2ACF2C832BA2}">
  <dimension ref="A1:W57"/>
  <sheetViews>
    <sheetView showGridLines="0" workbookViewId="0">
      <selection activeCell="A18" sqref="A18"/>
    </sheetView>
  </sheetViews>
  <sheetFormatPr baseColWidth="10" defaultColWidth="8.83203125" defaultRowHeight="15" x14ac:dyDescent="0.2"/>
  <cols>
    <col min="1" max="1" width="21.1640625" bestFit="1" customWidth="1"/>
    <col min="2" max="2" width="10.5" bestFit="1" customWidth="1"/>
    <col min="3" max="3" width="16.5" bestFit="1" customWidth="1"/>
    <col min="5" max="5" width="13.5" bestFit="1" customWidth="1"/>
    <col min="6" max="6" width="12.83203125" bestFit="1" customWidth="1"/>
    <col min="7" max="7" width="13.1640625" bestFit="1" customWidth="1"/>
    <col min="8" max="8" width="13.5" bestFit="1" customWidth="1"/>
    <col min="9" max="9" width="12.83203125" bestFit="1" customWidth="1"/>
    <col min="10" max="10" width="13.1640625" bestFit="1" customWidth="1"/>
    <col min="16" max="16" width="11.5" bestFit="1" customWidth="1"/>
    <col min="18" max="18" width="11.5" bestFit="1" customWidth="1"/>
  </cols>
  <sheetData>
    <row r="1" spans="1:23" x14ac:dyDescent="0.2">
      <c r="B1" s="159"/>
      <c r="C1" s="86" t="s">
        <v>68</v>
      </c>
      <c r="D1" s="86" t="s">
        <v>134</v>
      </c>
      <c r="E1" s="86" t="s">
        <v>74</v>
      </c>
    </row>
    <row r="2" spans="1:23" ht="24" x14ac:dyDescent="0.2">
      <c r="A2" s="84" t="s">
        <v>66</v>
      </c>
      <c r="B2" s="85" t="s">
        <v>185</v>
      </c>
      <c r="C2" s="85" t="s">
        <v>209</v>
      </c>
      <c r="D2" s="85" t="s">
        <v>137</v>
      </c>
      <c r="E2" s="292" t="s">
        <v>208</v>
      </c>
      <c r="F2" s="292"/>
      <c r="H2" s="23"/>
    </row>
    <row r="3" spans="1:23" ht="24" x14ac:dyDescent="0.2">
      <c r="A3" s="84"/>
      <c r="B3" s="85" t="s">
        <v>151</v>
      </c>
      <c r="C3" s="85">
        <f>N11</f>
        <v>34</v>
      </c>
      <c r="D3" s="85"/>
      <c r="E3" s="85">
        <f>N20</f>
        <v>48</v>
      </c>
      <c r="H3" s="23"/>
    </row>
    <row r="4" spans="1:23" ht="16" thickBot="1" x14ac:dyDescent="0.25">
      <c r="A4" s="225" t="s">
        <v>262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</row>
    <row r="5" spans="1:23" ht="32" x14ac:dyDescent="0.2">
      <c r="A5" s="166" t="s">
        <v>208</v>
      </c>
      <c r="B5" s="11" t="s">
        <v>0</v>
      </c>
      <c r="C5" s="11" t="s">
        <v>1</v>
      </c>
      <c r="D5" s="11" t="s">
        <v>2</v>
      </c>
      <c r="E5" s="95" t="s">
        <v>3</v>
      </c>
      <c r="F5" s="96" t="s">
        <v>4</v>
      </c>
      <c r="G5" s="96" t="s">
        <v>5</v>
      </c>
      <c r="H5" s="96" t="s">
        <v>6</v>
      </c>
      <c r="I5" s="96" t="s">
        <v>7</v>
      </c>
      <c r="J5" s="96" t="s">
        <v>8</v>
      </c>
      <c r="K5" s="96" t="s">
        <v>9</v>
      </c>
      <c r="L5" s="96" t="s">
        <v>10</v>
      </c>
      <c r="M5" s="97" t="s">
        <v>11</v>
      </c>
      <c r="N5" s="11" t="s">
        <v>12</v>
      </c>
      <c r="O5" s="10" t="s">
        <v>13</v>
      </c>
      <c r="P5" s="11" t="s">
        <v>14</v>
      </c>
      <c r="Q5" s="11" t="s">
        <v>15</v>
      </c>
      <c r="R5" s="11" t="s">
        <v>16</v>
      </c>
      <c r="S5" s="10" t="s">
        <v>17</v>
      </c>
      <c r="T5" s="10" t="s">
        <v>18</v>
      </c>
      <c r="U5" s="10" t="s">
        <v>19</v>
      </c>
      <c r="V5" s="10" t="s">
        <v>20</v>
      </c>
      <c r="W5" s="10" t="s">
        <v>21</v>
      </c>
    </row>
    <row r="6" spans="1:23" x14ac:dyDescent="0.2">
      <c r="A6" s="13" t="s">
        <v>96</v>
      </c>
      <c r="B6" s="90">
        <f>LITI_Q1_HALF1132236[[#This Row],[2PT FGM]]+LITI_Q1_HALF1132236[[#This Row],[3PT FGM]]</f>
        <v>7</v>
      </c>
      <c r="C6" s="90">
        <f>LITI_Q1_HALF1132236[[#This Row],[2PT FGA]]+LITI_Q1_HALF1132236[[#This Row],[3PT FGA]]</f>
        <v>12</v>
      </c>
      <c r="D6" s="91">
        <f>LITI_Q1_HALF1132236[[#This Row],[Total FGM]]/LITI_Q1_HALF1132236[[#This Row],[Total FGA]]</f>
        <v>0.58333333333333337</v>
      </c>
      <c r="E6" s="142">
        <f>SUMIF($A$22:$A$59,$A$6,E22:E59)</f>
        <v>1</v>
      </c>
      <c r="F6" s="170">
        <f>SUMIF($A$22:$A$59,$A$6,F22:F59)</f>
        <v>2</v>
      </c>
      <c r="G6" s="91">
        <f>LITI_Q1_HALF1132236[[#This Row],[2PT FGM]]/LITI_Q1_HALF1132236[[#This Row],[2PT FGA]]</f>
        <v>0.5</v>
      </c>
      <c r="H6" s="247">
        <f>SUMIF($A$22:$A$59,$A$6,H22:H59)</f>
        <v>6</v>
      </c>
      <c r="I6" s="247">
        <f>SUMIF($A$22:$A$59,$A$6,I22:I59)</f>
        <v>10</v>
      </c>
      <c r="J6" s="91">
        <f>LITI_Q1_HALF1132236[[#This Row],[3PT FGM]]/LITI_Q1_HALF1132236[[#This Row],[3PT FGA]]</f>
        <v>0.6</v>
      </c>
      <c r="K6" s="170">
        <f>SUMIF($A$22:$A$59,$A$6,K22:K59)</f>
        <v>0</v>
      </c>
      <c r="L6" s="170">
        <f>SUMIF($A$22:$A$59,$A$6,L22:L59)</f>
        <v>0</v>
      </c>
      <c r="M6" s="99" t="e">
        <f>LITI_Q1_HALF1132236[[#This Row],[FTM]]/LITI_Q1_HALF1132236[[#This Row],[FTA]]</f>
        <v>#DIV/0!</v>
      </c>
      <c r="N6" s="19">
        <f>SUM(LITI_Q1_HALF1132236[[#This Row],[2PT FGM]]*2,LITI_Q1_HALF1132236[[#This Row],[3PT FGM]]*3,LITI_Q1_HALF1132236[[#This Row],[FTM]])</f>
        <v>20</v>
      </c>
      <c r="O6" s="170">
        <f>SUMIF($A$22:$A$59,$A$6,O22:O59)</f>
        <v>1</v>
      </c>
      <c r="P6" s="170">
        <f>SUMIF($A$22:$A$59,$A$6,P22:P59)</f>
        <v>3</v>
      </c>
      <c r="Q6" s="170">
        <f>SUMIF($A$22:$A$59,$A$6,Q22:Q59)</f>
        <v>1</v>
      </c>
      <c r="R6" s="19">
        <f>LITI_Q1_HALF1132236[[#This Row],[Off. Boards]]+LITI_Q1_HALF1132236[[#This Row],[Def. Boards]]</f>
        <v>4</v>
      </c>
      <c r="S6" s="170">
        <f>SUMIF($A$22:$A$59,$A$6,S22:S59)</f>
        <v>1</v>
      </c>
      <c r="T6" s="170">
        <f>SUMIF($A$22:$A$59,$A$6,T22:T59)</f>
        <v>1</v>
      </c>
      <c r="U6" s="170">
        <f>SUMIF($A$22:$A$59,$A$6,U22:U59)</f>
        <v>0</v>
      </c>
      <c r="V6" s="170">
        <f>SUMIF($A$22:$A$59,$A$6,V22:V59)</f>
        <v>1</v>
      </c>
      <c r="W6" s="92">
        <f>LITI_Q1_HALF1132236[[#This Row],[Dimes]]/LITI_Q1_HALF1132236[[#This Row],[Turnovers]]</f>
        <v>1</v>
      </c>
    </row>
    <row r="7" spans="1:23" x14ac:dyDescent="0.2">
      <c r="A7" s="13" t="s">
        <v>207</v>
      </c>
      <c r="B7" s="90">
        <f>LITI_Q1_HALF1132236[[#This Row],[2PT FGM]]+LITI_Q1_HALF1132236[[#This Row],[3PT FGM]]</f>
        <v>2</v>
      </c>
      <c r="C7" s="90">
        <f>LITI_Q1_HALF1132236[[#This Row],[2PT FGA]]+LITI_Q1_HALF1132236[[#This Row],[3PT FGA]]</f>
        <v>6</v>
      </c>
      <c r="D7" s="91">
        <f>LITI_Q1_HALF1132236[[#This Row],[Total FGM]]/LITI_Q1_HALF1132236[[#This Row],[Total FGA]]</f>
        <v>0.33333333333333331</v>
      </c>
      <c r="E7" s="142">
        <f>SUMIF($A$22:$A$59,$A$7,E22:E59)</f>
        <v>2</v>
      </c>
      <c r="F7" s="170">
        <f>SUMIF($A$22:$A$59,$A$7,F22:F59)</f>
        <v>3</v>
      </c>
      <c r="G7" s="91">
        <f>LITI_Q1_HALF1132236[[#This Row],[2PT FGM]]/LITI_Q1_HALF1132236[[#This Row],[2PT FGA]]</f>
        <v>0.66666666666666663</v>
      </c>
      <c r="H7" s="170">
        <f>SUMIF($A$22:$A$59,$A$7,H22:H59)</f>
        <v>0</v>
      </c>
      <c r="I7" s="170">
        <f>SUMIF($A$22:$A$59,$A$7,I22:I59)</f>
        <v>3</v>
      </c>
      <c r="J7" s="91">
        <f>LITI_Q1_HALF1132236[[#This Row],[3PT FGM]]/LITI_Q1_HALF1132236[[#This Row],[3PT FGA]]</f>
        <v>0</v>
      </c>
      <c r="K7" s="170">
        <f>SUMIF($A$22:$A$59,$A$7,K22:K59)</f>
        <v>0</v>
      </c>
      <c r="L7" s="170">
        <f>SUMIF($A$22:$A$59,$A$7,L22:L59)</f>
        <v>0</v>
      </c>
      <c r="M7" s="99" t="e">
        <f>LITI_Q1_HALF1132236[[#This Row],[FTM]]/LITI_Q1_HALF1132236[[#This Row],[FTA]]</f>
        <v>#DIV/0!</v>
      </c>
      <c r="N7" s="19">
        <f>SUM(LITI_Q1_HALF1132236[[#This Row],[2PT FGM]]*2,LITI_Q1_HALF1132236[[#This Row],[3PT FGM]]*3,LITI_Q1_HALF1132236[[#This Row],[FTM]])</f>
        <v>4</v>
      </c>
      <c r="O7" s="170">
        <f>SUMIF($A$22:$A$59,$A$7,O22:O59)</f>
        <v>1</v>
      </c>
      <c r="P7" s="170">
        <f>SUMIF($A$22:$A$59,$A$7,P22:P59)</f>
        <v>2</v>
      </c>
      <c r="Q7" s="247">
        <f>SUMIF($A$22:$A$59,$A$7,Q22:Q59)</f>
        <v>3</v>
      </c>
      <c r="R7" s="19">
        <f>LITI_Q1_HALF1132236[[#This Row],[Off. Boards]]+LITI_Q1_HALF1132236[[#This Row],[Def. Boards]]</f>
        <v>5</v>
      </c>
      <c r="S7" s="170">
        <f>SUMIF($A$22:$A$59,$A$7,S22:S59)</f>
        <v>1</v>
      </c>
      <c r="T7" s="247">
        <f>SUMIF($A$22:$A$59,$A$7,T22:T59)</f>
        <v>2</v>
      </c>
      <c r="U7" s="247">
        <f>SUMIF($A$22:$A$59,$A$7,U22:U59)</f>
        <v>1</v>
      </c>
      <c r="V7" s="170">
        <f>SUMIF($A$22:$A$59,$A$7,V22:V59)</f>
        <v>0</v>
      </c>
      <c r="W7" s="92" t="e">
        <f>LITI_Q1_HALF1132236[[#This Row],[Dimes]]/LITI_Q1_HALF1132236[[#This Row],[Turnovers]]</f>
        <v>#DIV/0!</v>
      </c>
    </row>
    <row r="8" spans="1:23" x14ac:dyDescent="0.2">
      <c r="A8" s="13" t="s">
        <v>88</v>
      </c>
      <c r="B8" s="90">
        <f>LITI_Q1_HALF1132236[[#This Row],[2PT FGM]]+LITI_Q1_HALF1132236[[#This Row],[3PT FGM]]</f>
        <v>2</v>
      </c>
      <c r="C8" s="243">
        <f>LITI_Q1_HALF1132236[[#This Row],[2PT FGA]]+LITI_Q1_HALF1132236[[#This Row],[3PT FGA]]</f>
        <v>14</v>
      </c>
      <c r="D8" s="91">
        <f>LITI_Q1_HALF1132236[[#This Row],[Total FGM]]/LITI_Q1_HALF1132236[[#This Row],[Total FGA]]</f>
        <v>0.14285714285714285</v>
      </c>
      <c r="E8" s="142">
        <f>SUMIF($A$22:$A$59,$A$8,E22:E59)</f>
        <v>2</v>
      </c>
      <c r="F8" s="247">
        <f>SUMIF($A$22:$A$59,$A$8,F22:F59)</f>
        <v>9</v>
      </c>
      <c r="G8" s="91">
        <f>LITI_Q1_HALF1132236[[#This Row],[2PT FGM]]/LITI_Q1_HALF1132236[[#This Row],[2PT FGA]]</f>
        <v>0.22222222222222221</v>
      </c>
      <c r="H8" s="170">
        <f>SUMIF($A$22:$A$59,$A$8,H22:H59)</f>
        <v>0</v>
      </c>
      <c r="I8" s="170">
        <f>SUMIF($A$22:$A$59,$A$8,I22:I59)</f>
        <v>5</v>
      </c>
      <c r="J8" s="91">
        <f>LITI_Q1_HALF1132236[[#This Row],[3PT FGM]]/LITI_Q1_HALF1132236[[#This Row],[3PT FGA]]</f>
        <v>0</v>
      </c>
      <c r="K8" s="170">
        <f>SUMIF($A$22:$A$59,$A$8,K22:K59)</f>
        <v>0</v>
      </c>
      <c r="L8" s="170">
        <f>SUMIF($A$22:$A$59,$A$8,L22:L59)</f>
        <v>0</v>
      </c>
      <c r="M8" s="99" t="e">
        <f>LITI_Q1_HALF1132236[[#This Row],[FTM]]/LITI_Q1_HALF1132236[[#This Row],[FTA]]</f>
        <v>#DIV/0!</v>
      </c>
      <c r="N8" s="19">
        <f>SUM(LITI_Q1_HALF1132236[[#This Row],[2PT FGM]]*2,LITI_Q1_HALF1132236[[#This Row],[3PT FGM]]*3,LITI_Q1_HALF1132236[[#This Row],[FTM]])</f>
        <v>4</v>
      </c>
      <c r="O8" s="170">
        <f>SUMIF($A$22:$A$59,$A$8,O22:O59)</f>
        <v>0</v>
      </c>
      <c r="P8" s="170">
        <f>SUMIF($A$22:$A$59,$A$8,P22:P59)</f>
        <v>5</v>
      </c>
      <c r="Q8" s="170">
        <f>SUMIF($A$22:$A$59,$A$8,Q22:Q59)</f>
        <v>2</v>
      </c>
      <c r="R8" s="19">
        <f>LITI_Q1_HALF1132236[[#This Row],[Off. Boards]]+LITI_Q1_HALF1132236[[#This Row],[Def. Boards]]</f>
        <v>7</v>
      </c>
      <c r="S8" s="170">
        <f>SUMIF($A$22:$A$59,$A$8,S22:S59)</f>
        <v>5</v>
      </c>
      <c r="T8" s="247">
        <f>SUMIF($A$22:$A$59,$A$8,T22:T59)</f>
        <v>2</v>
      </c>
      <c r="U8" s="170">
        <f>SUMIF($A$22:$A$59,$A$8,U22:U59)</f>
        <v>0</v>
      </c>
      <c r="V8" s="248">
        <f>SUMIF($A$22:$A$59,$A$8,V22:V59)</f>
        <v>4</v>
      </c>
      <c r="W8" s="92">
        <f>LITI_Q1_HALF1132236[[#This Row],[Dimes]]/LITI_Q1_HALF1132236[[#This Row],[Turnovers]]</f>
        <v>1.25</v>
      </c>
    </row>
    <row r="9" spans="1:23" x14ac:dyDescent="0.2">
      <c r="A9" s="13" t="s">
        <v>98</v>
      </c>
      <c r="B9" s="90">
        <f>LITI_Q1_HALF1132236[[#This Row],[2PT FGM]]+LITI_Q1_HALF1132236[[#This Row],[3PT FGM]]</f>
        <v>0</v>
      </c>
      <c r="C9" s="90">
        <f>LITI_Q1_HALF1132236[[#This Row],[2PT FGA]]+LITI_Q1_HALF1132236[[#This Row],[3PT FGA]]</f>
        <v>4</v>
      </c>
      <c r="D9" s="91">
        <f>LITI_Q1_HALF1132236[[#This Row],[Total FGM]]/LITI_Q1_HALF1132236[[#This Row],[Total FGA]]</f>
        <v>0</v>
      </c>
      <c r="E9" s="142">
        <f>SUMIF($A$22:$A$59,$A$9,E22:E59)</f>
        <v>0</v>
      </c>
      <c r="F9" s="170">
        <f>SUMIF($A$22:$A$59,$A$9,F22:F59)</f>
        <v>2</v>
      </c>
      <c r="G9" s="91">
        <f>LITI_Q1_HALF1132236[[#This Row],[2PT FGM]]/LITI_Q1_HALF1132236[[#This Row],[2PT FGA]]</f>
        <v>0</v>
      </c>
      <c r="H9" s="170">
        <f>SUMIF($A$22:$A$59,$A$9,H22:H59)</f>
        <v>0</v>
      </c>
      <c r="I9" s="170">
        <f>SUMIF($A$22:$A$59,$A$9,I22:I59)</f>
        <v>2</v>
      </c>
      <c r="J9" s="91">
        <f>LITI_Q1_HALF1132236[[#This Row],[3PT FGM]]/LITI_Q1_HALF1132236[[#This Row],[3PT FGA]]</f>
        <v>0</v>
      </c>
      <c r="K9" s="170">
        <f>SUMIF($A$22:$A$59,$A$9,K22:K59)</f>
        <v>0</v>
      </c>
      <c r="L9" s="170">
        <f>SUMIF($A$22:$A$59,$A$9,L22:L59)</f>
        <v>0</v>
      </c>
      <c r="M9" s="99" t="e">
        <f>LITI_Q1_HALF1132236[[#This Row],[FTM]]/LITI_Q1_HALF1132236[[#This Row],[FTA]]</f>
        <v>#DIV/0!</v>
      </c>
      <c r="N9" s="19">
        <f>SUM(LITI_Q1_HALF1132236[[#This Row],[2PT FGM]]*2,LITI_Q1_HALF1132236[[#This Row],[3PT FGM]]*3,LITI_Q1_HALF1132236[[#This Row],[FTM]])</f>
        <v>0</v>
      </c>
      <c r="O9" s="170">
        <f>SUMIF($A$22:$A$59,$A$9,O22:O59)</f>
        <v>0</v>
      </c>
      <c r="P9" s="170">
        <f>SUMIF($A$22:$A$59,$A$9,P22:P59)</f>
        <v>0</v>
      </c>
      <c r="Q9" s="170">
        <f>SUMIF($A$22:$A$59,$A$9,Q22:Q59)</f>
        <v>0</v>
      </c>
      <c r="R9" s="19">
        <f>LITI_Q1_HALF1132236[[#This Row],[Off. Boards]]+LITI_Q1_HALF1132236[[#This Row],[Def. Boards]]</f>
        <v>0</v>
      </c>
      <c r="S9" s="170">
        <f>SUMIF($A$22:$A$59,$A$9,S22:S59)</f>
        <v>0</v>
      </c>
      <c r="T9" s="170">
        <f>SUMIF($A$22:$A$59,$A$9,T22:T59)</f>
        <v>0</v>
      </c>
      <c r="U9" s="170">
        <f>SUMIF($A$22:$A$59,$A$9,U22:U59)</f>
        <v>0</v>
      </c>
      <c r="V9" s="170">
        <f>SUMIF($A$22:$A$59,$A$9,V22:V59)</f>
        <v>1</v>
      </c>
      <c r="W9" s="92">
        <f>LITI_Q1_HALF1132236[[#This Row],[Dimes]]/LITI_Q1_HALF1132236[[#This Row],[Turnovers]]</f>
        <v>0</v>
      </c>
    </row>
    <row r="10" spans="1:23" x14ac:dyDescent="0.2">
      <c r="A10" s="13" t="s">
        <v>83</v>
      </c>
      <c r="B10" s="90">
        <f>LITI_Q1_HALF1132236[[#This Row],[2PT FGM]]+LITI_Q1_HALF1132236[[#This Row],[3PT FGM]]</f>
        <v>2</v>
      </c>
      <c r="C10" s="90">
        <f>LITI_Q1_HALF1132236[[#This Row],[2PT FGA]]+LITI_Q1_HALF1132236[[#This Row],[3PT FGA]]</f>
        <v>6</v>
      </c>
      <c r="D10" s="91">
        <f>LITI_Q1_HALF1132236[[#This Row],[Total FGM]]/LITI_Q1_HALF1132236[[#This Row],[Total FGA]]</f>
        <v>0.33333333333333331</v>
      </c>
      <c r="E10" s="142">
        <f>SUMIF($A$22:$A$59,$A$10,E22:E59)</f>
        <v>0</v>
      </c>
      <c r="F10" s="170">
        <f>SUMIF($A$22:$A$59,$A$10,F22:F59)</f>
        <v>3</v>
      </c>
      <c r="G10" s="91">
        <f>LITI_Q1_HALF1132236[[#This Row],[2PT FGM]]/LITI_Q1_HALF1132236[[#This Row],[2PT FGA]]</f>
        <v>0</v>
      </c>
      <c r="H10" s="170">
        <f>SUMIF($A$22:$A$59,$A$10,H22:H59)</f>
        <v>2</v>
      </c>
      <c r="I10" s="170">
        <f>SUMIF($A$22:$A$59,$A$10,I22:I59)</f>
        <v>3</v>
      </c>
      <c r="J10" s="244">
        <f>LITI_Q1_HALF1132236[[#This Row],[3PT FGM]]/LITI_Q1_HALF1132236[[#This Row],[3PT FGA]]</f>
        <v>0.66666666666666663</v>
      </c>
      <c r="K10" s="170">
        <f>SUMIF($A$22:$A$59,$A$10,K22:K59)</f>
        <v>0</v>
      </c>
      <c r="L10" s="170">
        <f>SUMIF($A$22:$A$59,$A$10,L22:L59)</f>
        <v>0</v>
      </c>
      <c r="M10" s="99" t="e">
        <f>LITI_Q1_HALF1132236[[#This Row],[FTM]]/LITI_Q1_HALF1132236[[#This Row],[FTA]]</f>
        <v>#DIV/0!</v>
      </c>
      <c r="N10" s="19">
        <f>SUM(LITI_Q1_HALF1132236[[#This Row],[2PT FGM]]*2,LITI_Q1_HALF1132236[[#This Row],[3PT FGM]]*3,LITI_Q1_HALF1132236[[#This Row],[FTM]])</f>
        <v>6</v>
      </c>
      <c r="O10" s="170">
        <f>SUMIF($A$22:$A$59,$A$10,O22:O59)</f>
        <v>0</v>
      </c>
      <c r="P10" s="170">
        <f>SUMIF($A$22:$A$59,$A$10,P22:P59)</f>
        <v>1</v>
      </c>
      <c r="Q10" s="170">
        <f>SUMIF($A$22:$A$59,$A$10,Q22:Q59)</f>
        <v>0</v>
      </c>
      <c r="R10" s="19">
        <f>LITI_Q1_HALF1132236[[#This Row],[Off. Boards]]+LITI_Q1_HALF1132236[[#This Row],[Def. Boards]]</f>
        <v>1</v>
      </c>
      <c r="S10" s="170">
        <f>SUMIF($A$22:$A$59,$A$10,S22:S59)</f>
        <v>0</v>
      </c>
      <c r="T10" s="170">
        <f>SUMIF($A$22:$A$59,$A$10,T22:T59)</f>
        <v>0</v>
      </c>
      <c r="U10" s="170">
        <f>SUMIF($A$22:$A$59,$A$10,U22:U59)</f>
        <v>0</v>
      </c>
      <c r="V10" s="170">
        <f>SUMIF($A$22:$A$59,$A$10,V22:V59)</f>
        <v>0</v>
      </c>
      <c r="W10" s="92" t="e">
        <f>LITI_Q1_HALF1132236[[#This Row],[Dimes]]/LITI_Q1_HALF1132236[[#This Row],[Turnovers]]</f>
        <v>#DIV/0!</v>
      </c>
    </row>
    <row r="11" spans="1:23" ht="16" thickBot="1" x14ac:dyDescent="0.25">
      <c r="A11" s="82" t="s">
        <v>76</v>
      </c>
      <c r="B11" s="100">
        <f>SUM(B6:B10)</f>
        <v>13</v>
      </c>
      <c r="C11" s="100">
        <f>SUM(C6:C10)</f>
        <v>42</v>
      </c>
      <c r="D11" s="101">
        <f>LITI_Q1_HALF1132236[[#This Row],[Total FGM]]/LITI_Q1_HALF1132236[[#This Row],[Total FGA]]</f>
        <v>0.30952380952380953</v>
      </c>
      <c r="E11" s="102">
        <f>SUM(E6:E10)</f>
        <v>5</v>
      </c>
      <c r="F11" s="103">
        <f>SUM(F6:F10)</f>
        <v>19</v>
      </c>
      <c r="G11" s="108">
        <f>LITI_Q1_HALF1132236[[#This Row],[2PT FGM]]/LITI_Q1_HALF1132236[[#This Row],[2PT FGA]]</f>
        <v>0.26315789473684209</v>
      </c>
      <c r="H11" s="103">
        <f>SUM(H6:H10)</f>
        <v>8</v>
      </c>
      <c r="I11" s="103">
        <f>SUM(I6:I10)</f>
        <v>23</v>
      </c>
      <c r="J11" s="104">
        <f>LITI_Q1_HALF1132236[[#This Row],[3PT FGM]]/LITI_Q1_HALF1132236[[#This Row],[3PT FGA]]</f>
        <v>0.34782608695652173</v>
      </c>
      <c r="K11" s="103">
        <f>SUM(K6:K10)</f>
        <v>0</v>
      </c>
      <c r="L11" s="103">
        <f>SUM(L6:L10)</f>
        <v>0</v>
      </c>
      <c r="M11" s="105" t="e">
        <f>LITI_Q1_HALF1132236[[#This Row],[FTM]]/LITI_Q1_HALF1132236[[#This Row],[FTA]]</f>
        <v>#DIV/0!</v>
      </c>
      <c r="N11" s="62">
        <f>SUM(LITI_Q1_HALF1132236[[#This Row],[2PT FGM]]*2,LITI_Q1_HALF1132236[[#This Row],[3PT FGM]]*3,LITI_Q1_HALF1132236[[#This Row],[FTM]])</f>
        <v>34</v>
      </c>
      <c r="O11" s="106">
        <f>SUM(O6:O10)</f>
        <v>2</v>
      </c>
      <c r="P11" s="106">
        <f t="shared" ref="P11:V11" si="0">SUM(P6:P10)</f>
        <v>11</v>
      </c>
      <c r="Q11" s="106">
        <f t="shared" si="0"/>
        <v>6</v>
      </c>
      <c r="R11" s="106">
        <f t="shared" si="0"/>
        <v>17</v>
      </c>
      <c r="S11" s="106">
        <f t="shared" si="0"/>
        <v>7</v>
      </c>
      <c r="T11" s="106">
        <f t="shared" si="0"/>
        <v>5</v>
      </c>
      <c r="U11" s="106">
        <f t="shared" si="0"/>
        <v>1</v>
      </c>
      <c r="V11" s="106">
        <f t="shared" si="0"/>
        <v>6</v>
      </c>
      <c r="W11" s="107">
        <f>LITI_Q1_HALF1132236[[#This Row],[Dimes]]/LITI_Q1_HALF1132236[[#This Row],[Turnovers]]</f>
        <v>1.1666666666666667</v>
      </c>
    </row>
    <row r="13" spans="1:23" ht="16" thickBot="1" x14ac:dyDescent="0.25">
      <c r="A13" s="227" t="s">
        <v>262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</row>
    <row r="14" spans="1:23" ht="32" x14ac:dyDescent="0.2">
      <c r="A14" s="166" t="s">
        <v>209</v>
      </c>
      <c r="B14" s="11" t="s">
        <v>0</v>
      </c>
      <c r="C14" s="11" t="s">
        <v>1</v>
      </c>
      <c r="D14" s="11" t="s">
        <v>2</v>
      </c>
      <c r="E14" s="95" t="s">
        <v>3</v>
      </c>
      <c r="F14" s="96" t="s">
        <v>4</v>
      </c>
      <c r="G14" s="96" t="s">
        <v>5</v>
      </c>
      <c r="H14" s="96" t="s">
        <v>6</v>
      </c>
      <c r="I14" s="96" t="s">
        <v>7</v>
      </c>
      <c r="J14" s="96" t="s">
        <v>8</v>
      </c>
      <c r="K14" s="96" t="s">
        <v>9</v>
      </c>
      <c r="L14" s="96" t="s">
        <v>10</v>
      </c>
      <c r="M14" s="97" t="s">
        <v>11</v>
      </c>
      <c r="N14" s="11" t="s">
        <v>12</v>
      </c>
      <c r="O14" s="10" t="s">
        <v>13</v>
      </c>
      <c r="P14" s="11" t="s">
        <v>14</v>
      </c>
      <c r="Q14" s="11" t="s">
        <v>15</v>
      </c>
      <c r="R14" s="11" t="s">
        <v>16</v>
      </c>
      <c r="S14" s="10" t="s">
        <v>17</v>
      </c>
      <c r="T14" s="10" t="s">
        <v>18</v>
      </c>
      <c r="U14" s="10" t="s">
        <v>19</v>
      </c>
      <c r="V14" s="10" t="s">
        <v>20</v>
      </c>
      <c r="W14" s="10" t="s">
        <v>21</v>
      </c>
    </row>
    <row r="15" spans="1:23" x14ac:dyDescent="0.2">
      <c r="A15" s="178" t="s">
        <v>24</v>
      </c>
      <c r="B15" s="90">
        <f>GN_Q1_HALF1142337[[#This Row],[2PT FGM]]+GN_Q1_HALF1142337[[#This Row],[3PT FGM]]</f>
        <v>6</v>
      </c>
      <c r="C15" s="90">
        <f>GN_Q1_HALF1142337[[#This Row],[2PT FGA]]+GN_Q1_HALF1142337[[#This Row],[3PT FGA]]</f>
        <v>12</v>
      </c>
      <c r="D15" s="91">
        <f>GN_Q1_HALF1142337[[#This Row],[Total FGM]]/GN_Q1_HALF1142337[[#This Row],[Total FGA]]</f>
        <v>0.5</v>
      </c>
      <c r="E15" s="245">
        <f>SUMIF($A$22:$A$59,$A$15,E22:E59)</f>
        <v>6</v>
      </c>
      <c r="F15" s="246">
        <f>SUMIF($A$22:$A$59,$A$15,F22:F59)</f>
        <v>9</v>
      </c>
      <c r="G15" s="91">
        <f>GN_Q1_HALF1142337[[#This Row],[2PT FGM]]/GN_Q1_HALF1142337[[#This Row],[2PT FGA]]</f>
        <v>0.66666666666666663</v>
      </c>
      <c r="H15" s="19">
        <f>SUMIF($A$22:$A$59,$A$15,H22:H59)</f>
        <v>0</v>
      </c>
      <c r="I15" s="19">
        <f>SUMIF($A$22:$A$59,$A$15,I22:I59)</f>
        <v>3</v>
      </c>
      <c r="J15" s="91">
        <f>GN_Q1_HALF1142337[[#This Row],[3PT FGM]]/GN_Q1_HALF1142337[[#This Row],[3PT FGA]]</f>
        <v>0</v>
      </c>
      <c r="K15" s="19">
        <f>SUMIF($A$22:$A$59,$A$15,K22:K59)</f>
        <v>0</v>
      </c>
      <c r="L15" s="19">
        <f>SUMIF($A$22:$A$59,$A$15,L22:L59)</f>
        <v>0</v>
      </c>
      <c r="M15" s="99" t="e">
        <f>GN_Q1_HALF1142337[[#This Row],[FTM]]/GN_Q1_HALF1142337[[#This Row],[FTA]]</f>
        <v>#DIV/0!</v>
      </c>
      <c r="N15" s="19">
        <f>SUM(GN_Q1_HALF1142337[[#This Row],[2PT FGM]]*2,GN_Q1_HALF1142337[[#This Row],[3PT FGM]]*3,GN_Q1_HALF1142337[[#This Row],[FTM]])</f>
        <v>12</v>
      </c>
      <c r="O15" s="19">
        <f>SUMIF($A$22:$A$59,$A$15,O22:O59)</f>
        <v>0</v>
      </c>
      <c r="P15" s="246">
        <f>SUMIF($A$22:$A$59,$A$15,P22:P59)</f>
        <v>9</v>
      </c>
      <c r="Q15" s="19">
        <f>SUMIF($A$22:$A$59,$A$15,Q22:Q59)</f>
        <v>0</v>
      </c>
      <c r="R15" s="246">
        <f>GN_Q1_HALF1142337[[#This Row],[Off. Boards]]+GN_Q1_HALF1142337[[#This Row],[Def. Boards]]</f>
        <v>9</v>
      </c>
      <c r="S15" s="246">
        <f>SUMIF($A$22:$A$59,$A$15,S22:S59)</f>
        <v>7</v>
      </c>
      <c r="T15" s="246">
        <f>SUMIF($A$22:$A$59,$A$15,T22:T59)</f>
        <v>2</v>
      </c>
      <c r="U15" s="246">
        <f>SUMIF($A$22:$A$59,$A$15,U22:U59)</f>
        <v>1</v>
      </c>
      <c r="V15" s="19">
        <f>SUMIF($A$22:$A$59,$A$15,V22:V59)</f>
        <v>0</v>
      </c>
      <c r="W15" s="250" t="e">
        <f>GN_Q1_HALF1142337[[#This Row],[Dimes]]/GN_Q1_HALF1142337[[#This Row],[Turnovers]]</f>
        <v>#DIV/0!</v>
      </c>
    </row>
    <row r="16" spans="1:23" x14ac:dyDescent="0.2">
      <c r="A16" t="s">
        <v>135</v>
      </c>
      <c r="B16" s="90">
        <f>GN_Q1_HALF1142337[[#This Row],[2PT FGM]]+GN_Q1_HALF1142337[[#This Row],[3PT FGM]]</f>
        <v>3</v>
      </c>
      <c r="C16" s="90">
        <f>GN_Q1_HALF1142337[[#This Row],[2PT FGA]]+GN_Q1_HALF1142337[[#This Row],[3PT FGA]]</f>
        <v>4</v>
      </c>
      <c r="D16" s="244">
        <f>GN_Q1_HALF1142337[[#This Row],[Total FGM]]/GN_Q1_HALF1142337[[#This Row],[Total FGA]]</f>
        <v>0.75</v>
      </c>
      <c r="E16" s="98">
        <f>SUMIF($A$22:$A$59,$A$16,E22:E59)</f>
        <v>3</v>
      </c>
      <c r="F16" s="19">
        <f>SUMIF($A$22:$A$59,$A$16,F22:F59)</f>
        <v>4</v>
      </c>
      <c r="G16" s="91">
        <f>GN_Q1_HALF1142337[[#This Row],[2PT FGM]]/GN_Q1_HALF1142337[[#This Row],[2PT FGA]]</f>
        <v>0.75</v>
      </c>
      <c r="H16" s="19">
        <f>SUMIF($A$22:$A$59,$A$16,H22:H59)</f>
        <v>0</v>
      </c>
      <c r="I16" s="19">
        <f>SUMIF($A$22:$A$59,$A$16,I22:I59)</f>
        <v>0</v>
      </c>
      <c r="J16" s="91" t="e">
        <f>GN_Q1_HALF1142337[[#This Row],[3PT FGM]]/GN_Q1_HALF1142337[[#This Row],[3PT FGA]]</f>
        <v>#DIV/0!</v>
      </c>
      <c r="K16" s="19">
        <f>SUMIF($A$22:$A$59,$A$16,K22:K59)</f>
        <v>0</v>
      </c>
      <c r="L16" s="19">
        <f>SUMIF($A$22:$A$59,$A$16,L22:L59)</f>
        <v>0</v>
      </c>
      <c r="M16" s="99" t="e">
        <f>GN_Q1_HALF1142337[[#This Row],[FTM]]/GN_Q1_HALF1142337[[#This Row],[FTA]]</f>
        <v>#DIV/0!</v>
      </c>
      <c r="N16" s="19">
        <f>SUM(GN_Q1_HALF1142337[[#This Row],[2PT FGM]]*2,GN_Q1_HALF1142337[[#This Row],[3PT FGM]]*3,GN_Q1_HALF1142337[[#This Row],[FTM]])</f>
        <v>6</v>
      </c>
      <c r="O16" s="246">
        <f>SUMIF($A$22:$A$59,$A$16,O22:O59)</f>
        <v>2</v>
      </c>
      <c r="P16" s="19">
        <f>SUMIF($A$22:$A$59,$A$16,P22:P59)</f>
        <v>4</v>
      </c>
      <c r="Q16" s="19">
        <f>SUMIF($A$22:$A$59,$A$16,Q22:Q59)</f>
        <v>2</v>
      </c>
      <c r="R16" s="19">
        <f>GN_Q1_HALF1142337[[#This Row],[Off. Boards]]+GN_Q1_HALF1142337[[#This Row],[Def. Boards]]</f>
        <v>6</v>
      </c>
      <c r="S16" s="19">
        <f>SUMIF($A$22:$A$59,$A$16,S22:S59)</f>
        <v>2</v>
      </c>
      <c r="T16" s="246">
        <f>SUMIF($A$22:$A$59,$A$16,T22:T59)</f>
        <v>2</v>
      </c>
      <c r="U16" s="19">
        <f>SUMIF($A$22:$A$59,$A$16,U22:U59)</f>
        <v>0</v>
      </c>
      <c r="V16" s="249">
        <f>SUMIF($A$22:$A$59,$A$16,V22:V59)</f>
        <v>4</v>
      </c>
      <c r="W16" s="92">
        <f>GN_Q1_HALF1142337[[#This Row],[Dimes]]/GN_Q1_HALF1142337[[#This Row],[Turnovers]]</f>
        <v>0.5</v>
      </c>
    </row>
    <row r="17" spans="1:23" x14ac:dyDescent="0.2">
      <c r="A17" t="s">
        <v>103</v>
      </c>
      <c r="B17" s="90">
        <f>GN_Q1_HALF1142337[[#This Row],[2PT FGM]]+GN_Q1_HALF1142337[[#This Row],[3PT FGM]]</f>
        <v>3</v>
      </c>
      <c r="C17" s="90">
        <f>GN_Q1_HALF1142337[[#This Row],[2PT FGA]]+GN_Q1_HALF1142337[[#This Row],[3PT FGA]]</f>
        <v>7</v>
      </c>
      <c r="D17" s="91">
        <f>GN_Q1_HALF1142337[[#This Row],[Total FGM]]/GN_Q1_HALF1142337[[#This Row],[Total FGA]]</f>
        <v>0.42857142857142855</v>
      </c>
      <c r="E17" s="98">
        <f>SUMIF($A$22:$A$59,$A$17,E22:E59)</f>
        <v>1</v>
      </c>
      <c r="F17" s="19">
        <f>SUMIF($A$22:$A$59,$A$17,F22:F59)</f>
        <v>1</v>
      </c>
      <c r="G17" s="244">
        <f>GN_Q1_HALF1142337[[#This Row],[2PT FGM]]/GN_Q1_HALF1142337[[#This Row],[2PT FGA]]</f>
        <v>1</v>
      </c>
      <c r="H17" s="19">
        <f>SUMIF($A$22:$A$59,$A$17,H22:H59)</f>
        <v>2</v>
      </c>
      <c r="I17" s="19">
        <f>SUMIF($A$22:$A$59,$A$17,I22:I59)</f>
        <v>6</v>
      </c>
      <c r="J17" s="91">
        <f>GN_Q1_HALF1142337[[#This Row],[3PT FGM]]/GN_Q1_HALF1142337[[#This Row],[3PT FGA]]</f>
        <v>0.33333333333333331</v>
      </c>
      <c r="K17" s="19">
        <f>SUMIF($A$22:$A$59,$A$17,K22:K59)</f>
        <v>0</v>
      </c>
      <c r="L17" s="19">
        <f>SUMIF($A$22:$A$59,$A$17,L22:L59)</f>
        <v>0</v>
      </c>
      <c r="M17" s="99" t="e">
        <f>GN_Q1_HALF1142337[[#This Row],[FTM]]/GN_Q1_HALF1142337[[#This Row],[FTA]]</f>
        <v>#DIV/0!</v>
      </c>
      <c r="N17" s="19">
        <f>SUM(GN_Q1_HALF1142337[[#This Row],[2PT FGM]]*2,GN_Q1_HALF1142337[[#This Row],[3PT FGM]]*3,GN_Q1_HALF1142337[[#This Row],[FTM]])</f>
        <v>8</v>
      </c>
      <c r="O17" s="19">
        <f>SUMIF($A$22:$A$59,$A$17,O22:O59)</f>
        <v>0</v>
      </c>
      <c r="P17" s="19">
        <f>SUMIF($A$22:$A$59,$A$17,P22:P59)</f>
        <v>6</v>
      </c>
      <c r="Q17" s="19">
        <f>SUMIF($A$22:$A$59,$A$17,Q22:Q59)</f>
        <v>0</v>
      </c>
      <c r="R17" s="19">
        <f>GN_Q1_HALF1142337[[#This Row],[Off. Boards]]+GN_Q1_HALF1142337[[#This Row],[Def. Boards]]</f>
        <v>6</v>
      </c>
      <c r="S17" s="19">
        <f>SUMIF($A$22:$A$59,$A$17,S22:S59)</f>
        <v>5</v>
      </c>
      <c r="T17" s="19">
        <f>SUMIF($A$22:$A$59,$A$17,T22:T59)</f>
        <v>0</v>
      </c>
      <c r="U17" s="246">
        <f>SUMIF($A$22:$A$59,$A$17,U22:U59)</f>
        <v>1</v>
      </c>
      <c r="V17" s="19">
        <f>SUMIF($A$22:$A$59,$A$17,V22:V59)</f>
        <v>1</v>
      </c>
      <c r="W17" s="250">
        <f>GN_Q1_HALF1142337[[#This Row],[Dimes]]/GN_Q1_HALF1142337[[#This Row],[Turnovers]]</f>
        <v>5</v>
      </c>
    </row>
    <row r="18" spans="1:23" x14ac:dyDescent="0.2">
      <c r="A18" s="178" t="s">
        <v>100</v>
      </c>
      <c r="B18" s="243">
        <f>GN_Q1_HALF1142337[[#This Row],[2PT FGM]]+GN_Q1_HALF1142337[[#This Row],[3PT FGM]]</f>
        <v>9</v>
      </c>
      <c r="C18" s="243">
        <f>GN_Q1_HALF1142337[[#This Row],[2PT FGA]]+GN_Q1_HALF1142337[[#This Row],[3PT FGA]]</f>
        <v>14</v>
      </c>
      <c r="D18" s="91">
        <f>GN_Q1_HALF1142337[[#This Row],[Total FGM]]/GN_Q1_HALF1142337[[#This Row],[Total FGA]]</f>
        <v>0.6428571428571429</v>
      </c>
      <c r="E18" s="98">
        <f>SUMIF($A$22:$A$59,$A$18,E22:E59)</f>
        <v>5</v>
      </c>
      <c r="F18" s="19">
        <f>SUMIF($A$22:$A$59,$A$18,F22:F59)</f>
        <v>5</v>
      </c>
      <c r="G18" s="244">
        <f>GN_Q1_HALF1142337[[#This Row],[2PT FGM]]/GN_Q1_HALF1142337[[#This Row],[2PT FGA]]</f>
        <v>1</v>
      </c>
      <c r="H18" s="19">
        <f>SUMIF($A$22:$A$59,$A$18,H22:H59)</f>
        <v>4</v>
      </c>
      <c r="I18" s="19">
        <f>SUMIF($A$22:$A$59,$A$18,I22:I59)</f>
        <v>9</v>
      </c>
      <c r="J18" s="91">
        <f>GN_Q1_HALF1142337[[#This Row],[3PT FGM]]/GN_Q1_HALF1142337[[#This Row],[3PT FGA]]</f>
        <v>0.44444444444444442</v>
      </c>
      <c r="K18" s="19">
        <f>SUMIF($A$22:$A$59,$A$18,K22:K59)</f>
        <v>0</v>
      </c>
      <c r="L18" s="19">
        <f>SUMIF($A$22:$A$59,$A$18,L22:L59)</f>
        <v>0</v>
      </c>
      <c r="M18" s="99" t="e">
        <f>GN_Q1_HALF1142337[[#This Row],[FTM]]/GN_Q1_HALF1142337[[#This Row],[FTA]]</f>
        <v>#DIV/0!</v>
      </c>
      <c r="N18" s="246">
        <f>SUM(GN_Q1_HALF1142337[[#This Row],[2PT FGM]]*2,GN_Q1_HALF1142337[[#This Row],[3PT FGM]]*3,GN_Q1_HALF1142337[[#This Row],[FTM]])</f>
        <v>22</v>
      </c>
      <c r="O18" s="19">
        <f>SUMIF($A$22:$A$59,$A$18,O22:O59)</f>
        <v>0</v>
      </c>
      <c r="P18" s="19">
        <f>SUMIF($A$22:$A$59,$A$18,P22:P59)</f>
        <v>2</v>
      </c>
      <c r="Q18" s="19">
        <f>SUMIF($A$22:$A$59,$A$18,Q22:Q59)</f>
        <v>0</v>
      </c>
      <c r="R18" s="19">
        <f>GN_Q1_HALF1142337[[#This Row],[Off. Boards]]+GN_Q1_HALF1142337[[#This Row],[Def. Boards]]</f>
        <v>2</v>
      </c>
      <c r="S18" s="19">
        <f>SUMIF($A$22:$A$59,$A$18,S22:S59)</f>
        <v>2</v>
      </c>
      <c r="T18" s="19">
        <f>SUMIF($A$22:$A$59,$A$18,T22:T59)</f>
        <v>0</v>
      </c>
      <c r="U18" s="246">
        <f>SUMIF($A$22:$A$59,$A$18,U22:U59)</f>
        <v>1</v>
      </c>
      <c r="V18" s="19">
        <f>SUMIF($A$22:$A$59,$A$18,V22:V59)</f>
        <v>1</v>
      </c>
      <c r="W18" s="92">
        <f>GN_Q1_HALF1142337[[#This Row],[Dimes]]/GN_Q1_HALF1142337[[#This Row],[Turnovers]]</f>
        <v>2</v>
      </c>
    </row>
    <row r="19" spans="1:23" x14ac:dyDescent="0.2">
      <c r="B19" s="90"/>
      <c r="C19" s="90"/>
      <c r="D19" s="91"/>
      <c r="E19" s="98"/>
      <c r="F19" s="19"/>
      <c r="G19" s="91"/>
      <c r="H19" s="19"/>
      <c r="I19" s="19"/>
      <c r="J19" s="91"/>
      <c r="K19" s="19"/>
      <c r="L19" s="19"/>
      <c r="M19" s="99"/>
      <c r="N19" s="19"/>
      <c r="O19" s="19"/>
      <c r="P19" s="19"/>
      <c r="Q19" s="19"/>
      <c r="R19" s="19"/>
      <c r="S19" s="19"/>
      <c r="T19" s="19"/>
      <c r="U19" s="19"/>
      <c r="V19" s="19"/>
      <c r="W19" s="92"/>
    </row>
    <row r="20" spans="1:23" ht="16" thickBot="1" x14ac:dyDescent="0.25">
      <c r="A20" s="82" t="s">
        <v>76</v>
      </c>
      <c r="B20" s="100">
        <f>SUM(B15:B19)</f>
        <v>21</v>
      </c>
      <c r="C20" s="100">
        <f>SUM(C15:C19)</f>
        <v>37</v>
      </c>
      <c r="D20" s="101">
        <f>GN_Q1_HALF1142337[[#This Row],[Total FGM]]/GN_Q1_HALF1142337[[#This Row],[Total FGA]]</f>
        <v>0.56756756756756754</v>
      </c>
      <c r="E20" s="102">
        <f>SUM(E15:E19)</f>
        <v>15</v>
      </c>
      <c r="F20" s="103">
        <f>SUM(F15:F19)</f>
        <v>19</v>
      </c>
      <c r="G20" s="104">
        <f>GN_Q1_HALF1142337[[#This Row],[2PT FGM]]/GN_Q1_HALF1142337[[#This Row],[2PT FGA]]</f>
        <v>0.78947368421052633</v>
      </c>
      <c r="H20" s="103">
        <f>SUM(H15:H19)</f>
        <v>6</v>
      </c>
      <c r="I20" s="103">
        <f>SUM(I15:I19)</f>
        <v>18</v>
      </c>
      <c r="J20" s="109">
        <f>GN_Q1_HALF1142337[[#This Row],[3PT FGM]]/GN_Q1_HALF1142337[[#This Row],[3PT FGA]]</f>
        <v>0.33333333333333331</v>
      </c>
      <c r="K20" s="103">
        <f>SUM(K15:K19)</f>
        <v>0</v>
      </c>
      <c r="L20" s="103">
        <f>SUM(L15:L19)</f>
        <v>0</v>
      </c>
      <c r="M20" s="105" t="e">
        <f>GN_Q1_HALF1142337[[#This Row],[FTM]]/GN_Q1_HALF1142337[[#This Row],[FTA]]</f>
        <v>#DIV/0!</v>
      </c>
      <c r="N20" s="62">
        <f>SUM(GN_Q1_HALF1142337[[#This Row],[2PT FGM]]*2,GN_Q1_HALF1142337[[#This Row],[3PT FGM]]*3,GN_Q1_HALF1142337[[#This Row],[FTM]])</f>
        <v>48</v>
      </c>
      <c r="O20" s="100">
        <f>SUM(O15:O19)</f>
        <v>2</v>
      </c>
      <c r="P20" s="100">
        <f>SUM(P15:P19)</f>
        <v>21</v>
      </c>
      <c r="Q20" s="100">
        <f>SUM(Q15:Q19)</f>
        <v>2</v>
      </c>
      <c r="R20" s="106">
        <f>GN_Q1_HALF1142337[[#This Row],[Def. Boards]]+GN_Q1_HALF1142337[[#This Row],[Off. Boards]]</f>
        <v>23</v>
      </c>
      <c r="S20" s="100">
        <f>SUM(S15:S19)</f>
        <v>16</v>
      </c>
      <c r="T20" s="100">
        <f>SUM(T15:T19)</f>
        <v>4</v>
      </c>
      <c r="U20" s="100">
        <f>SUM(U15:U19)</f>
        <v>3</v>
      </c>
      <c r="V20" s="100">
        <f>SUM(V15:V19)</f>
        <v>6</v>
      </c>
      <c r="W20" s="107">
        <f>GN_Q1_HALF1142337[[#This Row],[Dimes]]/GN_Q1_HALF1142337[[#This Row],[Turnovers]]</f>
        <v>2.6666666666666665</v>
      </c>
    </row>
    <row r="21" spans="1:23" ht="16" thickBot="1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</row>
    <row r="22" spans="1:23" ht="16" thickTop="1" x14ac:dyDescent="0.2"/>
    <row r="23" spans="1:23" ht="16" thickBot="1" x14ac:dyDescent="0.25">
      <c r="A23" s="220" t="s">
        <v>146</v>
      </c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</row>
    <row r="24" spans="1:23" ht="32" x14ac:dyDescent="0.2">
      <c r="A24" s="166" t="s">
        <v>208</v>
      </c>
      <c r="B24" s="11" t="s">
        <v>0</v>
      </c>
      <c r="C24" s="11" t="s">
        <v>1</v>
      </c>
      <c r="D24" s="11" t="s">
        <v>2</v>
      </c>
      <c r="E24" s="95" t="s">
        <v>3</v>
      </c>
      <c r="F24" s="96" t="s">
        <v>4</v>
      </c>
      <c r="G24" s="96" t="s">
        <v>5</v>
      </c>
      <c r="H24" s="96" t="s">
        <v>6</v>
      </c>
      <c r="I24" s="96" t="s">
        <v>7</v>
      </c>
      <c r="J24" s="96" t="s">
        <v>8</v>
      </c>
      <c r="K24" s="96" t="s">
        <v>9</v>
      </c>
      <c r="L24" s="96" t="s">
        <v>10</v>
      </c>
      <c r="M24" s="97" t="s">
        <v>11</v>
      </c>
      <c r="N24" s="11" t="s">
        <v>12</v>
      </c>
      <c r="O24" s="10" t="s">
        <v>13</v>
      </c>
      <c r="P24" s="11" t="s">
        <v>14</v>
      </c>
      <c r="Q24" s="11" t="s">
        <v>15</v>
      </c>
      <c r="R24" s="11" t="s">
        <v>16</v>
      </c>
      <c r="S24" s="10" t="s">
        <v>17</v>
      </c>
      <c r="T24" s="10" t="s">
        <v>18</v>
      </c>
      <c r="U24" s="10" t="s">
        <v>19</v>
      </c>
      <c r="V24" s="10" t="s">
        <v>20</v>
      </c>
      <c r="W24" s="10" t="s">
        <v>21</v>
      </c>
    </row>
    <row r="25" spans="1:23" x14ac:dyDescent="0.2">
      <c r="A25" s="13" t="s">
        <v>96</v>
      </c>
      <c r="B25" s="90">
        <f>LITI_Q1_HALF113172438[[#This Row],[2PT FGM]]+LITI_Q1_HALF113172438[[#This Row],[3PT FGM]]</f>
        <v>4</v>
      </c>
      <c r="C25" s="90">
        <f>LITI_Q1_HALF113172438[[#This Row],[2PT FGA]]+LITI_Q1_HALF113172438[[#This Row],[3PT FGA]]</f>
        <v>6</v>
      </c>
      <c r="D25" s="91">
        <f>LITI_Q1_HALF113172438[[#This Row],[Total FGM]]/LITI_Q1_HALF113172438[[#This Row],[Total FGA]]</f>
        <v>0.66666666666666663</v>
      </c>
      <c r="E25" s="98">
        <v>1</v>
      </c>
      <c r="F25" s="19">
        <v>1</v>
      </c>
      <c r="G25" s="91">
        <f>LITI_Q1_HALF113172438[[#This Row],[2PT FGM]]/LITI_Q1_HALF113172438[[#This Row],[2PT FGA]]</f>
        <v>1</v>
      </c>
      <c r="H25" s="19">
        <v>3</v>
      </c>
      <c r="I25" s="19">
        <v>5</v>
      </c>
      <c r="J25" s="91">
        <f>LITI_Q1_HALF113172438[[#This Row],[3PT FGM]]/LITI_Q1_HALF113172438[[#This Row],[3PT FGA]]</f>
        <v>0.6</v>
      </c>
      <c r="K25" s="19">
        <v>0</v>
      </c>
      <c r="L25" s="19">
        <v>0</v>
      </c>
      <c r="M25" s="99" t="e">
        <f>LITI_Q1_HALF113172438[[#This Row],[FTM]]/LITI_Q1_HALF113172438[[#This Row],[FTA]]</f>
        <v>#DIV/0!</v>
      </c>
      <c r="N25" s="19">
        <f>SUM(LITI_Q1_HALF113172438[[#This Row],[2PT FGM]]*2,LITI_Q1_HALF113172438[[#This Row],[3PT FGM]]*3,LITI_Q1_HALF113172438[[#This Row],[FTM]])</f>
        <v>11</v>
      </c>
      <c r="O25" s="19">
        <v>1</v>
      </c>
      <c r="P25" s="19">
        <v>1</v>
      </c>
      <c r="Q25" s="19">
        <v>0</v>
      </c>
      <c r="R25" s="19">
        <f>LITI_Q1_HALF113172438[[#This Row],[Off. Boards]]+LITI_Q1_HALF113172438[[#This Row],[Def. Boards]]</f>
        <v>1</v>
      </c>
      <c r="S25" s="19">
        <v>0</v>
      </c>
      <c r="T25" s="19">
        <v>0</v>
      </c>
      <c r="U25" s="19">
        <v>0</v>
      </c>
      <c r="V25" s="19">
        <v>1</v>
      </c>
      <c r="W25" s="92">
        <f>LITI_Q1_HALF113172438[[#This Row],[Dimes]]/LITI_Q1_HALF113172438[[#This Row],[Turnovers]]</f>
        <v>0</v>
      </c>
    </row>
    <row r="26" spans="1:23" x14ac:dyDescent="0.2">
      <c r="A26" s="13" t="s">
        <v>207</v>
      </c>
      <c r="B26" s="90">
        <f>LITI_Q1_HALF113172438[[#This Row],[2PT FGM]]+LITI_Q1_HALF113172438[[#This Row],[3PT FGM]]</f>
        <v>1</v>
      </c>
      <c r="C26" s="90">
        <f>LITI_Q1_HALF113172438[[#This Row],[2PT FGA]]+LITI_Q1_HALF113172438[[#This Row],[3PT FGA]]</f>
        <v>2</v>
      </c>
      <c r="D26" s="91">
        <f>LITI_Q1_HALF113172438[[#This Row],[Total FGM]]/LITI_Q1_HALF113172438[[#This Row],[Total FGA]]</f>
        <v>0.5</v>
      </c>
      <c r="E26" s="98">
        <v>1</v>
      </c>
      <c r="F26" s="19">
        <v>2</v>
      </c>
      <c r="G26" s="91">
        <f>LITI_Q1_HALF113172438[[#This Row],[2PT FGM]]/LITI_Q1_HALF113172438[[#This Row],[2PT FGA]]</f>
        <v>0.5</v>
      </c>
      <c r="H26" s="19">
        <v>0</v>
      </c>
      <c r="I26" s="19">
        <v>0</v>
      </c>
      <c r="J26" s="91" t="e">
        <f>LITI_Q1_HALF113172438[[#This Row],[3PT FGM]]/LITI_Q1_HALF113172438[[#This Row],[3PT FGA]]</f>
        <v>#DIV/0!</v>
      </c>
      <c r="K26" s="19">
        <v>0</v>
      </c>
      <c r="L26" s="19">
        <v>0</v>
      </c>
      <c r="M26" s="99" t="e">
        <f>LITI_Q1_HALF113172438[[#This Row],[FTM]]/LITI_Q1_HALF113172438[[#This Row],[FTA]]</f>
        <v>#DIV/0!</v>
      </c>
      <c r="N26" s="19">
        <f>SUM(LITI_Q1_HALF113172438[[#This Row],[2PT FGM]]*2,LITI_Q1_HALF113172438[[#This Row],[3PT FGM]]*3,LITI_Q1_HALF113172438[[#This Row],[FTM]])</f>
        <v>2</v>
      </c>
      <c r="O26" s="19">
        <v>0</v>
      </c>
      <c r="P26" s="19">
        <v>1</v>
      </c>
      <c r="Q26" s="19">
        <v>1</v>
      </c>
      <c r="R26" s="19">
        <f>LITI_Q1_HALF113172438[[#This Row],[Off. Boards]]+LITI_Q1_HALF113172438[[#This Row],[Def. Boards]]</f>
        <v>2</v>
      </c>
      <c r="S26" s="19">
        <v>1</v>
      </c>
      <c r="T26" s="19">
        <v>1</v>
      </c>
      <c r="U26" s="19">
        <v>1</v>
      </c>
      <c r="V26" s="19">
        <v>0</v>
      </c>
      <c r="W26" s="92" t="e">
        <f>LITI_Q1_HALF113172438[[#This Row],[Dimes]]/LITI_Q1_HALF113172438[[#This Row],[Turnovers]]</f>
        <v>#DIV/0!</v>
      </c>
    </row>
    <row r="27" spans="1:23" x14ac:dyDescent="0.2">
      <c r="A27" s="13" t="s">
        <v>88</v>
      </c>
      <c r="B27" s="90">
        <f>LITI_Q1_HALF113172438[[#This Row],[2PT FGM]]+LITI_Q1_HALF113172438[[#This Row],[3PT FGM]]</f>
        <v>0</v>
      </c>
      <c r="C27" s="90">
        <f>LITI_Q1_HALF113172438[[#This Row],[2PT FGA]]+LITI_Q1_HALF113172438[[#This Row],[3PT FGA]]</f>
        <v>5</v>
      </c>
      <c r="D27" s="91">
        <f>LITI_Q1_HALF113172438[[#This Row],[Total FGM]]/LITI_Q1_HALF113172438[[#This Row],[Total FGA]]</f>
        <v>0</v>
      </c>
      <c r="E27" s="98">
        <v>0</v>
      </c>
      <c r="F27" s="19">
        <v>5</v>
      </c>
      <c r="G27" s="91">
        <f>LITI_Q1_HALF113172438[[#This Row],[2PT FGM]]/LITI_Q1_HALF113172438[[#This Row],[2PT FGA]]</f>
        <v>0</v>
      </c>
      <c r="H27" s="19">
        <v>0</v>
      </c>
      <c r="I27" s="19">
        <v>0</v>
      </c>
      <c r="J27" s="91" t="e">
        <f>LITI_Q1_HALF113172438[[#This Row],[3PT FGM]]/LITI_Q1_HALF113172438[[#This Row],[3PT FGA]]</f>
        <v>#DIV/0!</v>
      </c>
      <c r="K27" s="19">
        <v>0</v>
      </c>
      <c r="L27" s="19">
        <v>0</v>
      </c>
      <c r="M27" s="99" t="e">
        <f>LITI_Q1_HALF113172438[[#This Row],[FTM]]/LITI_Q1_HALF113172438[[#This Row],[FTA]]</f>
        <v>#DIV/0!</v>
      </c>
      <c r="N27" s="19">
        <f>SUM(LITI_Q1_HALF113172438[[#This Row],[2PT FGM]]*2,LITI_Q1_HALF113172438[[#This Row],[3PT FGM]]*3,LITI_Q1_HALF113172438[[#This Row],[FTM]])</f>
        <v>0</v>
      </c>
      <c r="O27" s="19">
        <v>0</v>
      </c>
      <c r="P27" s="19">
        <v>3</v>
      </c>
      <c r="Q27" s="19">
        <v>1</v>
      </c>
      <c r="R27" s="19">
        <f>LITI_Q1_HALF113172438[[#This Row],[Off. Boards]]+LITI_Q1_HALF113172438[[#This Row],[Def. Boards]]</f>
        <v>4</v>
      </c>
      <c r="S27" s="19">
        <v>4</v>
      </c>
      <c r="T27" s="19">
        <v>0</v>
      </c>
      <c r="U27" s="19">
        <v>0</v>
      </c>
      <c r="V27" s="19">
        <v>3</v>
      </c>
      <c r="W27" s="92">
        <f>LITI_Q1_HALF113172438[[#This Row],[Dimes]]/LITI_Q1_HALF113172438[[#This Row],[Turnovers]]</f>
        <v>1.3333333333333333</v>
      </c>
    </row>
    <row r="28" spans="1:23" x14ac:dyDescent="0.2">
      <c r="A28" s="13" t="s">
        <v>98</v>
      </c>
      <c r="B28" s="90">
        <f>LITI_Q1_HALF113172438[[#This Row],[2PT FGM]]+LITI_Q1_HALF113172438[[#This Row],[3PT FGM]]</f>
        <v>0</v>
      </c>
      <c r="C28" s="90">
        <f>LITI_Q1_HALF113172438[[#This Row],[2PT FGA]]+LITI_Q1_HALF113172438[[#This Row],[3PT FGA]]</f>
        <v>1</v>
      </c>
      <c r="D28" s="91">
        <f>LITI_Q1_HALF113172438[[#This Row],[Total FGM]]/LITI_Q1_HALF113172438[[#This Row],[Total FGA]]</f>
        <v>0</v>
      </c>
      <c r="E28" s="98">
        <v>0</v>
      </c>
      <c r="F28" s="19">
        <v>0</v>
      </c>
      <c r="G28" s="91" t="e">
        <f>LITI_Q1_HALF113172438[[#This Row],[2PT FGM]]/LITI_Q1_HALF113172438[[#This Row],[2PT FGA]]</f>
        <v>#DIV/0!</v>
      </c>
      <c r="H28" s="19">
        <v>0</v>
      </c>
      <c r="I28" s="19">
        <v>1</v>
      </c>
      <c r="J28" s="91">
        <f>LITI_Q1_HALF113172438[[#This Row],[3PT FGM]]/LITI_Q1_HALF113172438[[#This Row],[3PT FGA]]</f>
        <v>0</v>
      </c>
      <c r="K28" s="19">
        <v>0</v>
      </c>
      <c r="L28" s="19">
        <v>0</v>
      </c>
      <c r="M28" s="99" t="e">
        <f>LITI_Q1_HALF113172438[[#This Row],[FTM]]/LITI_Q1_HALF113172438[[#This Row],[FTA]]</f>
        <v>#DIV/0!</v>
      </c>
      <c r="N28" s="19">
        <f>SUM(LITI_Q1_HALF113172438[[#This Row],[2PT FGM]]*2,LITI_Q1_HALF113172438[[#This Row],[3PT FGM]]*3,LITI_Q1_HALF113172438[[#This Row],[FTM]])</f>
        <v>0</v>
      </c>
      <c r="O28" s="19">
        <v>0</v>
      </c>
      <c r="P28" s="19">
        <v>0</v>
      </c>
      <c r="Q28" s="19">
        <v>0</v>
      </c>
      <c r="R28" s="19">
        <f>LITI_Q1_HALF113172438[[#This Row],[Off. Boards]]+LITI_Q1_HALF113172438[[#This Row],[Def. Boards]]</f>
        <v>0</v>
      </c>
      <c r="S28" s="19">
        <v>0</v>
      </c>
      <c r="T28" s="19">
        <v>0</v>
      </c>
      <c r="U28" s="19">
        <v>0</v>
      </c>
      <c r="V28" s="19">
        <v>1</v>
      </c>
      <c r="W28" s="92">
        <f>LITI_Q1_HALF113172438[[#This Row],[Dimes]]/LITI_Q1_HALF113172438[[#This Row],[Turnovers]]</f>
        <v>0</v>
      </c>
    </row>
    <row r="29" spans="1:23" x14ac:dyDescent="0.2">
      <c r="A29" s="13" t="s">
        <v>83</v>
      </c>
      <c r="B29" s="90">
        <f>LITI_Q1_HALF113172438[[#This Row],[2PT FGM]]+LITI_Q1_HALF113172438[[#This Row],[3PT FGM]]</f>
        <v>2</v>
      </c>
      <c r="C29" s="90">
        <f>LITI_Q1_HALF113172438[[#This Row],[2PT FGA]]+LITI_Q1_HALF113172438[[#This Row],[3PT FGA]]</f>
        <v>4</v>
      </c>
      <c r="D29" s="91">
        <f>LITI_Q1_HALF113172438[[#This Row],[Total FGM]]/LITI_Q1_HALF113172438[[#This Row],[Total FGA]]</f>
        <v>0.5</v>
      </c>
      <c r="E29" s="98">
        <v>0</v>
      </c>
      <c r="F29" s="19">
        <v>1</v>
      </c>
      <c r="G29" s="91">
        <f>LITI_Q1_HALF113172438[[#This Row],[2PT FGM]]/LITI_Q1_HALF113172438[[#This Row],[2PT FGA]]</f>
        <v>0</v>
      </c>
      <c r="H29" s="19">
        <v>2</v>
      </c>
      <c r="I29" s="19">
        <v>3</v>
      </c>
      <c r="J29" s="91">
        <f>LITI_Q1_HALF113172438[[#This Row],[3PT FGM]]/LITI_Q1_HALF113172438[[#This Row],[3PT FGA]]</f>
        <v>0.66666666666666663</v>
      </c>
      <c r="K29" s="19">
        <v>0</v>
      </c>
      <c r="L29" s="19">
        <v>0</v>
      </c>
      <c r="M29" s="99" t="e">
        <f>LITI_Q1_HALF113172438[[#This Row],[FTM]]/LITI_Q1_HALF113172438[[#This Row],[FTA]]</f>
        <v>#DIV/0!</v>
      </c>
      <c r="N29" s="19">
        <f>SUM(LITI_Q1_HALF113172438[[#This Row],[2PT FGM]]*2,LITI_Q1_HALF113172438[[#This Row],[3PT FGM]]*3,LITI_Q1_HALF113172438[[#This Row],[FTM]])</f>
        <v>6</v>
      </c>
      <c r="O29" s="19">
        <v>0</v>
      </c>
      <c r="P29" s="19">
        <v>1</v>
      </c>
      <c r="Q29" s="19">
        <v>0</v>
      </c>
      <c r="R29" s="19">
        <f>LITI_Q1_HALF113172438[[#This Row],[Off. Boards]]+LITI_Q1_HALF113172438[[#This Row],[Def. Boards]]</f>
        <v>1</v>
      </c>
      <c r="S29" s="19">
        <v>0</v>
      </c>
      <c r="T29" s="19">
        <v>0</v>
      </c>
      <c r="U29" s="19">
        <v>0</v>
      </c>
      <c r="V29" s="19">
        <v>0</v>
      </c>
      <c r="W29" s="92" t="e">
        <f>LITI_Q1_HALF113172438[[#This Row],[Dimes]]/LITI_Q1_HALF113172438[[#This Row],[Turnovers]]</f>
        <v>#DIV/0!</v>
      </c>
    </row>
    <row r="30" spans="1:23" ht="16" thickBot="1" x14ac:dyDescent="0.25">
      <c r="A30" s="82" t="s">
        <v>76</v>
      </c>
      <c r="B30" s="100">
        <f>SUM(B25:B29)</f>
        <v>7</v>
      </c>
      <c r="C30" s="100">
        <f>SUM(C25:C29)</f>
        <v>18</v>
      </c>
      <c r="D30" s="101">
        <f>LITI_Q1_HALF113172438[[#This Row],[Total FGM]]/LITI_Q1_HALF113172438[[#This Row],[Total FGA]]</f>
        <v>0.3888888888888889</v>
      </c>
      <c r="E30" s="102">
        <f>SUM(E25:E29)</f>
        <v>2</v>
      </c>
      <c r="F30" s="103">
        <f>SUM(F25:F29)</f>
        <v>9</v>
      </c>
      <c r="G30" s="108">
        <f>LITI_Q1_HALF113172438[[#This Row],[2PT FGM]]/LITI_Q1_HALF113172438[[#This Row],[2PT FGA]]</f>
        <v>0.22222222222222221</v>
      </c>
      <c r="H30" s="103">
        <f>SUM(H25:H29)</f>
        <v>5</v>
      </c>
      <c r="I30" s="103">
        <f>SUM(I25:I29)</f>
        <v>9</v>
      </c>
      <c r="J30" s="104">
        <f>LITI_Q1_HALF113172438[[#This Row],[3PT FGM]]/LITI_Q1_HALF113172438[[#This Row],[3PT FGA]]</f>
        <v>0.55555555555555558</v>
      </c>
      <c r="K30" s="103">
        <f>SUM(K25:K29)</f>
        <v>0</v>
      </c>
      <c r="L30" s="103">
        <f>SUM(L25:L29)</f>
        <v>0</v>
      </c>
      <c r="M30" s="105" t="e">
        <f>LITI_Q1_HALF113172438[[#This Row],[FTM]]/LITI_Q1_HALF113172438[[#This Row],[FTA]]</f>
        <v>#DIV/0!</v>
      </c>
      <c r="N30" s="62">
        <f>SUM(LITI_Q1_HALF113172438[[#This Row],[2PT FGM]]*2,LITI_Q1_HALF113172438[[#This Row],[3PT FGM]]*3,LITI_Q1_HALF113172438[[#This Row],[FTM]])</f>
        <v>19</v>
      </c>
      <c r="O30" s="106">
        <f>SUM(O25:O29)</f>
        <v>1</v>
      </c>
      <c r="P30" s="106">
        <f t="shared" ref="P30:V30" si="1">SUM(P25:P29)</f>
        <v>6</v>
      </c>
      <c r="Q30" s="106">
        <f t="shared" si="1"/>
        <v>2</v>
      </c>
      <c r="R30" s="106">
        <f t="shared" si="1"/>
        <v>8</v>
      </c>
      <c r="S30" s="106">
        <f t="shared" si="1"/>
        <v>5</v>
      </c>
      <c r="T30" s="106">
        <f t="shared" si="1"/>
        <v>1</v>
      </c>
      <c r="U30" s="106">
        <f t="shared" si="1"/>
        <v>1</v>
      </c>
      <c r="V30" s="106">
        <f t="shared" si="1"/>
        <v>5</v>
      </c>
      <c r="W30" s="107">
        <f>LITI_Q1_HALF113172438[[#This Row],[Dimes]]/LITI_Q1_HALF113172438[[#This Row],[Turnovers]]</f>
        <v>1</v>
      </c>
    </row>
    <row r="32" spans="1:23" ht="16" thickBot="1" x14ac:dyDescent="0.25">
      <c r="A32" s="220" t="s">
        <v>146</v>
      </c>
      <c r="B32" s="219"/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</row>
    <row r="33" spans="1:23" ht="32" x14ac:dyDescent="0.2">
      <c r="A33" s="166" t="s">
        <v>209</v>
      </c>
      <c r="B33" s="11" t="s">
        <v>0</v>
      </c>
      <c r="C33" s="11" t="s">
        <v>1</v>
      </c>
      <c r="D33" s="11" t="s">
        <v>2</v>
      </c>
      <c r="E33" s="95" t="s">
        <v>3</v>
      </c>
      <c r="F33" s="96" t="s">
        <v>4</v>
      </c>
      <c r="G33" s="96" t="s">
        <v>5</v>
      </c>
      <c r="H33" s="96" t="s">
        <v>6</v>
      </c>
      <c r="I33" s="96" t="s">
        <v>7</v>
      </c>
      <c r="J33" s="96" t="s">
        <v>8</v>
      </c>
      <c r="K33" s="96" t="s">
        <v>9</v>
      </c>
      <c r="L33" s="96" t="s">
        <v>10</v>
      </c>
      <c r="M33" s="97" t="s">
        <v>11</v>
      </c>
      <c r="N33" s="11" t="s">
        <v>12</v>
      </c>
      <c r="O33" s="10" t="s">
        <v>13</v>
      </c>
      <c r="P33" s="11" t="s">
        <v>14</v>
      </c>
      <c r="Q33" s="11" t="s">
        <v>15</v>
      </c>
      <c r="R33" s="11" t="s">
        <v>16</v>
      </c>
      <c r="S33" s="10" t="s">
        <v>17</v>
      </c>
      <c r="T33" s="10" t="s">
        <v>18</v>
      </c>
      <c r="U33" s="10" t="s">
        <v>19</v>
      </c>
      <c r="V33" s="10" t="s">
        <v>20</v>
      </c>
      <c r="W33" s="10" t="s">
        <v>21</v>
      </c>
    </row>
    <row r="34" spans="1:23" x14ac:dyDescent="0.2">
      <c r="A34" t="s">
        <v>24</v>
      </c>
      <c r="B34" s="90">
        <f>GN_Q1_HALF114182539[[#This Row],[2PT FGM]]+GN_Q1_HALF114182539[[#This Row],[3PT FGM]]</f>
        <v>2</v>
      </c>
      <c r="C34" s="90">
        <f>GN_Q1_HALF114182539[[#This Row],[2PT FGA]]+GN_Q1_HALF114182539[[#This Row],[3PT FGA]]</f>
        <v>5</v>
      </c>
      <c r="D34" s="91">
        <f>GN_Q1_HALF114182539[[#This Row],[Total FGM]]/GN_Q1_HALF114182539[[#This Row],[Total FGA]]</f>
        <v>0.4</v>
      </c>
      <c r="E34" s="98">
        <v>2</v>
      </c>
      <c r="F34" s="19">
        <v>3</v>
      </c>
      <c r="G34" s="91">
        <f>GN_Q1_HALF114182539[[#This Row],[2PT FGM]]/GN_Q1_HALF114182539[[#This Row],[2PT FGA]]</f>
        <v>0.66666666666666663</v>
      </c>
      <c r="H34" s="19">
        <v>0</v>
      </c>
      <c r="I34" s="19">
        <v>2</v>
      </c>
      <c r="J34" s="91">
        <f>GN_Q1_HALF114182539[[#This Row],[3PT FGM]]/GN_Q1_HALF114182539[[#This Row],[3PT FGA]]</f>
        <v>0</v>
      </c>
      <c r="K34" s="19">
        <v>0</v>
      </c>
      <c r="L34" s="19">
        <v>0</v>
      </c>
      <c r="M34" s="99" t="e">
        <f>GN_Q1_HALF114182539[[#This Row],[FTM]]/GN_Q1_HALF114182539[[#This Row],[FTA]]</f>
        <v>#DIV/0!</v>
      </c>
      <c r="N34" s="19">
        <f>SUM(GN_Q1_HALF114182539[[#This Row],[2PT FGM]]*2,GN_Q1_HALF114182539[[#This Row],[3PT FGM]]*3,GN_Q1_HALF114182539[[#This Row],[FTM]])</f>
        <v>4</v>
      </c>
      <c r="O34" s="19">
        <v>0</v>
      </c>
      <c r="P34" s="19">
        <v>5</v>
      </c>
      <c r="Q34" s="19">
        <v>0</v>
      </c>
      <c r="R34" s="19">
        <f>GN_Q1_HALF114182539[[#This Row],[Off. Boards]]+GN_Q1_HALF114182539[[#This Row],[Def. Boards]]</f>
        <v>5</v>
      </c>
      <c r="S34" s="19">
        <v>4</v>
      </c>
      <c r="T34" s="19">
        <v>1</v>
      </c>
      <c r="U34" s="19">
        <v>0</v>
      </c>
      <c r="V34" s="19">
        <v>0</v>
      </c>
      <c r="W34" s="92" t="e">
        <f>GN_Q1_HALF114182539[[#This Row],[Dimes]]/GN_Q1_HALF114182539[[#This Row],[Turnovers]]</f>
        <v>#DIV/0!</v>
      </c>
    </row>
    <row r="35" spans="1:23" x14ac:dyDescent="0.2">
      <c r="A35" t="s">
        <v>135</v>
      </c>
      <c r="B35" s="90">
        <f>GN_Q1_HALF114182539[[#This Row],[2PT FGM]]+GN_Q1_HALF114182539[[#This Row],[3PT FGM]]</f>
        <v>2</v>
      </c>
      <c r="C35" s="90">
        <f>GN_Q1_HALF114182539[[#This Row],[2PT FGA]]+GN_Q1_HALF114182539[[#This Row],[3PT FGA]]</f>
        <v>3</v>
      </c>
      <c r="D35" s="91">
        <f>GN_Q1_HALF114182539[[#This Row],[Total FGM]]/GN_Q1_HALF114182539[[#This Row],[Total FGA]]</f>
        <v>0.66666666666666663</v>
      </c>
      <c r="E35" s="98">
        <v>2</v>
      </c>
      <c r="F35" s="19">
        <v>3</v>
      </c>
      <c r="G35" s="91">
        <f>GN_Q1_HALF114182539[[#This Row],[2PT FGM]]/GN_Q1_HALF114182539[[#This Row],[2PT FGA]]</f>
        <v>0.66666666666666663</v>
      </c>
      <c r="H35" s="19">
        <v>0</v>
      </c>
      <c r="I35" s="19">
        <v>0</v>
      </c>
      <c r="J35" s="91" t="e">
        <f>GN_Q1_HALF114182539[[#This Row],[3PT FGM]]/GN_Q1_HALF114182539[[#This Row],[3PT FGA]]</f>
        <v>#DIV/0!</v>
      </c>
      <c r="K35" s="19">
        <v>0</v>
      </c>
      <c r="L35" s="19">
        <v>0</v>
      </c>
      <c r="M35" s="99" t="e">
        <f>GN_Q1_HALF114182539[[#This Row],[FTM]]/GN_Q1_HALF114182539[[#This Row],[FTA]]</f>
        <v>#DIV/0!</v>
      </c>
      <c r="N35" s="19">
        <f>SUM(GN_Q1_HALF114182539[[#This Row],[2PT FGM]]*2,GN_Q1_HALF114182539[[#This Row],[3PT FGM]]*3,GN_Q1_HALF114182539[[#This Row],[FTM]])</f>
        <v>4</v>
      </c>
      <c r="O35" s="19">
        <v>2</v>
      </c>
      <c r="P35" s="19">
        <v>2</v>
      </c>
      <c r="Q35" s="19">
        <v>1</v>
      </c>
      <c r="R35" s="19">
        <f>GN_Q1_HALF114182539[[#This Row],[Off. Boards]]+GN_Q1_HALF114182539[[#This Row],[Def. Boards]]</f>
        <v>3</v>
      </c>
      <c r="S35" s="19">
        <v>1</v>
      </c>
      <c r="T35" s="19">
        <v>2</v>
      </c>
      <c r="U35" s="19">
        <v>0</v>
      </c>
      <c r="V35" s="19">
        <v>1</v>
      </c>
      <c r="W35" s="92">
        <f>GN_Q1_HALF114182539[[#This Row],[Dimes]]/GN_Q1_HALF114182539[[#This Row],[Turnovers]]</f>
        <v>1</v>
      </c>
    </row>
    <row r="36" spans="1:23" x14ac:dyDescent="0.2">
      <c r="A36" t="s">
        <v>103</v>
      </c>
      <c r="B36" s="90">
        <f>GN_Q1_HALF114182539[[#This Row],[2PT FGM]]+GN_Q1_HALF114182539[[#This Row],[3PT FGM]]</f>
        <v>2</v>
      </c>
      <c r="C36" s="90">
        <f>GN_Q1_HALF114182539[[#This Row],[2PT FGA]]+GN_Q1_HALF114182539[[#This Row],[3PT FGA]]</f>
        <v>5</v>
      </c>
      <c r="D36" s="91">
        <f>GN_Q1_HALF114182539[[#This Row],[Total FGM]]/GN_Q1_HALF114182539[[#This Row],[Total FGA]]</f>
        <v>0.4</v>
      </c>
      <c r="E36" s="98">
        <v>0</v>
      </c>
      <c r="F36" s="19">
        <v>0</v>
      </c>
      <c r="G36" s="91" t="e">
        <f>GN_Q1_HALF114182539[[#This Row],[2PT FGM]]/GN_Q1_HALF114182539[[#This Row],[2PT FGA]]</f>
        <v>#DIV/0!</v>
      </c>
      <c r="H36" s="19">
        <v>2</v>
      </c>
      <c r="I36" s="19">
        <v>5</v>
      </c>
      <c r="J36" s="91">
        <f>GN_Q1_HALF114182539[[#This Row],[3PT FGM]]/GN_Q1_HALF114182539[[#This Row],[3PT FGA]]</f>
        <v>0.4</v>
      </c>
      <c r="K36" s="19">
        <v>0</v>
      </c>
      <c r="L36" s="19">
        <v>0</v>
      </c>
      <c r="M36" s="99" t="e">
        <f>GN_Q1_HALF114182539[[#This Row],[FTM]]/GN_Q1_HALF114182539[[#This Row],[FTA]]</f>
        <v>#DIV/0!</v>
      </c>
      <c r="N36" s="19">
        <f>SUM(GN_Q1_HALF114182539[[#This Row],[2PT FGM]]*2,GN_Q1_HALF114182539[[#This Row],[3PT FGM]]*3,GN_Q1_HALF114182539[[#This Row],[FTM]])</f>
        <v>6</v>
      </c>
      <c r="O36" s="19">
        <v>0</v>
      </c>
      <c r="P36" s="19">
        <v>1</v>
      </c>
      <c r="Q36" s="19">
        <v>0</v>
      </c>
      <c r="R36" s="19">
        <f>GN_Q1_HALF114182539[[#This Row],[Off. Boards]]+GN_Q1_HALF114182539[[#This Row],[Def. Boards]]</f>
        <v>1</v>
      </c>
      <c r="S36" s="19">
        <v>2</v>
      </c>
      <c r="T36" s="19">
        <v>0</v>
      </c>
      <c r="U36" s="19">
        <v>0</v>
      </c>
      <c r="V36" s="19">
        <v>0</v>
      </c>
      <c r="W36" s="92" t="e">
        <f>GN_Q1_HALF114182539[[#This Row],[Dimes]]/GN_Q1_HALF114182539[[#This Row],[Turnovers]]</f>
        <v>#DIV/0!</v>
      </c>
    </row>
    <row r="37" spans="1:23" x14ac:dyDescent="0.2">
      <c r="A37" t="s">
        <v>100</v>
      </c>
      <c r="B37" s="90">
        <f>GN_Q1_HALF114182539[[#This Row],[2PT FGM]]+GN_Q1_HALF114182539[[#This Row],[3PT FGM]]</f>
        <v>4</v>
      </c>
      <c r="C37" s="90">
        <f>GN_Q1_HALF114182539[[#This Row],[2PT FGA]]+GN_Q1_HALF114182539[[#This Row],[3PT FGA]]</f>
        <v>7</v>
      </c>
      <c r="D37" s="91">
        <f>GN_Q1_HALF114182539[[#This Row],[Total FGM]]/GN_Q1_HALF114182539[[#This Row],[Total FGA]]</f>
        <v>0.5714285714285714</v>
      </c>
      <c r="E37" s="98">
        <v>2</v>
      </c>
      <c r="F37" s="19">
        <v>2</v>
      </c>
      <c r="G37" s="91">
        <f>GN_Q1_HALF114182539[[#This Row],[2PT FGM]]/GN_Q1_HALF114182539[[#This Row],[2PT FGA]]</f>
        <v>1</v>
      </c>
      <c r="H37" s="19">
        <v>2</v>
      </c>
      <c r="I37" s="19">
        <v>5</v>
      </c>
      <c r="J37" s="91">
        <f>GN_Q1_HALF114182539[[#This Row],[3PT FGM]]/GN_Q1_HALF114182539[[#This Row],[3PT FGA]]</f>
        <v>0.4</v>
      </c>
      <c r="K37" s="19">
        <v>0</v>
      </c>
      <c r="L37" s="19">
        <v>0</v>
      </c>
      <c r="M37" s="99" t="e">
        <f>GN_Q1_HALF114182539[[#This Row],[FTM]]/GN_Q1_HALF114182539[[#This Row],[FTA]]</f>
        <v>#DIV/0!</v>
      </c>
      <c r="N37" s="19">
        <f>SUM(GN_Q1_HALF114182539[[#This Row],[2PT FGM]]*2,GN_Q1_HALF114182539[[#This Row],[3PT FGM]]*3,GN_Q1_HALF114182539[[#This Row],[FTM]])</f>
        <v>10</v>
      </c>
      <c r="O37" s="19">
        <v>0</v>
      </c>
      <c r="P37" s="19">
        <v>0</v>
      </c>
      <c r="Q37" s="19">
        <v>0</v>
      </c>
      <c r="R37" s="19">
        <f>GN_Q1_HALF114182539[[#This Row],[Off. Boards]]+GN_Q1_HALF114182539[[#This Row],[Def. Boards]]</f>
        <v>0</v>
      </c>
      <c r="S37" s="19">
        <v>0</v>
      </c>
      <c r="T37" s="19">
        <v>0</v>
      </c>
      <c r="U37" s="19">
        <v>1</v>
      </c>
      <c r="V37" s="19">
        <v>0</v>
      </c>
      <c r="W37" s="92" t="e">
        <f>GN_Q1_HALF114182539[[#This Row],[Dimes]]/GN_Q1_HALF114182539[[#This Row],[Turnovers]]</f>
        <v>#DIV/0!</v>
      </c>
    </row>
    <row r="38" spans="1:23" x14ac:dyDescent="0.2">
      <c r="B38" s="90"/>
      <c r="C38" s="90"/>
      <c r="D38" s="91"/>
      <c r="E38" s="98"/>
      <c r="F38" s="19"/>
      <c r="G38" s="91"/>
      <c r="H38" s="19"/>
      <c r="I38" s="19"/>
      <c r="J38" s="91"/>
      <c r="K38" s="19"/>
      <c r="L38" s="19"/>
      <c r="M38" s="99"/>
      <c r="N38" s="19"/>
      <c r="O38" s="19"/>
      <c r="P38" s="19"/>
      <c r="Q38" s="19"/>
      <c r="R38" s="19"/>
      <c r="S38" s="19"/>
      <c r="T38" s="19"/>
      <c r="U38" s="19"/>
      <c r="V38" s="19"/>
      <c r="W38" s="92"/>
    </row>
    <row r="39" spans="1:23" ht="16" thickBot="1" x14ac:dyDescent="0.25">
      <c r="A39" s="82" t="s">
        <v>76</v>
      </c>
      <c r="B39" s="100">
        <f>SUM(B34:B38)</f>
        <v>10</v>
      </c>
      <c r="C39" s="100">
        <f>SUM(C34:C38)</f>
        <v>20</v>
      </c>
      <c r="D39" s="101">
        <f>GN_Q1_HALF114182539[[#This Row],[Total FGM]]/GN_Q1_HALF114182539[[#This Row],[Total FGA]]</f>
        <v>0.5</v>
      </c>
      <c r="E39" s="102">
        <f>SUM(E34:E38)</f>
        <v>6</v>
      </c>
      <c r="F39" s="103">
        <f>SUM(F34:F38)</f>
        <v>8</v>
      </c>
      <c r="G39" s="104">
        <f>GN_Q1_HALF114182539[[#This Row],[2PT FGM]]/GN_Q1_HALF114182539[[#This Row],[2PT FGA]]</f>
        <v>0.75</v>
      </c>
      <c r="H39" s="103">
        <f>SUM(H34:H38)</f>
        <v>4</v>
      </c>
      <c r="I39" s="103">
        <f>SUM(I34:I38)</f>
        <v>12</v>
      </c>
      <c r="J39" s="109">
        <f>GN_Q1_HALF114182539[[#This Row],[3PT FGM]]/GN_Q1_HALF114182539[[#This Row],[3PT FGA]]</f>
        <v>0.33333333333333331</v>
      </c>
      <c r="K39" s="103">
        <f>SUM(K34:K38)</f>
        <v>0</v>
      </c>
      <c r="L39" s="103">
        <f>SUM(L34:L38)</f>
        <v>0</v>
      </c>
      <c r="M39" s="105" t="e">
        <f>GN_Q1_HALF114182539[[#This Row],[FTM]]/GN_Q1_HALF114182539[[#This Row],[FTA]]</f>
        <v>#DIV/0!</v>
      </c>
      <c r="N39" s="62">
        <f>SUM(GN_Q1_HALF114182539[[#This Row],[2PT FGM]]*2,GN_Q1_HALF114182539[[#This Row],[3PT FGM]]*3,GN_Q1_HALF114182539[[#This Row],[FTM]])</f>
        <v>24</v>
      </c>
      <c r="O39" s="100">
        <f>SUM(O34:O38)</f>
        <v>2</v>
      </c>
      <c r="P39" s="100">
        <f>SUM(P34:P38)</f>
        <v>8</v>
      </c>
      <c r="Q39" s="100">
        <f>SUM(Q34:Q38)</f>
        <v>1</v>
      </c>
      <c r="R39" s="106">
        <f>GN_Q1_HALF114182539[[#This Row],[Def. Boards]]+GN_Q1_HALF114182539[[#This Row],[Off. Boards]]</f>
        <v>9</v>
      </c>
      <c r="S39" s="100">
        <f>SUM(S34:S38)</f>
        <v>7</v>
      </c>
      <c r="T39" s="100">
        <f>SUM(T34:T38)</f>
        <v>3</v>
      </c>
      <c r="U39" s="100">
        <f>SUM(U34:U38)</f>
        <v>1</v>
      </c>
      <c r="V39" s="100">
        <f>SUM(V34:V38)</f>
        <v>1</v>
      </c>
      <c r="W39" s="107">
        <f>GN_Q1_HALF114182539[[#This Row],[Dimes]]/GN_Q1_HALF114182539[[#This Row],[Turnovers]]</f>
        <v>7</v>
      </c>
    </row>
    <row r="41" spans="1:23" ht="16" thickBot="1" x14ac:dyDescent="0.25">
      <c r="A41" s="221" t="s">
        <v>147</v>
      </c>
      <c r="B41" s="222"/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</row>
    <row r="42" spans="1:23" ht="32" x14ac:dyDescent="0.2">
      <c r="A42" s="166" t="s">
        <v>208</v>
      </c>
      <c r="B42" s="11" t="s">
        <v>0</v>
      </c>
      <c r="C42" s="11" t="s">
        <v>1</v>
      </c>
      <c r="D42" s="11" t="s">
        <v>2</v>
      </c>
      <c r="E42" s="95" t="s">
        <v>3</v>
      </c>
      <c r="F42" s="96" t="s">
        <v>4</v>
      </c>
      <c r="G42" s="96" t="s">
        <v>5</v>
      </c>
      <c r="H42" s="96" t="s">
        <v>6</v>
      </c>
      <c r="I42" s="96" t="s">
        <v>7</v>
      </c>
      <c r="J42" s="96" t="s">
        <v>8</v>
      </c>
      <c r="K42" s="96" t="s">
        <v>9</v>
      </c>
      <c r="L42" s="96" t="s">
        <v>10</v>
      </c>
      <c r="M42" s="97" t="s">
        <v>11</v>
      </c>
      <c r="N42" s="11" t="s">
        <v>12</v>
      </c>
      <c r="O42" s="10" t="s">
        <v>13</v>
      </c>
      <c r="P42" s="11" t="s">
        <v>14</v>
      </c>
      <c r="Q42" s="11" t="s">
        <v>15</v>
      </c>
      <c r="R42" s="11" t="s">
        <v>16</v>
      </c>
      <c r="S42" s="10" t="s">
        <v>17</v>
      </c>
      <c r="T42" s="10" t="s">
        <v>18</v>
      </c>
      <c r="U42" s="10" t="s">
        <v>19</v>
      </c>
      <c r="V42" s="10" t="s">
        <v>20</v>
      </c>
      <c r="W42" s="10" t="s">
        <v>21</v>
      </c>
    </row>
    <row r="43" spans="1:23" x14ac:dyDescent="0.2">
      <c r="A43" s="13" t="s">
        <v>96</v>
      </c>
      <c r="B43" s="90">
        <f>LITI_Q1_HALF113193240[[#This Row],[2PT FGM]]+LITI_Q1_HALF113193240[[#This Row],[3PT FGM]]</f>
        <v>3</v>
      </c>
      <c r="C43" s="90">
        <f>LITI_Q1_HALF113193240[[#This Row],[2PT FGA]]+LITI_Q1_HALF113193240[[#This Row],[3PT FGA]]</f>
        <v>6</v>
      </c>
      <c r="D43" s="91">
        <f>LITI_Q1_HALF113193240[[#This Row],[Total FGM]]/LITI_Q1_HALF113193240[[#This Row],[Total FGA]]</f>
        <v>0.5</v>
      </c>
      <c r="E43" s="98">
        <v>0</v>
      </c>
      <c r="F43" s="19">
        <v>1</v>
      </c>
      <c r="G43" s="91">
        <f>LITI_Q1_HALF113193240[[#This Row],[2PT FGM]]/LITI_Q1_HALF113193240[[#This Row],[2PT FGA]]</f>
        <v>0</v>
      </c>
      <c r="H43" s="19">
        <v>3</v>
      </c>
      <c r="I43" s="19">
        <v>5</v>
      </c>
      <c r="J43" s="91">
        <f>LITI_Q1_HALF113193240[[#This Row],[3PT FGM]]/LITI_Q1_HALF113193240[[#This Row],[3PT FGA]]</f>
        <v>0.6</v>
      </c>
      <c r="K43" s="19">
        <v>0</v>
      </c>
      <c r="L43" s="19">
        <v>0</v>
      </c>
      <c r="M43" s="99" t="e">
        <f>LITI_Q1_HALF113193240[[#This Row],[FTM]]/LITI_Q1_HALF113193240[[#This Row],[FTA]]</f>
        <v>#DIV/0!</v>
      </c>
      <c r="N43" s="19">
        <f>SUM(LITI_Q1_HALF113193240[[#This Row],[2PT FGM]]*2,LITI_Q1_HALF113193240[[#This Row],[3PT FGM]]*3,LITI_Q1_HALF113193240[[#This Row],[FTM]])</f>
        <v>9</v>
      </c>
      <c r="O43" s="19">
        <v>0</v>
      </c>
      <c r="P43" s="19">
        <v>2</v>
      </c>
      <c r="Q43" s="19">
        <v>1</v>
      </c>
      <c r="R43" s="19">
        <f>LITI_Q1_HALF113193240[[#This Row],[Off. Boards]]+LITI_Q1_HALF113193240[[#This Row],[Def. Boards]]</f>
        <v>3</v>
      </c>
      <c r="S43" s="19">
        <v>1</v>
      </c>
      <c r="T43" s="19">
        <v>1</v>
      </c>
      <c r="U43" s="19">
        <v>0</v>
      </c>
      <c r="V43" s="19">
        <v>0</v>
      </c>
      <c r="W43" s="92" t="e">
        <f>LITI_Q1_HALF113193240[[#This Row],[Dimes]]/LITI_Q1_HALF113193240[[#This Row],[Turnovers]]</f>
        <v>#DIV/0!</v>
      </c>
    </row>
    <row r="44" spans="1:23" x14ac:dyDescent="0.2">
      <c r="A44" s="13" t="s">
        <v>207</v>
      </c>
      <c r="B44" s="90">
        <f>LITI_Q1_HALF113193240[[#This Row],[2PT FGM]]+LITI_Q1_HALF113193240[[#This Row],[3PT FGM]]</f>
        <v>1</v>
      </c>
      <c r="C44" s="90">
        <f>LITI_Q1_HALF113193240[[#This Row],[2PT FGA]]+LITI_Q1_HALF113193240[[#This Row],[3PT FGA]]</f>
        <v>4</v>
      </c>
      <c r="D44" s="91">
        <f>LITI_Q1_HALF113193240[[#This Row],[Total FGM]]/LITI_Q1_HALF113193240[[#This Row],[Total FGA]]</f>
        <v>0.25</v>
      </c>
      <c r="E44" s="98">
        <v>1</v>
      </c>
      <c r="F44" s="19">
        <v>1</v>
      </c>
      <c r="G44" s="91">
        <f>LITI_Q1_HALF113193240[[#This Row],[2PT FGM]]/LITI_Q1_HALF113193240[[#This Row],[2PT FGA]]</f>
        <v>1</v>
      </c>
      <c r="H44" s="19">
        <v>0</v>
      </c>
      <c r="I44" s="19">
        <v>3</v>
      </c>
      <c r="J44" s="91">
        <f>LITI_Q1_HALF113193240[[#This Row],[3PT FGM]]/LITI_Q1_HALF113193240[[#This Row],[3PT FGA]]</f>
        <v>0</v>
      </c>
      <c r="K44" s="19">
        <v>0</v>
      </c>
      <c r="L44" s="19">
        <v>0</v>
      </c>
      <c r="M44" s="99" t="e">
        <f>LITI_Q1_HALF113193240[[#This Row],[FTM]]/LITI_Q1_HALF113193240[[#This Row],[FTA]]</f>
        <v>#DIV/0!</v>
      </c>
      <c r="N44" s="19">
        <f>SUM(LITI_Q1_HALF113193240[[#This Row],[2PT FGM]]*2,LITI_Q1_HALF113193240[[#This Row],[3PT FGM]]*3,LITI_Q1_HALF113193240[[#This Row],[FTM]])</f>
        <v>2</v>
      </c>
      <c r="O44" s="19">
        <v>1</v>
      </c>
      <c r="P44" s="19">
        <v>1</v>
      </c>
      <c r="Q44" s="19">
        <v>2</v>
      </c>
      <c r="R44" s="19">
        <f>LITI_Q1_HALF113193240[[#This Row],[Off. Boards]]+LITI_Q1_HALF113193240[[#This Row],[Def. Boards]]</f>
        <v>3</v>
      </c>
      <c r="S44" s="19">
        <v>0</v>
      </c>
      <c r="T44" s="19">
        <v>1</v>
      </c>
      <c r="U44" s="19">
        <v>0</v>
      </c>
      <c r="V44" s="19">
        <v>0</v>
      </c>
      <c r="W44" s="92" t="e">
        <f>LITI_Q1_HALF113193240[[#This Row],[Dimes]]/LITI_Q1_HALF113193240[[#This Row],[Turnovers]]</f>
        <v>#DIV/0!</v>
      </c>
    </row>
    <row r="45" spans="1:23" x14ac:dyDescent="0.2">
      <c r="A45" s="13" t="s">
        <v>88</v>
      </c>
      <c r="B45" s="90">
        <f>LITI_Q1_HALF113193240[[#This Row],[2PT FGM]]+LITI_Q1_HALF113193240[[#This Row],[3PT FGM]]</f>
        <v>2</v>
      </c>
      <c r="C45" s="90">
        <f>LITI_Q1_HALF113193240[[#This Row],[2PT FGA]]+LITI_Q1_HALF113193240[[#This Row],[3PT FGA]]</f>
        <v>9</v>
      </c>
      <c r="D45" s="91">
        <f>LITI_Q1_HALF113193240[[#This Row],[Total FGM]]/LITI_Q1_HALF113193240[[#This Row],[Total FGA]]</f>
        <v>0.22222222222222221</v>
      </c>
      <c r="E45" s="98">
        <v>2</v>
      </c>
      <c r="F45" s="19">
        <v>4</v>
      </c>
      <c r="G45" s="91">
        <f>LITI_Q1_HALF113193240[[#This Row],[2PT FGM]]/LITI_Q1_HALF113193240[[#This Row],[2PT FGA]]</f>
        <v>0.5</v>
      </c>
      <c r="H45" s="19">
        <v>0</v>
      </c>
      <c r="I45" s="19">
        <v>5</v>
      </c>
      <c r="J45" s="91">
        <f>LITI_Q1_HALF113193240[[#This Row],[3PT FGM]]/LITI_Q1_HALF113193240[[#This Row],[3PT FGA]]</f>
        <v>0</v>
      </c>
      <c r="K45" s="19">
        <v>0</v>
      </c>
      <c r="L45" s="19">
        <v>0</v>
      </c>
      <c r="M45" s="99" t="e">
        <f>LITI_Q1_HALF113193240[[#This Row],[FTM]]/LITI_Q1_HALF113193240[[#This Row],[FTA]]</f>
        <v>#DIV/0!</v>
      </c>
      <c r="N45" s="19">
        <f>SUM(LITI_Q1_HALF113193240[[#This Row],[2PT FGM]]*2,LITI_Q1_HALF113193240[[#This Row],[3PT FGM]]*3,LITI_Q1_HALF113193240[[#This Row],[FTM]])</f>
        <v>4</v>
      </c>
      <c r="O45" s="19">
        <v>0</v>
      </c>
      <c r="P45" s="19">
        <v>2</v>
      </c>
      <c r="Q45" s="19">
        <v>1</v>
      </c>
      <c r="R45" s="19">
        <f>LITI_Q1_HALF113193240[[#This Row],[Off. Boards]]+LITI_Q1_HALF113193240[[#This Row],[Def. Boards]]</f>
        <v>3</v>
      </c>
      <c r="S45" s="19">
        <v>1</v>
      </c>
      <c r="T45" s="19">
        <v>2</v>
      </c>
      <c r="U45" s="19">
        <v>0</v>
      </c>
      <c r="V45" s="19">
        <v>1</v>
      </c>
      <c r="W45" s="92">
        <f>LITI_Q1_HALF113193240[[#This Row],[Dimes]]/LITI_Q1_HALF113193240[[#This Row],[Turnovers]]</f>
        <v>1</v>
      </c>
    </row>
    <row r="46" spans="1:23" x14ac:dyDescent="0.2">
      <c r="A46" s="13" t="s">
        <v>98</v>
      </c>
      <c r="B46" s="90">
        <f>LITI_Q1_HALF113193240[[#This Row],[2PT FGM]]+LITI_Q1_HALF113193240[[#This Row],[3PT FGM]]</f>
        <v>0</v>
      </c>
      <c r="C46" s="90">
        <f>LITI_Q1_HALF113193240[[#This Row],[2PT FGA]]+LITI_Q1_HALF113193240[[#This Row],[3PT FGA]]</f>
        <v>3</v>
      </c>
      <c r="D46" s="91">
        <f>LITI_Q1_HALF113193240[[#This Row],[Total FGM]]/LITI_Q1_HALF113193240[[#This Row],[Total FGA]]</f>
        <v>0</v>
      </c>
      <c r="E46" s="98">
        <v>0</v>
      </c>
      <c r="F46" s="19">
        <v>2</v>
      </c>
      <c r="G46" s="91">
        <f>LITI_Q1_HALF113193240[[#This Row],[2PT FGM]]/LITI_Q1_HALF113193240[[#This Row],[2PT FGA]]</f>
        <v>0</v>
      </c>
      <c r="H46" s="19">
        <v>0</v>
      </c>
      <c r="I46" s="19">
        <v>1</v>
      </c>
      <c r="J46" s="91">
        <f>LITI_Q1_HALF113193240[[#This Row],[3PT FGM]]/LITI_Q1_HALF113193240[[#This Row],[3PT FGA]]</f>
        <v>0</v>
      </c>
      <c r="K46" s="19">
        <v>0</v>
      </c>
      <c r="L46" s="19">
        <v>0</v>
      </c>
      <c r="M46" s="99" t="e">
        <f>LITI_Q1_HALF113193240[[#This Row],[FTM]]/LITI_Q1_HALF113193240[[#This Row],[FTA]]</f>
        <v>#DIV/0!</v>
      </c>
      <c r="N46" s="19">
        <f>SUM(LITI_Q1_HALF113193240[[#This Row],[2PT FGM]]*2,LITI_Q1_HALF113193240[[#This Row],[3PT FGM]]*3,LITI_Q1_HALF113193240[[#This Row],[FTM]])</f>
        <v>0</v>
      </c>
      <c r="O46" s="19">
        <v>0</v>
      </c>
      <c r="P46" s="19">
        <v>0</v>
      </c>
      <c r="Q46" s="19">
        <v>0</v>
      </c>
      <c r="R46" s="19">
        <f>LITI_Q1_HALF113193240[[#This Row],[Off. Boards]]+LITI_Q1_HALF113193240[[#This Row],[Def. Boards]]</f>
        <v>0</v>
      </c>
      <c r="S46" s="19">
        <v>0</v>
      </c>
      <c r="T46" s="19">
        <v>0</v>
      </c>
      <c r="U46" s="19">
        <v>0</v>
      </c>
      <c r="V46" s="19">
        <v>0</v>
      </c>
      <c r="W46" s="92" t="e">
        <f>LITI_Q1_HALF113193240[[#This Row],[Dimes]]/LITI_Q1_HALF113193240[[#This Row],[Turnovers]]</f>
        <v>#DIV/0!</v>
      </c>
    </row>
    <row r="47" spans="1:23" x14ac:dyDescent="0.2">
      <c r="A47" s="13" t="s">
        <v>83</v>
      </c>
      <c r="B47" s="90">
        <f>LITI_Q1_HALF113193240[[#This Row],[2PT FGM]]+LITI_Q1_HALF113193240[[#This Row],[3PT FGM]]</f>
        <v>0</v>
      </c>
      <c r="C47" s="90">
        <f>LITI_Q1_HALF113193240[[#This Row],[2PT FGA]]+LITI_Q1_HALF113193240[[#This Row],[3PT FGA]]</f>
        <v>2</v>
      </c>
      <c r="D47" s="91">
        <f>LITI_Q1_HALF113193240[[#This Row],[Total FGM]]/LITI_Q1_HALF113193240[[#This Row],[Total FGA]]</f>
        <v>0</v>
      </c>
      <c r="E47" s="98">
        <v>0</v>
      </c>
      <c r="F47" s="19">
        <v>2</v>
      </c>
      <c r="G47" s="91">
        <f>LITI_Q1_HALF113193240[[#This Row],[2PT FGM]]/LITI_Q1_HALF113193240[[#This Row],[2PT FGA]]</f>
        <v>0</v>
      </c>
      <c r="H47" s="19">
        <v>0</v>
      </c>
      <c r="I47" s="19">
        <v>0</v>
      </c>
      <c r="J47" s="91" t="e">
        <f>LITI_Q1_HALF113193240[[#This Row],[3PT FGM]]/LITI_Q1_HALF113193240[[#This Row],[3PT FGA]]</f>
        <v>#DIV/0!</v>
      </c>
      <c r="K47" s="19">
        <v>0</v>
      </c>
      <c r="L47" s="19">
        <v>0</v>
      </c>
      <c r="M47" s="99" t="e">
        <f>LITI_Q1_HALF113193240[[#This Row],[FTM]]/LITI_Q1_HALF113193240[[#This Row],[FTA]]</f>
        <v>#DIV/0!</v>
      </c>
      <c r="N47" s="19">
        <f>SUM(LITI_Q1_HALF113193240[[#This Row],[2PT FGM]]*2,LITI_Q1_HALF113193240[[#This Row],[3PT FGM]]*3,LITI_Q1_HALF113193240[[#This Row],[FTM]])</f>
        <v>0</v>
      </c>
      <c r="O47" s="19">
        <v>0</v>
      </c>
      <c r="P47" s="19">
        <v>0</v>
      </c>
      <c r="Q47" s="19">
        <v>0</v>
      </c>
      <c r="R47" s="19">
        <f>LITI_Q1_HALF113193240[[#This Row],[Off. Boards]]+LITI_Q1_HALF113193240[[#This Row],[Def. Boards]]</f>
        <v>0</v>
      </c>
      <c r="S47" s="19">
        <v>0</v>
      </c>
      <c r="T47" s="19">
        <v>0</v>
      </c>
      <c r="U47" s="19">
        <v>0</v>
      </c>
      <c r="V47" s="19">
        <v>0</v>
      </c>
      <c r="W47" s="92" t="e">
        <f>LITI_Q1_HALF113193240[[#This Row],[Dimes]]/LITI_Q1_HALF113193240[[#This Row],[Turnovers]]</f>
        <v>#DIV/0!</v>
      </c>
    </row>
    <row r="48" spans="1:23" ht="16" thickBot="1" x14ac:dyDescent="0.25">
      <c r="A48" s="82" t="s">
        <v>76</v>
      </c>
      <c r="B48" s="100">
        <f>SUM(B43:B47)</f>
        <v>6</v>
      </c>
      <c r="C48" s="100">
        <f>SUM(C43:C47)</f>
        <v>24</v>
      </c>
      <c r="D48" s="101">
        <f>LITI_Q1_HALF113193240[[#This Row],[Total FGM]]/LITI_Q1_HALF113193240[[#This Row],[Total FGA]]</f>
        <v>0.25</v>
      </c>
      <c r="E48" s="102">
        <f>SUM(E43:E47)</f>
        <v>3</v>
      </c>
      <c r="F48" s="103">
        <f>SUM(F43:F47)</f>
        <v>10</v>
      </c>
      <c r="G48" s="108">
        <f>LITI_Q1_HALF113193240[[#This Row],[2PT FGM]]/LITI_Q1_HALF113193240[[#This Row],[2PT FGA]]</f>
        <v>0.3</v>
      </c>
      <c r="H48" s="103">
        <f>SUM(H43:H47)</f>
        <v>3</v>
      </c>
      <c r="I48" s="103">
        <f>SUM(I43:I47)</f>
        <v>14</v>
      </c>
      <c r="J48" s="104">
        <f>LITI_Q1_HALF113193240[[#This Row],[3PT FGM]]/LITI_Q1_HALF113193240[[#This Row],[3PT FGA]]</f>
        <v>0.21428571428571427</v>
      </c>
      <c r="K48" s="103">
        <f>SUM(K43:K47)</f>
        <v>0</v>
      </c>
      <c r="L48" s="103">
        <f>SUM(L43:L47)</f>
        <v>0</v>
      </c>
      <c r="M48" s="105" t="e">
        <f>LITI_Q1_HALF113193240[[#This Row],[FTM]]/LITI_Q1_HALF113193240[[#This Row],[FTA]]</f>
        <v>#DIV/0!</v>
      </c>
      <c r="N48" s="62">
        <f>SUM(LITI_Q1_HALF113193240[[#This Row],[2PT FGM]]*2,LITI_Q1_HALF113193240[[#This Row],[3PT FGM]]*3,LITI_Q1_HALF113193240[[#This Row],[FTM]])</f>
        <v>15</v>
      </c>
      <c r="O48" s="106">
        <f>SUM(O43:O47)</f>
        <v>1</v>
      </c>
      <c r="P48" s="106">
        <f t="shared" ref="P48:V48" si="2">SUM(P43:P47)</f>
        <v>5</v>
      </c>
      <c r="Q48" s="106">
        <f t="shared" si="2"/>
        <v>4</v>
      </c>
      <c r="R48" s="106">
        <f t="shared" si="2"/>
        <v>9</v>
      </c>
      <c r="S48" s="106">
        <f t="shared" si="2"/>
        <v>2</v>
      </c>
      <c r="T48" s="106">
        <f t="shared" si="2"/>
        <v>4</v>
      </c>
      <c r="U48" s="106">
        <f t="shared" si="2"/>
        <v>0</v>
      </c>
      <c r="V48" s="106">
        <f t="shared" si="2"/>
        <v>1</v>
      </c>
      <c r="W48" s="107">
        <f>LITI_Q1_HALF113193240[[#This Row],[Dimes]]/LITI_Q1_HALF113193240[[#This Row],[Turnovers]]</f>
        <v>2</v>
      </c>
    </row>
    <row r="50" spans="1:23" ht="16" thickBot="1" x14ac:dyDescent="0.25">
      <c r="A50" s="223" t="s">
        <v>147</v>
      </c>
      <c r="B50" s="224"/>
      <c r="C50" s="224"/>
      <c r="D50" s="224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</row>
    <row r="51" spans="1:23" ht="32" x14ac:dyDescent="0.2">
      <c r="A51" s="166" t="s">
        <v>209</v>
      </c>
      <c r="B51" s="11" t="s">
        <v>0</v>
      </c>
      <c r="C51" s="11" t="s">
        <v>1</v>
      </c>
      <c r="D51" s="11" t="s">
        <v>2</v>
      </c>
      <c r="E51" s="95" t="s">
        <v>3</v>
      </c>
      <c r="F51" s="96" t="s">
        <v>4</v>
      </c>
      <c r="G51" s="96" t="s">
        <v>5</v>
      </c>
      <c r="H51" s="96" t="s">
        <v>6</v>
      </c>
      <c r="I51" s="96" t="s">
        <v>7</v>
      </c>
      <c r="J51" s="96" t="s">
        <v>8</v>
      </c>
      <c r="K51" s="96" t="s">
        <v>9</v>
      </c>
      <c r="L51" s="96" t="s">
        <v>10</v>
      </c>
      <c r="M51" s="97" t="s">
        <v>11</v>
      </c>
      <c r="N51" s="11" t="s">
        <v>12</v>
      </c>
      <c r="O51" s="10" t="s">
        <v>13</v>
      </c>
      <c r="P51" s="11" t="s">
        <v>14</v>
      </c>
      <c r="Q51" s="11" t="s">
        <v>15</v>
      </c>
      <c r="R51" s="11" t="s">
        <v>16</v>
      </c>
      <c r="S51" s="10" t="s">
        <v>17</v>
      </c>
      <c r="T51" s="10" t="s">
        <v>18</v>
      </c>
      <c r="U51" s="10" t="s">
        <v>19</v>
      </c>
      <c r="V51" s="10" t="s">
        <v>20</v>
      </c>
      <c r="W51" s="10" t="s">
        <v>21</v>
      </c>
    </row>
    <row r="52" spans="1:23" x14ac:dyDescent="0.2">
      <c r="A52" t="s">
        <v>24</v>
      </c>
      <c r="B52" s="90">
        <f>GN_Q1_HALF114203441[[#This Row],[2PT FGM]]+GN_Q1_HALF114203441[[#This Row],[3PT FGM]]</f>
        <v>4</v>
      </c>
      <c r="C52" s="90">
        <f>GN_Q1_HALF114203441[[#This Row],[2PT FGA]]+GN_Q1_HALF114203441[[#This Row],[3PT FGA]]</f>
        <v>7</v>
      </c>
      <c r="D52" s="91">
        <f>GN_Q1_HALF114203441[[#This Row],[Total FGM]]/GN_Q1_HALF114203441[[#This Row],[Total FGA]]</f>
        <v>0.5714285714285714</v>
      </c>
      <c r="E52" s="98">
        <v>4</v>
      </c>
      <c r="F52" s="19">
        <v>6</v>
      </c>
      <c r="G52" s="91">
        <f>GN_Q1_HALF114203441[[#This Row],[2PT FGM]]/GN_Q1_HALF114203441[[#This Row],[2PT FGA]]</f>
        <v>0.66666666666666663</v>
      </c>
      <c r="H52" s="19">
        <v>0</v>
      </c>
      <c r="I52" s="19">
        <v>1</v>
      </c>
      <c r="J52" s="91">
        <f>GN_Q1_HALF114203441[[#This Row],[3PT FGM]]/GN_Q1_HALF114203441[[#This Row],[3PT FGA]]</f>
        <v>0</v>
      </c>
      <c r="K52" s="19">
        <v>0</v>
      </c>
      <c r="L52" s="19">
        <v>0</v>
      </c>
      <c r="M52" s="99" t="e">
        <f>GN_Q1_HALF114203441[[#This Row],[FTM]]/GN_Q1_HALF114203441[[#This Row],[FTA]]</f>
        <v>#DIV/0!</v>
      </c>
      <c r="N52" s="19">
        <f>SUM(GN_Q1_HALF114203441[[#This Row],[2PT FGM]]*2,GN_Q1_HALF114203441[[#This Row],[3PT FGM]]*3,GN_Q1_HALF114203441[[#This Row],[FTM]])</f>
        <v>8</v>
      </c>
      <c r="O52" s="19">
        <v>0</v>
      </c>
      <c r="P52" s="19">
        <v>4</v>
      </c>
      <c r="Q52" s="19">
        <v>0</v>
      </c>
      <c r="R52" s="19">
        <f>GN_Q1_HALF114203441[[#This Row],[Off. Boards]]+GN_Q1_HALF114203441[[#This Row],[Def. Boards]]</f>
        <v>4</v>
      </c>
      <c r="S52" s="19">
        <v>3</v>
      </c>
      <c r="T52" s="19">
        <v>1</v>
      </c>
      <c r="U52" s="19">
        <v>1</v>
      </c>
      <c r="V52" s="19">
        <v>0</v>
      </c>
      <c r="W52" s="92" t="e">
        <f>GN_Q1_HALF114203441[[#This Row],[Dimes]]/GN_Q1_HALF114203441[[#This Row],[Turnovers]]</f>
        <v>#DIV/0!</v>
      </c>
    </row>
    <row r="53" spans="1:23" x14ac:dyDescent="0.2">
      <c r="A53" t="s">
        <v>135</v>
      </c>
      <c r="B53" s="90">
        <f>GN_Q1_HALF114203441[[#This Row],[2PT FGM]]+GN_Q1_HALF114203441[[#This Row],[3PT FGM]]</f>
        <v>1</v>
      </c>
      <c r="C53" s="90">
        <f>GN_Q1_HALF114203441[[#This Row],[2PT FGA]]+GN_Q1_HALF114203441[[#This Row],[3PT FGA]]</f>
        <v>1</v>
      </c>
      <c r="D53" s="91">
        <f>GN_Q1_HALF114203441[[#This Row],[Total FGM]]/GN_Q1_HALF114203441[[#This Row],[Total FGA]]</f>
        <v>1</v>
      </c>
      <c r="E53" s="98">
        <v>1</v>
      </c>
      <c r="F53" s="19">
        <v>1</v>
      </c>
      <c r="G53" s="91">
        <f>GN_Q1_HALF114203441[[#This Row],[2PT FGM]]/GN_Q1_HALF114203441[[#This Row],[2PT FGA]]</f>
        <v>1</v>
      </c>
      <c r="H53" s="19">
        <v>0</v>
      </c>
      <c r="I53" s="19">
        <v>0</v>
      </c>
      <c r="J53" s="91" t="e">
        <f>GN_Q1_HALF114203441[[#This Row],[3PT FGM]]/GN_Q1_HALF114203441[[#This Row],[3PT FGA]]</f>
        <v>#DIV/0!</v>
      </c>
      <c r="K53" s="19">
        <v>0</v>
      </c>
      <c r="L53" s="19">
        <v>0</v>
      </c>
      <c r="M53" s="99" t="e">
        <f>GN_Q1_HALF114203441[[#This Row],[FTM]]/GN_Q1_HALF114203441[[#This Row],[FTA]]</f>
        <v>#DIV/0!</v>
      </c>
      <c r="N53" s="19">
        <f>SUM(GN_Q1_HALF114203441[[#This Row],[2PT FGM]]*2,GN_Q1_HALF114203441[[#This Row],[3PT FGM]]*3,GN_Q1_HALF114203441[[#This Row],[FTM]])</f>
        <v>2</v>
      </c>
      <c r="O53" s="19">
        <v>0</v>
      </c>
      <c r="P53" s="19">
        <v>2</v>
      </c>
      <c r="Q53" s="19">
        <v>1</v>
      </c>
      <c r="R53" s="19">
        <f>GN_Q1_HALF114203441[[#This Row],[Off. Boards]]+GN_Q1_HALF114203441[[#This Row],[Def. Boards]]</f>
        <v>3</v>
      </c>
      <c r="S53" s="19">
        <v>1</v>
      </c>
      <c r="T53" s="19">
        <v>0</v>
      </c>
      <c r="U53" s="19">
        <v>0</v>
      </c>
      <c r="V53" s="19">
        <v>3</v>
      </c>
      <c r="W53" s="92">
        <f>GN_Q1_HALF114203441[[#This Row],[Dimes]]/GN_Q1_HALF114203441[[#This Row],[Turnovers]]</f>
        <v>0.33333333333333331</v>
      </c>
    </row>
    <row r="54" spans="1:23" x14ac:dyDescent="0.2">
      <c r="A54" t="s">
        <v>103</v>
      </c>
      <c r="B54" s="90">
        <f>GN_Q1_HALF114203441[[#This Row],[2PT FGM]]+GN_Q1_HALF114203441[[#This Row],[3PT FGM]]</f>
        <v>1</v>
      </c>
      <c r="C54" s="90">
        <f>GN_Q1_HALF114203441[[#This Row],[2PT FGA]]+GN_Q1_HALF114203441[[#This Row],[3PT FGA]]</f>
        <v>2</v>
      </c>
      <c r="D54" s="91">
        <f>GN_Q1_HALF114203441[[#This Row],[Total FGM]]/GN_Q1_HALF114203441[[#This Row],[Total FGA]]</f>
        <v>0.5</v>
      </c>
      <c r="E54" s="98">
        <v>1</v>
      </c>
      <c r="F54" s="19">
        <v>1</v>
      </c>
      <c r="G54" s="91">
        <f>GN_Q1_HALF114203441[[#This Row],[2PT FGM]]/GN_Q1_HALF114203441[[#This Row],[2PT FGA]]</f>
        <v>1</v>
      </c>
      <c r="H54" s="19">
        <v>0</v>
      </c>
      <c r="I54" s="19">
        <v>1</v>
      </c>
      <c r="J54" s="91">
        <f>GN_Q1_HALF114203441[[#This Row],[3PT FGM]]/GN_Q1_HALF114203441[[#This Row],[3PT FGA]]</f>
        <v>0</v>
      </c>
      <c r="K54" s="19">
        <v>0</v>
      </c>
      <c r="L54" s="19">
        <v>0</v>
      </c>
      <c r="M54" s="99" t="e">
        <f>GN_Q1_HALF114203441[[#This Row],[FTM]]/GN_Q1_HALF114203441[[#This Row],[FTA]]</f>
        <v>#DIV/0!</v>
      </c>
      <c r="N54" s="19">
        <f>SUM(GN_Q1_HALF114203441[[#This Row],[2PT FGM]]*2,GN_Q1_HALF114203441[[#This Row],[3PT FGM]]*3,GN_Q1_HALF114203441[[#This Row],[FTM]])</f>
        <v>2</v>
      </c>
      <c r="O54" s="19">
        <v>0</v>
      </c>
      <c r="P54" s="19">
        <v>5</v>
      </c>
      <c r="Q54" s="19">
        <v>0</v>
      </c>
      <c r="R54" s="19">
        <f>GN_Q1_HALF114203441[[#This Row],[Off. Boards]]+GN_Q1_HALF114203441[[#This Row],[Def. Boards]]</f>
        <v>5</v>
      </c>
      <c r="S54" s="19">
        <v>3</v>
      </c>
      <c r="T54" s="19">
        <v>0</v>
      </c>
      <c r="U54" s="19">
        <v>1</v>
      </c>
      <c r="V54" s="19">
        <v>1</v>
      </c>
      <c r="W54" s="92">
        <f>GN_Q1_HALF114203441[[#This Row],[Dimes]]/GN_Q1_HALF114203441[[#This Row],[Turnovers]]</f>
        <v>3</v>
      </c>
    </row>
    <row r="55" spans="1:23" x14ac:dyDescent="0.2">
      <c r="A55" t="s">
        <v>100</v>
      </c>
      <c r="B55" s="90">
        <f>GN_Q1_HALF114203441[[#This Row],[2PT FGM]]+GN_Q1_HALF114203441[[#This Row],[3PT FGM]]</f>
        <v>5</v>
      </c>
      <c r="C55" s="90">
        <f>GN_Q1_HALF114203441[[#This Row],[2PT FGA]]+GN_Q1_HALF114203441[[#This Row],[3PT FGA]]</f>
        <v>7</v>
      </c>
      <c r="D55" s="91">
        <f>GN_Q1_HALF114203441[[#This Row],[Total FGM]]/GN_Q1_HALF114203441[[#This Row],[Total FGA]]</f>
        <v>0.7142857142857143</v>
      </c>
      <c r="E55" s="98">
        <v>3</v>
      </c>
      <c r="F55" s="19">
        <v>3</v>
      </c>
      <c r="G55" s="91">
        <f>GN_Q1_HALF114203441[[#This Row],[2PT FGM]]/GN_Q1_HALF114203441[[#This Row],[2PT FGA]]</f>
        <v>1</v>
      </c>
      <c r="H55" s="19">
        <v>2</v>
      </c>
      <c r="I55" s="19">
        <v>4</v>
      </c>
      <c r="J55" s="91">
        <f>GN_Q1_HALF114203441[[#This Row],[3PT FGM]]/GN_Q1_HALF114203441[[#This Row],[3PT FGA]]</f>
        <v>0.5</v>
      </c>
      <c r="K55" s="19">
        <v>0</v>
      </c>
      <c r="L55" s="19">
        <v>0</v>
      </c>
      <c r="M55" s="99" t="e">
        <f>GN_Q1_HALF114203441[[#This Row],[FTM]]/GN_Q1_HALF114203441[[#This Row],[FTA]]</f>
        <v>#DIV/0!</v>
      </c>
      <c r="N55" s="19">
        <f>SUM(GN_Q1_HALF114203441[[#This Row],[2PT FGM]]*2,GN_Q1_HALF114203441[[#This Row],[3PT FGM]]*3,GN_Q1_HALF114203441[[#This Row],[FTM]])</f>
        <v>12</v>
      </c>
      <c r="O55" s="19">
        <v>0</v>
      </c>
      <c r="P55" s="19">
        <v>2</v>
      </c>
      <c r="Q55" s="19">
        <v>0</v>
      </c>
      <c r="R55" s="19">
        <f>GN_Q1_HALF114203441[[#This Row],[Off. Boards]]+GN_Q1_HALF114203441[[#This Row],[Def. Boards]]</f>
        <v>2</v>
      </c>
      <c r="S55" s="19">
        <v>2</v>
      </c>
      <c r="T55" s="19">
        <v>0</v>
      </c>
      <c r="U55" s="19">
        <v>0</v>
      </c>
      <c r="V55" s="19">
        <v>1</v>
      </c>
      <c r="W55" s="92">
        <f>GN_Q1_HALF114203441[[#This Row],[Dimes]]/GN_Q1_HALF114203441[[#This Row],[Turnovers]]</f>
        <v>2</v>
      </c>
    </row>
    <row r="56" spans="1:23" x14ac:dyDescent="0.2">
      <c r="B56" s="90"/>
      <c r="C56" s="90"/>
      <c r="D56" s="91"/>
      <c r="E56" s="98"/>
      <c r="F56" s="19"/>
      <c r="G56" s="91"/>
      <c r="H56" s="19"/>
      <c r="I56" s="19"/>
      <c r="J56" s="91"/>
      <c r="K56" s="19"/>
      <c r="L56" s="19"/>
      <c r="M56" s="99"/>
      <c r="N56" s="19"/>
      <c r="O56" s="19"/>
      <c r="P56" s="19"/>
      <c r="Q56" s="19"/>
      <c r="R56" s="19"/>
      <c r="S56" s="19"/>
      <c r="T56" s="19"/>
      <c r="U56" s="19"/>
      <c r="V56" s="19"/>
      <c r="W56" s="92"/>
    </row>
    <row r="57" spans="1:23" ht="16" thickBot="1" x14ac:dyDescent="0.25">
      <c r="A57" s="82" t="s">
        <v>76</v>
      </c>
      <c r="B57" s="100">
        <f>SUM(B52:B56)</f>
        <v>11</v>
      </c>
      <c r="C57" s="100">
        <f>SUM(C52:C56)</f>
        <v>17</v>
      </c>
      <c r="D57" s="101">
        <f>GN_Q1_HALF114203441[[#This Row],[Total FGM]]/GN_Q1_HALF114203441[[#This Row],[Total FGA]]</f>
        <v>0.6470588235294118</v>
      </c>
      <c r="E57" s="102">
        <f>SUM(E52:E56)</f>
        <v>9</v>
      </c>
      <c r="F57" s="103">
        <f>SUM(F52:F56)</f>
        <v>11</v>
      </c>
      <c r="G57" s="104">
        <f>GN_Q1_HALF114203441[[#This Row],[2PT FGM]]/GN_Q1_HALF114203441[[#This Row],[2PT FGA]]</f>
        <v>0.81818181818181823</v>
      </c>
      <c r="H57" s="103">
        <f>SUM(H52:H56)</f>
        <v>2</v>
      </c>
      <c r="I57" s="103">
        <f>SUM(I52:I56)</f>
        <v>6</v>
      </c>
      <c r="J57" s="109">
        <f>GN_Q1_HALF114203441[[#This Row],[3PT FGM]]/GN_Q1_HALF114203441[[#This Row],[3PT FGA]]</f>
        <v>0.33333333333333331</v>
      </c>
      <c r="K57" s="103">
        <f>SUM(K52:K56)</f>
        <v>0</v>
      </c>
      <c r="L57" s="103">
        <f>SUM(L52:L56)</f>
        <v>0</v>
      </c>
      <c r="M57" s="105" t="e">
        <f>GN_Q1_HALF114203441[[#This Row],[FTM]]/GN_Q1_HALF114203441[[#This Row],[FTA]]</f>
        <v>#DIV/0!</v>
      </c>
      <c r="N57" s="62">
        <f>SUM(GN_Q1_HALF114203441[[#This Row],[2PT FGM]]*2,GN_Q1_HALF114203441[[#This Row],[3PT FGM]]*3,GN_Q1_HALF114203441[[#This Row],[FTM]])</f>
        <v>24</v>
      </c>
      <c r="O57" s="100">
        <f>SUM(O52:O56)</f>
        <v>0</v>
      </c>
      <c r="P57" s="100">
        <f>SUM(P52:P56)</f>
        <v>13</v>
      </c>
      <c r="Q57" s="100">
        <f>SUM(Q52:Q56)</f>
        <v>1</v>
      </c>
      <c r="R57" s="106">
        <f>GN_Q1_HALF114203441[[#This Row],[Def. Boards]]+GN_Q1_HALF114203441[[#This Row],[Off. Boards]]</f>
        <v>14</v>
      </c>
      <c r="S57" s="100">
        <f>SUM(S52:S56)</f>
        <v>9</v>
      </c>
      <c r="T57" s="100">
        <f>SUM(T52:T56)</f>
        <v>1</v>
      </c>
      <c r="U57" s="100">
        <f>SUM(U52:U56)</f>
        <v>2</v>
      </c>
      <c r="V57" s="100">
        <f>SUM(V52:V56)</f>
        <v>5</v>
      </c>
      <c r="W57" s="107">
        <f>GN_Q1_HALF114203441[[#This Row],[Dimes]]/GN_Q1_HALF114203441[[#This Row],[Turnovers]]</f>
        <v>1.8</v>
      </c>
    </row>
  </sheetData>
  <mergeCells count="1">
    <mergeCell ref="E2:F2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56FE4-33D7-4820-AE41-7FA13EDF2118}">
  <dimension ref="A1:W57"/>
  <sheetViews>
    <sheetView showGridLines="0" workbookViewId="0">
      <selection activeCell="A18" sqref="A18"/>
    </sheetView>
  </sheetViews>
  <sheetFormatPr baseColWidth="10" defaultColWidth="8.83203125" defaultRowHeight="15" x14ac:dyDescent="0.2"/>
  <cols>
    <col min="1" max="1" width="21.1640625" bestFit="1" customWidth="1"/>
    <col min="2" max="2" width="10.5" bestFit="1" customWidth="1"/>
    <col min="3" max="3" width="16.5" bestFit="1" customWidth="1"/>
    <col min="5" max="5" width="13.5" bestFit="1" customWidth="1"/>
    <col min="6" max="6" width="12.83203125" bestFit="1" customWidth="1"/>
    <col min="7" max="7" width="13.1640625" bestFit="1" customWidth="1"/>
    <col min="8" max="8" width="13.5" bestFit="1" customWidth="1"/>
    <col min="9" max="9" width="12.83203125" bestFit="1" customWidth="1"/>
    <col min="10" max="10" width="13.1640625" bestFit="1" customWidth="1"/>
    <col min="16" max="16" width="11.5" bestFit="1" customWidth="1"/>
    <col min="18" max="18" width="11.5" bestFit="1" customWidth="1"/>
  </cols>
  <sheetData>
    <row r="1" spans="1:23" x14ac:dyDescent="0.2">
      <c r="B1" s="159"/>
      <c r="C1" s="86" t="s">
        <v>68</v>
      </c>
      <c r="D1" s="86" t="s">
        <v>134</v>
      </c>
      <c r="E1" s="86" t="s">
        <v>74</v>
      </c>
    </row>
    <row r="2" spans="1:23" ht="24" x14ac:dyDescent="0.2">
      <c r="A2" s="84" t="s">
        <v>66</v>
      </c>
      <c r="B2" s="85" t="s">
        <v>240</v>
      </c>
      <c r="C2" s="85" t="s">
        <v>209</v>
      </c>
      <c r="D2" s="85" t="s">
        <v>137</v>
      </c>
      <c r="E2" s="292" t="s">
        <v>208</v>
      </c>
      <c r="F2" s="292"/>
      <c r="H2" s="23"/>
    </row>
    <row r="3" spans="1:23" ht="24" x14ac:dyDescent="0.2">
      <c r="A3" s="84"/>
      <c r="B3" s="85" t="s">
        <v>151</v>
      </c>
      <c r="C3" s="85">
        <f>N11</f>
        <v>41</v>
      </c>
      <c r="D3" s="85"/>
      <c r="E3" s="85">
        <f>N20</f>
        <v>50</v>
      </c>
      <c r="H3" s="23"/>
    </row>
    <row r="4" spans="1:23" ht="16" thickBot="1" x14ac:dyDescent="0.25">
      <c r="A4" s="225" t="s">
        <v>263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</row>
    <row r="5" spans="1:23" ht="32" x14ac:dyDescent="0.2">
      <c r="A5" s="166" t="s">
        <v>208</v>
      </c>
      <c r="B5" s="11" t="s">
        <v>0</v>
      </c>
      <c r="C5" s="11" t="s">
        <v>1</v>
      </c>
      <c r="D5" s="11" t="s">
        <v>2</v>
      </c>
      <c r="E5" s="95" t="s">
        <v>3</v>
      </c>
      <c r="F5" s="96" t="s">
        <v>4</v>
      </c>
      <c r="G5" s="96" t="s">
        <v>5</v>
      </c>
      <c r="H5" s="96" t="s">
        <v>6</v>
      </c>
      <c r="I5" s="96" t="s">
        <v>7</v>
      </c>
      <c r="J5" s="96" t="s">
        <v>8</v>
      </c>
      <c r="K5" s="96" t="s">
        <v>9</v>
      </c>
      <c r="L5" s="96" t="s">
        <v>10</v>
      </c>
      <c r="M5" s="97" t="s">
        <v>11</v>
      </c>
      <c r="N5" s="11" t="s">
        <v>12</v>
      </c>
      <c r="O5" s="10" t="s">
        <v>13</v>
      </c>
      <c r="P5" s="11" t="s">
        <v>14</v>
      </c>
      <c r="Q5" s="11" t="s">
        <v>15</v>
      </c>
      <c r="R5" s="11" t="s">
        <v>16</v>
      </c>
      <c r="S5" s="10" t="s">
        <v>17</v>
      </c>
      <c r="T5" s="10" t="s">
        <v>18</v>
      </c>
      <c r="U5" s="10" t="s">
        <v>19</v>
      </c>
      <c r="V5" s="10" t="s">
        <v>20</v>
      </c>
      <c r="W5" s="10" t="s">
        <v>21</v>
      </c>
    </row>
    <row r="6" spans="1:23" x14ac:dyDescent="0.2">
      <c r="A6" s="13" t="s">
        <v>96</v>
      </c>
      <c r="B6" s="90">
        <f>LITI_Q1_HALF113223642[[#This Row],[2PT FGM]]+LITI_Q1_HALF113223642[[#This Row],[3PT FGM]]</f>
        <v>3</v>
      </c>
      <c r="C6" s="90">
        <f>LITI_Q1_HALF113223642[[#This Row],[2PT FGA]]+LITI_Q1_HALF113223642[[#This Row],[3PT FGA]]</f>
        <v>9</v>
      </c>
      <c r="D6" s="91">
        <f>LITI_Q1_HALF113223642[[#This Row],[Total FGM]]/LITI_Q1_HALF113223642[[#This Row],[Total FGA]]</f>
        <v>0.33333333333333331</v>
      </c>
      <c r="E6" s="142">
        <f>SUMIF($A$22:$A$59,$A$6,E22:E59)</f>
        <v>1</v>
      </c>
      <c r="F6" s="170">
        <f>SUMIF($A$22:$A$59,$A$6,F22:F59)</f>
        <v>2</v>
      </c>
      <c r="G6" s="91">
        <f>LITI_Q1_HALF113223642[[#This Row],[2PT FGM]]/LITI_Q1_HALF113223642[[#This Row],[2PT FGA]]</f>
        <v>0.5</v>
      </c>
      <c r="H6" s="170">
        <f>SUMIF($A$22:$A$59,$A$6,H22:H59)</f>
        <v>2</v>
      </c>
      <c r="I6" s="170">
        <f>SUMIF($A$22:$A$59,$A$6,I22:I59)</f>
        <v>7</v>
      </c>
      <c r="J6" s="91">
        <f>LITI_Q1_HALF113223642[[#This Row],[3PT FGM]]/LITI_Q1_HALF113223642[[#This Row],[3PT FGA]]</f>
        <v>0.2857142857142857</v>
      </c>
      <c r="K6" s="170">
        <f>SUMIF($A$22:$A$59,$A$6,K22:K59)</f>
        <v>0</v>
      </c>
      <c r="L6" s="170">
        <f>SUMIF($A$22:$A$59,$A$6,L22:L59)</f>
        <v>0</v>
      </c>
      <c r="M6" s="99" t="e">
        <f>LITI_Q1_HALF113223642[[#This Row],[FTM]]/LITI_Q1_HALF113223642[[#This Row],[FTA]]</f>
        <v>#DIV/0!</v>
      </c>
      <c r="N6" s="19">
        <f>SUM(LITI_Q1_HALF113223642[[#This Row],[2PT FGM]]*2,LITI_Q1_HALF113223642[[#This Row],[3PT FGM]]*3,LITI_Q1_HALF113223642[[#This Row],[FTM]])</f>
        <v>8</v>
      </c>
      <c r="O6" s="170">
        <f>SUMIF($A$22:$A$59,$A$6,O22:O59)</f>
        <v>0</v>
      </c>
      <c r="P6" s="170">
        <f>SUMIF($A$22:$A$59,$A$6,P22:P59)</f>
        <v>5</v>
      </c>
      <c r="Q6" s="247">
        <f>SUMIF($A$22:$A$59,$A$6,Q22:Q59)</f>
        <v>2</v>
      </c>
      <c r="R6" s="246">
        <f>LITI_Q1_HALF113223642[[#This Row],[Off. Boards]]+LITI_Q1_HALF113223642[[#This Row],[Def. Boards]]</f>
        <v>7</v>
      </c>
      <c r="S6" s="170">
        <f>SUMIF($A$22:$A$59,$A$6,S22:S59)</f>
        <v>4</v>
      </c>
      <c r="T6" s="170">
        <f>SUMIF($A$22:$A$59,$A$6,T22:T59)</f>
        <v>0</v>
      </c>
      <c r="U6" s="170">
        <f>SUMIF($A$22:$A$59,$A$6,U22:U59)</f>
        <v>0</v>
      </c>
      <c r="V6" s="248">
        <f>SUMIF($A$22:$A$59,$A$6,V22:V59)</f>
        <v>3</v>
      </c>
      <c r="W6" s="92">
        <f>LITI_Q1_HALF113223642[[#This Row],[Dimes]]/LITI_Q1_HALF113223642[[#This Row],[Turnovers]]</f>
        <v>1.3333333333333333</v>
      </c>
    </row>
    <row r="7" spans="1:23" x14ac:dyDescent="0.2">
      <c r="A7" s="13" t="s">
        <v>207</v>
      </c>
      <c r="B7" s="90">
        <f>LITI_Q1_HALF113223642[[#This Row],[2PT FGM]]+LITI_Q1_HALF113223642[[#This Row],[3PT FGM]]</f>
        <v>4</v>
      </c>
      <c r="C7" s="90">
        <f>LITI_Q1_HALF113223642[[#This Row],[2PT FGA]]+LITI_Q1_HALF113223642[[#This Row],[3PT FGA]]</f>
        <v>9</v>
      </c>
      <c r="D7" s="91">
        <f>LITI_Q1_HALF113223642[[#This Row],[Total FGM]]/LITI_Q1_HALF113223642[[#This Row],[Total FGA]]</f>
        <v>0.44444444444444442</v>
      </c>
      <c r="E7" s="142">
        <f>SUMIF($A$22:$A$59,$A$7,E22:E59)</f>
        <v>3</v>
      </c>
      <c r="F7" s="170">
        <f>SUMIF($A$22:$A$59,$A$7,F22:F59)</f>
        <v>4</v>
      </c>
      <c r="G7" s="91">
        <f>LITI_Q1_HALF113223642[[#This Row],[2PT FGM]]/LITI_Q1_HALF113223642[[#This Row],[2PT FGA]]</f>
        <v>0.75</v>
      </c>
      <c r="H7" s="170">
        <f>SUMIF($A$22:$A$59,$A$7,H22:H59)</f>
        <v>1</v>
      </c>
      <c r="I7" s="170">
        <f>SUMIF($A$22:$A$59,$A$7,I22:I59)</f>
        <v>5</v>
      </c>
      <c r="J7" s="91">
        <f>LITI_Q1_HALF113223642[[#This Row],[3PT FGM]]/LITI_Q1_HALF113223642[[#This Row],[3PT FGA]]</f>
        <v>0.2</v>
      </c>
      <c r="K7" s="170">
        <f>SUMIF($A$22:$A$59,$A$7,K22:K59)</f>
        <v>0</v>
      </c>
      <c r="L7" s="170">
        <f>SUMIF($A$22:$A$59,$A$7,L22:L59)</f>
        <v>0</v>
      </c>
      <c r="M7" s="99" t="e">
        <f>LITI_Q1_HALF113223642[[#This Row],[FTM]]/LITI_Q1_HALF113223642[[#This Row],[FTA]]</f>
        <v>#DIV/0!</v>
      </c>
      <c r="N7" s="19">
        <f>SUM(LITI_Q1_HALF113223642[[#This Row],[2PT FGM]]*2,LITI_Q1_HALF113223642[[#This Row],[3PT FGM]]*3,LITI_Q1_HALF113223642[[#This Row],[FTM]])</f>
        <v>9</v>
      </c>
      <c r="O7" s="247">
        <f>SUMIF($A$22:$A$59,$A$7,O22:O59)</f>
        <v>3</v>
      </c>
      <c r="P7" s="170">
        <f>SUMIF($A$22:$A$59,$A$7,P22:P59)</f>
        <v>1</v>
      </c>
      <c r="Q7" s="170">
        <f>SUMIF($A$22:$A$59,$A$7,Q22:Q59)</f>
        <v>1</v>
      </c>
      <c r="R7" s="19">
        <f>LITI_Q1_HALF113223642[[#This Row],[Off. Boards]]+LITI_Q1_HALF113223642[[#This Row],[Def. Boards]]</f>
        <v>2</v>
      </c>
      <c r="S7" s="170">
        <f>SUMIF($A$22:$A$59,$A$7,S22:S59)</f>
        <v>0</v>
      </c>
      <c r="T7" s="170">
        <f>SUMIF($A$22:$A$59,$A$7,T22:T59)</f>
        <v>0</v>
      </c>
      <c r="U7" s="170">
        <f>SUMIF($A$22:$A$59,$A$7,U22:U59)</f>
        <v>0</v>
      </c>
      <c r="V7" s="170">
        <f>SUMIF($A$22:$A$59,$A$7,V22:V59)</f>
        <v>0</v>
      </c>
      <c r="W7" s="92" t="e">
        <f>LITI_Q1_HALF113223642[[#This Row],[Dimes]]/LITI_Q1_HALF113223642[[#This Row],[Turnovers]]</f>
        <v>#DIV/0!</v>
      </c>
    </row>
    <row r="8" spans="1:23" x14ac:dyDescent="0.2">
      <c r="A8" s="13" t="s">
        <v>88</v>
      </c>
      <c r="B8" s="90">
        <f>LITI_Q1_HALF113223642[[#This Row],[2PT FGM]]+LITI_Q1_HALF113223642[[#This Row],[3PT FGM]]</f>
        <v>3</v>
      </c>
      <c r="C8" s="90">
        <f>LITI_Q1_HALF113223642[[#This Row],[2PT FGA]]+LITI_Q1_HALF113223642[[#This Row],[3PT FGA]]</f>
        <v>8</v>
      </c>
      <c r="D8" s="91">
        <f>LITI_Q1_HALF113223642[[#This Row],[Total FGM]]/LITI_Q1_HALF113223642[[#This Row],[Total FGA]]</f>
        <v>0.375</v>
      </c>
      <c r="E8" s="142">
        <f>SUMIF($A$22:$A$59,$A$8,E22:E59)</f>
        <v>2</v>
      </c>
      <c r="F8" s="170">
        <f>SUMIF($A$22:$A$59,$A$8,F22:F59)</f>
        <v>5</v>
      </c>
      <c r="G8" s="91">
        <f>LITI_Q1_HALF113223642[[#This Row],[2PT FGM]]/LITI_Q1_HALF113223642[[#This Row],[2PT FGA]]</f>
        <v>0.4</v>
      </c>
      <c r="H8" s="170">
        <f>SUMIF($A$22:$A$59,$A$8,H22:H59)</f>
        <v>1</v>
      </c>
      <c r="I8" s="170">
        <f>SUMIF($A$22:$A$59,$A$8,I22:I59)</f>
        <v>3</v>
      </c>
      <c r="J8" s="91">
        <f>LITI_Q1_HALF113223642[[#This Row],[3PT FGM]]/LITI_Q1_HALF113223642[[#This Row],[3PT FGA]]</f>
        <v>0.33333333333333331</v>
      </c>
      <c r="K8" s="170">
        <f>SUMIF($A$22:$A$59,$A$8,K22:K59)</f>
        <v>0</v>
      </c>
      <c r="L8" s="170">
        <f>SUMIF($A$22:$A$59,$A$8,L22:L59)</f>
        <v>0</v>
      </c>
      <c r="M8" s="99" t="e">
        <f>LITI_Q1_HALF113223642[[#This Row],[FTM]]/LITI_Q1_HALF113223642[[#This Row],[FTA]]</f>
        <v>#DIV/0!</v>
      </c>
      <c r="N8" s="19">
        <f>SUM(LITI_Q1_HALF113223642[[#This Row],[2PT FGM]]*2,LITI_Q1_HALF113223642[[#This Row],[3PT FGM]]*3,LITI_Q1_HALF113223642[[#This Row],[FTM]])</f>
        <v>7</v>
      </c>
      <c r="O8" s="170">
        <f>SUMIF($A$22:$A$59,$A$8,O22:O59)</f>
        <v>0</v>
      </c>
      <c r="P8" s="170">
        <f>SUMIF($A$22:$A$59,$A$8,P22:P59)</f>
        <v>3</v>
      </c>
      <c r="Q8" s="170">
        <f>SUMIF($A$22:$A$59,$A$8,Q22:Q59)</f>
        <v>1</v>
      </c>
      <c r="R8" s="19">
        <f>LITI_Q1_HALF113223642[[#This Row],[Off. Boards]]+LITI_Q1_HALF113223642[[#This Row],[Def. Boards]]</f>
        <v>4</v>
      </c>
      <c r="S8" s="170">
        <f>SUMIF($A$22:$A$59,$A$8,S22:S59)</f>
        <v>6</v>
      </c>
      <c r="T8" s="170">
        <f>SUMIF($A$22:$A$59,$A$8,T22:T59)</f>
        <v>1</v>
      </c>
      <c r="U8" s="247">
        <f>SUMIF($A$22:$A$59,$A$8,U22:U59)</f>
        <v>2</v>
      </c>
      <c r="V8" s="170">
        <f>SUMIF($A$22:$A$59,$A$8,V22:V59)</f>
        <v>2</v>
      </c>
      <c r="W8" s="92">
        <f>LITI_Q1_HALF113223642[[#This Row],[Dimes]]/LITI_Q1_HALF113223642[[#This Row],[Turnovers]]</f>
        <v>3</v>
      </c>
    </row>
    <row r="9" spans="1:23" x14ac:dyDescent="0.2">
      <c r="A9" s="13" t="s">
        <v>98</v>
      </c>
      <c r="B9" s="90">
        <f>LITI_Q1_HALF113223642[[#This Row],[2PT FGM]]+LITI_Q1_HALF113223642[[#This Row],[3PT FGM]]</f>
        <v>1</v>
      </c>
      <c r="C9" s="90">
        <f>LITI_Q1_HALF113223642[[#This Row],[2PT FGA]]+LITI_Q1_HALF113223642[[#This Row],[3PT FGA]]</f>
        <v>6</v>
      </c>
      <c r="D9" s="91">
        <f>LITI_Q1_HALF113223642[[#This Row],[Total FGM]]/LITI_Q1_HALF113223642[[#This Row],[Total FGA]]</f>
        <v>0.16666666666666666</v>
      </c>
      <c r="E9" s="142">
        <f>SUMIF($A$22:$A$59,$A$9,E22:E59)</f>
        <v>1</v>
      </c>
      <c r="F9" s="170">
        <f>SUMIF($A$22:$A$59,$A$9,F22:F59)</f>
        <v>1</v>
      </c>
      <c r="G9" s="244">
        <f>LITI_Q1_HALF113223642[[#This Row],[2PT FGM]]/LITI_Q1_HALF113223642[[#This Row],[2PT FGA]]</f>
        <v>1</v>
      </c>
      <c r="H9" s="170">
        <f>SUMIF($A$22:$A$59,$A$9,H22:H59)</f>
        <v>0</v>
      </c>
      <c r="I9" s="170">
        <f>SUMIF($A$22:$A$59,$A$9,I22:I59)</f>
        <v>5</v>
      </c>
      <c r="J9" s="91">
        <f>LITI_Q1_HALF113223642[[#This Row],[3PT FGM]]/LITI_Q1_HALF113223642[[#This Row],[3PT FGA]]</f>
        <v>0</v>
      </c>
      <c r="K9" s="170">
        <f>SUMIF($A$22:$A$59,$A$9,K22:K59)</f>
        <v>0</v>
      </c>
      <c r="L9" s="170">
        <f>SUMIF($A$22:$A$59,$A$9,L22:L59)</f>
        <v>0</v>
      </c>
      <c r="M9" s="99" t="e">
        <f>LITI_Q1_HALF113223642[[#This Row],[FTM]]/LITI_Q1_HALF113223642[[#This Row],[FTA]]</f>
        <v>#DIV/0!</v>
      </c>
      <c r="N9" s="19">
        <f>SUM(LITI_Q1_HALF113223642[[#This Row],[2PT FGM]]*2,LITI_Q1_HALF113223642[[#This Row],[3PT FGM]]*3,LITI_Q1_HALF113223642[[#This Row],[FTM]])</f>
        <v>2</v>
      </c>
      <c r="O9" s="170">
        <f>SUMIF($A$22:$A$59,$A$9,O22:O59)</f>
        <v>0</v>
      </c>
      <c r="P9" s="170">
        <f>SUMIF($A$22:$A$59,$A$9,P22:P59)</f>
        <v>1</v>
      </c>
      <c r="Q9" s="170">
        <f>SUMIF($A$22:$A$59,$A$9,Q22:Q59)</f>
        <v>1</v>
      </c>
      <c r="R9" s="19">
        <f>LITI_Q1_HALF113223642[[#This Row],[Off. Boards]]+LITI_Q1_HALF113223642[[#This Row],[Def. Boards]]</f>
        <v>2</v>
      </c>
      <c r="S9" s="170">
        <f>SUMIF($A$22:$A$59,$A$9,S22:S59)</f>
        <v>2</v>
      </c>
      <c r="T9" s="170">
        <f>SUMIF($A$22:$A$59,$A$9,T22:T59)</f>
        <v>1</v>
      </c>
      <c r="U9" s="170">
        <f>SUMIF($A$22:$A$59,$A$9,U22:U59)</f>
        <v>0</v>
      </c>
      <c r="V9" s="170">
        <f>SUMIF($A$22:$A$59,$A$9,V22:V59)</f>
        <v>2</v>
      </c>
      <c r="W9" s="92">
        <f>LITI_Q1_HALF113223642[[#This Row],[Dimes]]/LITI_Q1_HALF113223642[[#This Row],[Turnovers]]</f>
        <v>1</v>
      </c>
    </row>
    <row r="10" spans="1:23" x14ac:dyDescent="0.2">
      <c r="A10" s="13" t="s">
        <v>83</v>
      </c>
      <c r="B10" s="90">
        <f>LITI_Q1_HALF113223642[[#This Row],[2PT FGM]]+LITI_Q1_HALF113223642[[#This Row],[3PT FGM]]</f>
        <v>5</v>
      </c>
      <c r="C10" s="90">
        <f>LITI_Q1_HALF113223642[[#This Row],[2PT FGA]]+LITI_Q1_HALF113223642[[#This Row],[3PT FGA]]</f>
        <v>6</v>
      </c>
      <c r="D10" s="244">
        <f>LITI_Q1_HALF113223642[[#This Row],[Total FGM]]/LITI_Q1_HALF113223642[[#This Row],[Total FGA]]</f>
        <v>0.83333333333333337</v>
      </c>
      <c r="E10" s="142">
        <f>SUMIF($A$22:$A$59,$A$10,E22:E59)</f>
        <v>0</v>
      </c>
      <c r="F10" s="170">
        <f>SUMIF($A$22:$A$59,$A$10,F22:F59)</f>
        <v>0</v>
      </c>
      <c r="G10" s="91" t="e">
        <f>LITI_Q1_HALF113223642[[#This Row],[2PT FGM]]/LITI_Q1_HALF113223642[[#This Row],[2PT FGA]]</f>
        <v>#DIV/0!</v>
      </c>
      <c r="H10" s="170">
        <f>SUMIF($A$22:$A$59,$A$10,H22:H59)</f>
        <v>5</v>
      </c>
      <c r="I10" s="170">
        <f>SUMIF($A$22:$A$59,$A$10,I22:I59)</f>
        <v>6</v>
      </c>
      <c r="J10" s="244">
        <f>LITI_Q1_HALF113223642[[#This Row],[3PT FGM]]/LITI_Q1_HALF113223642[[#This Row],[3PT FGA]]</f>
        <v>0.83333333333333337</v>
      </c>
      <c r="K10" s="170">
        <f>SUMIF($A$22:$A$59,$A$10,K22:K59)</f>
        <v>0</v>
      </c>
      <c r="L10" s="170">
        <f>SUMIF($A$22:$A$59,$A$10,L22:L59)</f>
        <v>0</v>
      </c>
      <c r="M10" s="99" t="e">
        <f>LITI_Q1_HALF113223642[[#This Row],[FTM]]/LITI_Q1_HALF113223642[[#This Row],[FTA]]</f>
        <v>#DIV/0!</v>
      </c>
      <c r="N10" s="19">
        <f>SUM(LITI_Q1_HALF113223642[[#This Row],[2PT FGM]]*2,LITI_Q1_HALF113223642[[#This Row],[3PT FGM]]*3,LITI_Q1_HALF113223642[[#This Row],[FTM]])</f>
        <v>15</v>
      </c>
      <c r="O10" s="170">
        <f>SUMIF($A$22:$A$59,$A$10,O22:O59)</f>
        <v>0</v>
      </c>
      <c r="P10" s="170">
        <f>SUMIF($A$22:$A$59,$A$10,P22:P59)</f>
        <v>0</v>
      </c>
      <c r="Q10" s="170">
        <f>SUMIF($A$22:$A$59,$A$10,Q22:Q59)</f>
        <v>1</v>
      </c>
      <c r="R10" s="19">
        <f>LITI_Q1_HALF113223642[[#This Row],[Off. Boards]]+LITI_Q1_HALF113223642[[#This Row],[Def. Boards]]</f>
        <v>1</v>
      </c>
      <c r="S10" s="170">
        <f>SUMIF($A$22:$A$59,$A$10,S22:S59)</f>
        <v>2</v>
      </c>
      <c r="T10" s="170">
        <f>SUMIF($A$22:$A$59,$A$10,T22:T59)</f>
        <v>1</v>
      </c>
      <c r="U10" s="170">
        <f>SUMIF($A$22:$A$59,$A$10,U22:U59)</f>
        <v>0</v>
      </c>
      <c r="V10" s="170">
        <f>SUMIF($A$22:$A$59,$A$10,V22:V59)</f>
        <v>0</v>
      </c>
      <c r="W10" s="92" t="e">
        <f>LITI_Q1_HALF113223642[[#This Row],[Dimes]]/LITI_Q1_HALF113223642[[#This Row],[Turnovers]]</f>
        <v>#DIV/0!</v>
      </c>
    </row>
    <row r="11" spans="1:23" ht="16" thickBot="1" x14ac:dyDescent="0.25">
      <c r="A11" s="82" t="s">
        <v>76</v>
      </c>
      <c r="B11" s="100">
        <f>SUM(B6:B10)</f>
        <v>16</v>
      </c>
      <c r="C11" s="100">
        <f>SUM(C6:C10)</f>
        <v>38</v>
      </c>
      <c r="D11" s="101">
        <f>LITI_Q1_HALF113223642[[#This Row],[Total FGM]]/LITI_Q1_HALF113223642[[#This Row],[Total FGA]]</f>
        <v>0.42105263157894735</v>
      </c>
      <c r="E11" s="102">
        <f>SUM(E6:E10)</f>
        <v>7</v>
      </c>
      <c r="F11" s="103">
        <f>SUM(F6:F10)</f>
        <v>12</v>
      </c>
      <c r="G11" s="108">
        <f>LITI_Q1_HALF113223642[[#This Row],[2PT FGM]]/LITI_Q1_HALF113223642[[#This Row],[2PT FGA]]</f>
        <v>0.58333333333333337</v>
      </c>
      <c r="H11" s="103">
        <f>SUM(H6:H10)</f>
        <v>9</v>
      </c>
      <c r="I11" s="103">
        <f>SUM(I6:I10)</f>
        <v>26</v>
      </c>
      <c r="J11" s="104">
        <f>LITI_Q1_HALF113223642[[#This Row],[3PT FGM]]/LITI_Q1_HALF113223642[[#This Row],[3PT FGA]]</f>
        <v>0.34615384615384615</v>
      </c>
      <c r="K11" s="103">
        <f>SUM(K6:K10)</f>
        <v>0</v>
      </c>
      <c r="L11" s="103">
        <f>SUM(L6:L10)</f>
        <v>0</v>
      </c>
      <c r="M11" s="105" t="e">
        <f>LITI_Q1_HALF113223642[[#This Row],[FTM]]/LITI_Q1_HALF113223642[[#This Row],[FTA]]</f>
        <v>#DIV/0!</v>
      </c>
      <c r="N11" s="62">
        <f>SUM(LITI_Q1_HALF113223642[[#This Row],[2PT FGM]]*2,LITI_Q1_HALF113223642[[#This Row],[3PT FGM]]*3,LITI_Q1_HALF113223642[[#This Row],[FTM]])</f>
        <v>41</v>
      </c>
      <c r="O11" s="106">
        <f>SUM(O6:O10)</f>
        <v>3</v>
      </c>
      <c r="P11" s="106">
        <f t="shared" ref="P11:V11" si="0">SUM(P6:P10)</f>
        <v>10</v>
      </c>
      <c r="Q11" s="106">
        <f t="shared" si="0"/>
        <v>6</v>
      </c>
      <c r="R11" s="106">
        <f t="shared" si="0"/>
        <v>16</v>
      </c>
      <c r="S11" s="106">
        <f t="shared" si="0"/>
        <v>14</v>
      </c>
      <c r="T11" s="106">
        <f t="shared" si="0"/>
        <v>3</v>
      </c>
      <c r="U11" s="106">
        <f t="shared" si="0"/>
        <v>2</v>
      </c>
      <c r="V11" s="106">
        <f t="shared" si="0"/>
        <v>7</v>
      </c>
      <c r="W11" s="107">
        <f>LITI_Q1_HALF113223642[[#This Row],[Dimes]]/LITI_Q1_HALF113223642[[#This Row],[Turnovers]]</f>
        <v>2</v>
      </c>
    </row>
    <row r="13" spans="1:23" ht="16" thickBot="1" x14ac:dyDescent="0.25">
      <c r="A13" s="227" t="s">
        <v>263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</row>
    <row r="14" spans="1:23" ht="32" x14ac:dyDescent="0.2">
      <c r="A14" s="166" t="s">
        <v>209</v>
      </c>
      <c r="B14" s="11" t="s">
        <v>0</v>
      </c>
      <c r="C14" s="11" t="s">
        <v>1</v>
      </c>
      <c r="D14" s="11" t="s">
        <v>2</v>
      </c>
      <c r="E14" s="95" t="s">
        <v>3</v>
      </c>
      <c r="F14" s="96" t="s">
        <v>4</v>
      </c>
      <c r="G14" s="96" t="s">
        <v>5</v>
      </c>
      <c r="H14" s="96" t="s">
        <v>6</v>
      </c>
      <c r="I14" s="96" t="s">
        <v>7</v>
      </c>
      <c r="J14" s="96" t="s">
        <v>8</v>
      </c>
      <c r="K14" s="96" t="s">
        <v>9</v>
      </c>
      <c r="L14" s="96" t="s">
        <v>10</v>
      </c>
      <c r="M14" s="97" t="s">
        <v>11</v>
      </c>
      <c r="N14" s="11" t="s">
        <v>12</v>
      </c>
      <c r="O14" s="10" t="s">
        <v>13</v>
      </c>
      <c r="P14" s="11" t="s">
        <v>14</v>
      </c>
      <c r="Q14" s="11" t="s">
        <v>15</v>
      </c>
      <c r="R14" s="11" t="s">
        <v>16</v>
      </c>
      <c r="S14" s="10" t="s">
        <v>17</v>
      </c>
      <c r="T14" s="10" t="s">
        <v>18</v>
      </c>
      <c r="U14" s="10" t="s">
        <v>19</v>
      </c>
      <c r="V14" s="10" t="s">
        <v>20</v>
      </c>
      <c r="W14" s="10" t="s">
        <v>21</v>
      </c>
    </row>
    <row r="15" spans="1:23" x14ac:dyDescent="0.2">
      <c r="A15" t="s">
        <v>24</v>
      </c>
      <c r="B15" s="90">
        <f>GN_Q1_HALF114233743[[#This Row],[2PT FGM]]+GN_Q1_HALF114233743[[#This Row],[3PT FGM]]</f>
        <v>5</v>
      </c>
      <c r="C15" s="90">
        <f>GN_Q1_HALF114233743[[#This Row],[2PT FGA]]+GN_Q1_HALF114233743[[#This Row],[3PT FGA]]</f>
        <v>8</v>
      </c>
      <c r="D15" s="91">
        <f>GN_Q1_HALF114233743[[#This Row],[Total FGM]]/GN_Q1_HALF114233743[[#This Row],[Total FGA]]</f>
        <v>0.625</v>
      </c>
      <c r="E15" s="98">
        <f>SUMIF($A$22:$A$59,$A$15,E22:E59)</f>
        <v>3</v>
      </c>
      <c r="F15" s="19">
        <f>SUMIF($A$22:$A$59,$A$15,F22:F59)</f>
        <v>5</v>
      </c>
      <c r="G15" s="91">
        <f>GN_Q1_HALF114233743[[#This Row],[2PT FGM]]/GN_Q1_HALF114233743[[#This Row],[2PT FGA]]</f>
        <v>0.6</v>
      </c>
      <c r="H15" s="19">
        <f>SUMIF($A$22:$A$59,$A$15,H22:H59)</f>
        <v>2</v>
      </c>
      <c r="I15" s="19">
        <f>SUMIF($A$22:$A$59,$A$15,I22:I59)</f>
        <v>3</v>
      </c>
      <c r="J15" s="91">
        <f>GN_Q1_HALF114233743[[#This Row],[3PT FGM]]/GN_Q1_HALF114233743[[#This Row],[3PT FGA]]</f>
        <v>0.66666666666666663</v>
      </c>
      <c r="K15" s="246">
        <f>SUMIF($A$22:$A$59,$A$15,K22:K59)</f>
        <v>1</v>
      </c>
      <c r="L15" s="246">
        <f>SUMIF($A$22:$A$59,$A$15,L22:L59)</f>
        <v>1</v>
      </c>
      <c r="M15" s="251">
        <f>GN_Q1_HALF114233743[[#This Row],[FTM]]/GN_Q1_HALF114233743[[#This Row],[FTA]]</f>
        <v>1</v>
      </c>
      <c r="N15" s="19">
        <f>SUM(GN_Q1_HALF114233743[[#This Row],[2PT FGM]]*2,GN_Q1_HALF114233743[[#This Row],[3PT FGM]]*3,GN_Q1_HALF114233743[[#This Row],[FTM]])</f>
        <v>13</v>
      </c>
      <c r="O15" s="19">
        <f>SUMIF($A$22:$A$59,$A$15,O22:O59)</f>
        <v>0</v>
      </c>
      <c r="P15" s="19">
        <f>SUMIF($A$22:$A$59,$A$15,P22:P59)</f>
        <v>2</v>
      </c>
      <c r="Q15" s="246">
        <f>SUMIF($A$22:$A$59,$A$15,Q22:Q59)</f>
        <v>2</v>
      </c>
      <c r="R15" s="19">
        <f>GN_Q1_HALF114233743[[#This Row],[Off. Boards]]+GN_Q1_HALF114233743[[#This Row],[Def. Boards]]</f>
        <v>4</v>
      </c>
      <c r="S15" s="19">
        <f>SUMIF($A$22:$A$59,$A$15,S22:S59)</f>
        <v>4</v>
      </c>
      <c r="T15" s="19">
        <f>SUMIF($A$22:$A$59,$A$15,T22:T59)</f>
        <v>1</v>
      </c>
      <c r="U15" s="19">
        <f>SUMIF($A$22:$A$59,$A$15,U22:U59)</f>
        <v>0</v>
      </c>
      <c r="V15" s="19">
        <f>SUMIF($A$22:$A$59,$A$15,V22:V59)</f>
        <v>0</v>
      </c>
      <c r="W15" s="250" t="e">
        <f>GN_Q1_HALF114233743[[#This Row],[Dimes]]/GN_Q1_HALF114233743[[#This Row],[Turnovers]]</f>
        <v>#DIV/0!</v>
      </c>
    </row>
    <row r="16" spans="1:23" x14ac:dyDescent="0.2">
      <c r="A16" t="s">
        <v>135</v>
      </c>
      <c r="B16" s="90">
        <f>GN_Q1_HALF114233743[[#This Row],[2PT FGM]]+GN_Q1_HALF114233743[[#This Row],[3PT FGM]]</f>
        <v>2</v>
      </c>
      <c r="C16" s="90">
        <f>GN_Q1_HALF114233743[[#This Row],[2PT FGA]]+GN_Q1_HALF114233743[[#This Row],[3PT FGA]]</f>
        <v>3</v>
      </c>
      <c r="D16" s="91">
        <f>GN_Q1_HALF114233743[[#This Row],[Total FGM]]/GN_Q1_HALF114233743[[#This Row],[Total FGA]]</f>
        <v>0.66666666666666663</v>
      </c>
      <c r="E16" s="98">
        <f>SUMIF($A$22:$A$59,$A$16,E22:E59)</f>
        <v>2</v>
      </c>
      <c r="F16" s="19">
        <f>SUMIF($A$22:$A$59,$A$16,F22:F59)</f>
        <v>3</v>
      </c>
      <c r="G16" s="91">
        <f>GN_Q1_HALF114233743[[#This Row],[2PT FGM]]/GN_Q1_HALF114233743[[#This Row],[2PT FGA]]</f>
        <v>0.66666666666666663</v>
      </c>
      <c r="H16" s="19">
        <f>SUMIF($A$22:$A$59,$A$16,H22:H59)</f>
        <v>0</v>
      </c>
      <c r="I16" s="19">
        <f>SUMIF($A$22:$A$59,$A$16,I22:I59)</f>
        <v>0</v>
      </c>
      <c r="J16" s="91" t="e">
        <f>GN_Q1_HALF114233743[[#This Row],[3PT FGM]]/GN_Q1_HALF114233743[[#This Row],[3PT FGA]]</f>
        <v>#DIV/0!</v>
      </c>
      <c r="K16" s="19">
        <f>SUMIF($A$22:$A$59,$A$16,K22:K59)</f>
        <v>0</v>
      </c>
      <c r="L16" s="246">
        <f>SUMIF($A$22:$A$59,$A$16,L22:L59)</f>
        <v>1</v>
      </c>
      <c r="M16" s="99">
        <f>GN_Q1_HALF114233743[[#This Row],[FTM]]/GN_Q1_HALF114233743[[#This Row],[FTA]]</f>
        <v>0</v>
      </c>
      <c r="N16" s="19">
        <f>SUM(GN_Q1_HALF114233743[[#This Row],[2PT FGM]]*2,GN_Q1_HALF114233743[[#This Row],[3PT FGM]]*3,GN_Q1_HALF114233743[[#This Row],[FTM]])</f>
        <v>4</v>
      </c>
      <c r="O16" s="19">
        <f>SUMIF($A$22:$A$59,$A$16,O22:O59)</f>
        <v>2</v>
      </c>
      <c r="P16" s="19">
        <f>SUMIF($A$22:$A$59,$A$16,P22:P59)</f>
        <v>4</v>
      </c>
      <c r="Q16" s="246">
        <f>SUMIF($A$22:$A$59,$A$16,Q22:Q59)</f>
        <v>2</v>
      </c>
      <c r="R16" s="19">
        <f>GN_Q1_HALF114233743[[#This Row],[Off. Boards]]+GN_Q1_HALF114233743[[#This Row],[Def. Boards]]</f>
        <v>6</v>
      </c>
      <c r="S16" s="19">
        <f>SUMIF($A$22:$A$59,$A$16,S22:S59)</f>
        <v>4</v>
      </c>
      <c r="T16" s="246">
        <f>SUMIF($A$22:$A$59,$A$16,T22:T59)</f>
        <v>3</v>
      </c>
      <c r="U16" s="19">
        <f>SUMIF($A$22:$A$59,$A$16,U22:U59)</f>
        <v>1</v>
      </c>
      <c r="V16" s="19">
        <f>SUMIF($A$22:$A$59,$A$16,V22:V59)</f>
        <v>0</v>
      </c>
      <c r="W16" s="250" t="e">
        <f>GN_Q1_HALF114233743[[#This Row],[Dimes]]/GN_Q1_HALF114233743[[#This Row],[Turnovers]]</f>
        <v>#DIV/0!</v>
      </c>
    </row>
    <row r="17" spans="1:23" x14ac:dyDescent="0.2">
      <c r="A17" t="s">
        <v>103</v>
      </c>
      <c r="B17" s="90">
        <f>GN_Q1_HALF114233743[[#This Row],[2PT FGM]]+GN_Q1_HALF114233743[[#This Row],[3PT FGM]]</f>
        <v>2</v>
      </c>
      <c r="C17" s="90">
        <f>GN_Q1_HALF114233743[[#This Row],[2PT FGA]]+GN_Q1_HALF114233743[[#This Row],[3PT FGA]]</f>
        <v>8</v>
      </c>
      <c r="D17" s="91">
        <f>GN_Q1_HALF114233743[[#This Row],[Total FGM]]/GN_Q1_HALF114233743[[#This Row],[Total FGA]]</f>
        <v>0.25</v>
      </c>
      <c r="E17" s="98">
        <f>SUMIF($A$22:$A$59,$A$17,E22:E59)</f>
        <v>2</v>
      </c>
      <c r="F17" s="246">
        <f>SUMIF($A$22:$A$59,$A$17,F22:F59)</f>
        <v>6</v>
      </c>
      <c r="G17" s="91">
        <f>GN_Q1_HALF114233743[[#This Row],[2PT FGM]]/GN_Q1_HALF114233743[[#This Row],[2PT FGA]]</f>
        <v>0.33333333333333331</v>
      </c>
      <c r="H17" s="19">
        <f>SUMIF($A$22:$A$59,$A$17,H22:H59)</f>
        <v>0</v>
      </c>
      <c r="I17" s="19">
        <f>SUMIF($A$22:$A$59,$A$17,I22:I59)</f>
        <v>2</v>
      </c>
      <c r="J17" s="91">
        <f>GN_Q1_HALF114233743[[#This Row],[3PT FGM]]/GN_Q1_HALF114233743[[#This Row],[3PT FGA]]</f>
        <v>0</v>
      </c>
      <c r="K17" s="19">
        <f>SUMIF($A$22:$A$59,$A$17,K22:K59)</f>
        <v>0</v>
      </c>
      <c r="L17" s="19">
        <f>SUMIF($A$22:$A$59,$A$17,L22:L59)</f>
        <v>0</v>
      </c>
      <c r="M17" s="99" t="e">
        <f>GN_Q1_HALF114233743[[#This Row],[FTM]]/GN_Q1_HALF114233743[[#This Row],[FTA]]</f>
        <v>#DIV/0!</v>
      </c>
      <c r="N17" s="19">
        <f>SUM(GN_Q1_HALF114233743[[#This Row],[2PT FGM]]*2,GN_Q1_HALF114233743[[#This Row],[3PT FGM]]*3,GN_Q1_HALF114233743[[#This Row],[FTM]])</f>
        <v>4</v>
      </c>
      <c r="O17" s="19">
        <f>SUMIF($A$22:$A$59,$A$17,O22:O59)</f>
        <v>0</v>
      </c>
      <c r="P17" s="246">
        <f>SUMIF($A$22:$A$59,$A$17,P22:P59)</f>
        <v>6</v>
      </c>
      <c r="Q17" s="19">
        <f>SUMIF($A$22:$A$59,$A$17,Q22:Q59)</f>
        <v>1</v>
      </c>
      <c r="R17" s="246">
        <f>GN_Q1_HALF114233743[[#This Row],[Off. Boards]]+GN_Q1_HALF114233743[[#This Row],[Def. Boards]]</f>
        <v>7</v>
      </c>
      <c r="S17" s="246">
        <f>SUMIF($A$22:$A$59,$A$17,S22:S59)</f>
        <v>8</v>
      </c>
      <c r="T17" s="19">
        <f>SUMIF($A$22:$A$59,$A$17,T22:T59)</f>
        <v>1</v>
      </c>
      <c r="U17" s="19">
        <f>SUMIF($A$22:$A$59,$A$17,U22:U59)</f>
        <v>1</v>
      </c>
      <c r="V17" s="249">
        <f>SUMIF($A$22:$A$59,$A$17,V22:V59)</f>
        <v>3</v>
      </c>
      <c r="W17" s="92">
        <f>GN_Q1_HALF114233743[[#This Row],[Dimes]]/GN_Q1_HALF114233743[[#This Row],[Turnovers]]</f>
        <v>2.6666666666666665</v>
      </c>
    </row>
    <row r="18" spans="1:23" x14ac:dyDescent="0.2">
      <c r="A18" s="178" t="s">
        <v>100</v>
      </c>
      <c r="B18" s="243">
        <f>GN_Q1_HALF114233743[[#This Row],[2PT FGM]]+GN_Q1_HALF114233743[[#This Row],[3PT FGM]]</f>
        <v>11</v>
      </c>
      <c r="C18" s="243">
        <f>GN_Q1_HALF114233743[[#This Row],[2PT FGA]]+GN_Q1_HALF114233743[[#This Row],[3PT FGA]]</f>
        <v>19</v>
      </c>
      <c r="D18" s="91">
        <f>GN_Q1_HALF114233743[[#This Row],[Total FGM]]/GN_Q1_HALF114233743[[#This Row],[Total FGA]]</f>
        <v>0.57894736842105265</v>
      </c>
      <c r="E18" s="245">
        <f>SUMIF($A$22:$A$59,$A$18,E22:E59)</f>
        <v>4</v>
      </c>
      <c r="F18" s="19">
        <f>SUMIF($A$22:$A$59,$A$18,F22:F59)</f>
        <v>5</v>
      </c>
      <c r="G18" s="91">
        <f>GN_Q1_HALF114233743[[#This Row],[2PT FGM]]/GN_Q1_HALF114233743[[#This Row],[2PT FGA]]</f>
        <v>0.8</v>
      </c>
      <c r="H18" s="246">
        <f>SUMIF($A$22:$A$59,$A$18,H22:H59)</f>
        <v>7</v>
      </c>
      <c r="I18" s="246">
        <f>SUMIF($A$22:$A$59,$A$18,I22:I59)</f>
        <v>14</v>
      </c>
      <c r="J18" s="91">
        <f>GN_Q1_HALF114233743[[#This Row],[3PT FGM]]/GN_Q1_HALF114233743[[#This Row],[3PT FGA]]</f>
        <v>0.5</v>
      </c>
      <c r="K18" s="19">
        <f>SUMIF($A$22:$A$59,$A$18,K22:K59)</f>
        <v>0</v>
      </c>
      <c r="L18" s="19">
        <f>SUMIF($A$22:$A$59,$A$18,L22:L59)</f>
        <v>0</v>
      </c>
      <c r="M18" s="99" t="e">
        <f>GN_Q1_HALF114233743[[#This Row],[FTM]]/GN_Q1_HALF114233743[[#This Row],[FTA]]</f>
        <v>#DIV/0!</v>
      </c>
      <c r="N18" s="246">
        <f>SUM(GN_Q1_HALF114233743[[#This Row],[2PT FGM]]*2,GN_Q1_HALF114233743[[#This Row],[3PT FGM]]*3,GN_Q1_HALF114233743[[#This Row],[FTM]])</f>
        <v>29</v>
      </c>
      <c r="O18" s="19">
        <f>SUMIF($A$22:$A$59,$A$18,O22:O59)</f>
        <v>0</v>
      </c>
      <c r="P18" s="19">
        <f>SUMIF($A$22:$A$59,$A$18,P22:P59)</f>
        <v>3</v>
      </c>
      <c r="Q18" s="19">
        <f>SUMIF($A$22:$A$59,$A$18,Q22:Q59)</f>
        <v>0</v>
      </c>
      <c r="R18" s="19">
        <f>GN_Q1_HALF114233743[[#This Row],[Off. Boards]]+GN_Q1_HALF114233743[[#This Row],[Def. Boards]]</f>
        <v>3</v>
      </c>
      <c r="S18" s="19">
        <f>SUMIF($A$22:$A$59,$A$18,S22:S59)</f>
        <v>2</v>
      </c>
      <c r="T18" s="19">
        <f>SUMIF($A$22:$A$59,$A$18,T22:T59)</f>
        <v>2</v>
      </c>
      <c r="U18" s="19">
        <f>SUMIF($A$22:$A$59,$A$18,U22:U59)</f>
        <v>1</v>
      </c>
      <c r="V18" s="19">
        <f>SUMIF($A$22:$A$59,$A$18,V22:V59)</f>
        <v>1</v>
      </c>
      <c r="W18" s="92">
        <f>GN_Q1_HALF114233743[[#This Row],[Dimes]]/GN_Q1_HALF114233743[[#This Row],[Turnovers]]</f>
        <v>2</v>
      </c>
    </row>
    <row r="19" spans="1:23" x14ac:dyDescent="0.2">
      <c r="B19" s="90"/>
      <c r="C19" s="90"/>
      <c r="D19" s="91"/>
      <c r="E19" s="98"/>
      <c r="F19" s="19"/>
      <c r="G19" s="91"/>
      <c r="H19" s="19"/>
      <c r="I19" s="19"/>
      <c r="J19" s="91"/>
      <c r="K19" s="19"/>
      <c r="L19" s="19"/>
      <c r="M19" s="99"/>
      <c r="N19" s="19"/>
      <c r="O19" s="19"/>
      <c r="P19" s="19"/>
      <c r="Q19" s="19"/>
      <c r="R19" s="19"/>
      <c r="S19" s="19"/>
      <c r="T19" s="19"/>
      <c r="U19" s="19"/>
      <c r="V19" s="19"/>
      <c r="W19" s="92"/>
    </row>
    <row r="20" spans="1:23" ht="16" thickBot="1" x14ac:dyDescent="0.25">
      <c r="A20" s="82" t="s">
        <v>76</v>
      </c>
      <c r="B20" s="100">
        <f>SUM(B15:B19)</f>
        <v>20</v>
      </c>
      <c r="C20" s="100">
        <f>SUM(C15:C19)</f>
        <v>38</v>
      </c>
      <c r="D20" s="101">
        <f>GN_Q1_HALF114233743[[#This Row],[Total FGM]]/GN_Q1_HALF114233743[[#This Row],[Total FGA]]</f>
        <v>0.52631578947368418</v>
      </c>
      <c r="E20" s="102">
        <f>SUM(E15:E19)</f>
        <v>11</v>
      </c>
      <c r="F20" s="103">
        <f>SUM(F15:F19)</f>
        <v>19</v>
      </c>
      <c r="G20" s="104">
        <f>GN_Q1_HALF114233743[[#This Row],[2PT FGM]]/GN_Q1_HALF114233743[[#This Row],[2PT FGA]]</f>
        <v>0.57894736842105265</v>
      </c>
      <c r="H20" s="103">
        <f>SUM(H15:H19)</f>
        <v>9</v>
      </c>
      <c r="I20" s="103">
        <f>SUM(I15:I19)</f>
        <v>19</v>
      </c>
      <c r="J20" s="109">
        <f>GN_Q1_HALF114233743[[#This Row],[3PT FGM]]/GN_Q1_HALF114233743[[#This Row],[3PT FGA]]</f>
        <v>0.47368421052631576</v>
      </c>
      <c r="K20" s="103">
        <f>SUM(K15:K19)</f>
        <v>1</v>
      </c>
      <c r="L20" s="103">
        <f>SUM(L15:L19)</f>
        <v>2</v>
      </c>
      <c r="M20" s="105">
        <f>GN_Q1_HALF114233743[[#This Row],[FTM]]/GN_Q1_HALF114233743[[#This Row],[FTA]]</f>
        <v>0.5</v>
      </c>
      <c r="N20" s="62">
        <f>SUM(GN_Q1_HALF114233743[[#This Row],[2PT FGM]]*2,GN_Q1_HALF114233743[[#This Row],[3PT FGM]]*3,GN_Q1_HALF114233743[[#This Row],[FTM]])</f>
        <v>50</v>
      </c>
      <c r="O20" s="100">
        <f>SUM(O15:O19)</f>
        <v>2</v>
      </c>
      <c r="P20" s="100">
        <f>SUM(P15:P19)</f>
        <v>15</v>
      </c>
      <c r="Q20" s="100">
        <f>SUM(Q15:Q19)</f>
        <v>5</v>
      </c>
      <c r="R20" s="106">
        <f>GN_Q1_HALF114233743[[#This Row],[Def. Boards]]+GN_Q1_HALF114233743[[#This Row],[Off. Boards]]</f>
        <v>20</v>
      </c>
      <c r="S20" s="100">
        <f>SUM(S15:S19)</f>
        <v>18</v>
      </c>
      <c r="T20" s="100">
        <f>SUM(T15:T19)</f>
        <v>7</v>
      </c>
      <c r="U20" s="100">
        <f>SUM(U15:U19)</f>
        <v>3</v>
      </c>
      <c r="V20" s="100">
        <f>SUM(V15:V19)</f>
        <v>4</v>
      </c>
      <c r="W20" s="107">
        <f>GN_Q1_HALF114233743[[#This Row],[Dimes]]/GN_Q1_HALF114233743[[#This Row],[Turnovers]]</f>
        <v>4.5</v>
      </c>
    </row>
    <row r="21" spans="1:23" ht="16" thickBot="1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</row>
    <row r="22" spans="1:23" ht="16" thickTop="1" x14ac:dyDescent="0.2"/>
    <row r="23" spans="1:23" ht="16" thickBot="1" x14ac:dyDescent="0.25">
      <c r="A23" s="220" t="s">
        <v>146</v>
      </c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</row>
    <row r="24" spans="1:23" ht="32" x14ac:dyDescent="0.2">
      <c r="A24" s="166" t="s">
        <v>208</v>
      </c>
      <c r="B24" s="11" t="s">
        <v>0</v>
      </c>
      <c r="C24" s="11" t="s">
        <v>1</v>
      </c>
      <c r="D24" s="11" t="s">
        <v>2</v>
      </c>
      <c r="E24" s="95" t="s">
        <v>3</v>
      </c>
      <c r="F24" s="96" t="s">
        <v>4</v>
      </c>
      <c r="G24" s="96" t="s">
        <v>5</v>
      </c>
      <c r="H24" s="96" t="s">
        <v>6</v>
      </c>
      <c r="I24" s="96" t="s">
        <v>7</v>
      </c>
      <c r="J24" s="96" t="s">
        <v>8</v>
      </c>
      <c r="K24" s="96" t="s">
        <v>9</v>
      </c>
      <c r="L24" s="96" t="s">
        <v>10</v>
      </c>
      <c r="M24" s="97" t="s">
        <v>11</v>
      </c>
      <c r="N24" s="11" t="s">
        <v>12</v>
      </c>
      <c r="O24" s="10" t="s">
        <v>13</v>
      </c>
      <c r="P24" s="11" t="s">
        <v>14</v>
      </c>
      <c r="Q24" s="11" t="s">
        <v>15</v>
      </c>
      <c r="R24" s="11" t="s">
        <v>16</v>
      </c>
      <c r="S24" s="10" t="s">
        <v>17</v>
      </c>
      <c r="T24" s="10" t="s">
        <v>18</v>
      </c>
      <c r="U24" s="10" t="s">
        <v>19</v>
      </c>
      <c r="V24" s="10" t="s">
        <v>20</v>
      </c>
      <c r="W24" s="10" t="s">
        <v>21</v>
      </c>
    </row>
    <row r="25" spans="1:23" x14ac:dyDescent="0.2">
      <c r="A25" s="13" t="s">
        <v>96</v>
      </c>
      <c r="B25" s="90">
        <f>LITI_Q1_HALF11317243844[[#This Row],[2PT FGM]]+LITI_Q1_HALF11317243844[[#This Row],[3PT FGM]]</f>
        <v>1</v>
      </c>
      <c r="C25" s="90">
        <f>LITI_Q1_HALF11317243844[[#This Row],[2PT FGA]]+LITI_Q1_HALF11317243844[[#This Row],[3PT FGA]]</f>
        <v>4</v>
      </c>
      <c r="D25" s="91">
        <f>LITI_Q1_HALF11317243844[[#This Row],[Total FGM]]/LITI_Q1_HALF11317243844[[#This Row],[Total FGA]]</f>
        <v>0.25</v>
      </c>
      <c r="E25" s="98">
        <v>0</v>
      </c>
      <c r="F25" s="19">
        <v>0</v>
      </c>
      <c r="G25" s="91" t="e">
        <f>LITI_Q1_HALF11317243844[[#This Row],[2PT FGM]]/LITI_Q1_HALF11317243844[[#This Row],[2PT FGA]]</f>
        <v>#DIV/0!</v>
      </c>
      <c r="H25" s="19">
        <v>1</v>
      </c>
      <c r="I25" s="19">
        <v>4</v>
      </c>
      <c r="J25" s="91">
        <f>LITI_Q1_HALF11317243844[[#This Row],[3PT FGM]]/LITI_Q1_HALF11317243844[[#This Row],[3PT FGA]]</f>
        <v>0.25</v>
      </c>
      <c r="K25" s="19">
        <v>0</v>
      </c>
      <c r="L25" s="19">
        <v>0</v>
      </c>
      <c r="M25" s="99" t="e">
        <f>LITI_Q1_HALF11317243844[[#This Row],[FTM]]/LITI_Q1_HALF11317243844[[#This Row],[FTA]]</f>
        <v>#DIV/0!</v>
      </c>
      <c r="N25" s="19">
        <f>SUM(LITI_Q1_HALF11317243844[[#This Row],[2PT FGM]]*2,LITI_Q1_HALF11317243844[[#This Row],[3PT FGM]]*3,LITI_Q1_HALF11317243844[[#This Row],[FTM]])</f>
        <v>3</v>
      </c>
      <c r="O25" s="19">
        <v>0</v>
      </c>
      <c r="P25" s="19">
        <v>3</v>
      </c>
      <c r="Q25" s="19">
        <v>1</v>
      </c>
      <c r="R25" s="19">
        <f>LITI_Q1_HALF11317243844[[#This Row],[Off. Boards]]+LITI_Q1_HALF11317243844[[#This Row],[Def. Boards]]</f>
        <v>4</v>
      </c>
      <c r="S25" s="19">
        <v>2</v>
      </c>
      <c r="T25" s="19">
        <v>0</v>
      </c>
      <c r="U25" s="19">
        <v>0</v>
      </c>
      <c r="V25" s="19">
        <v>1</v>
      </c>
      <c r="W25" s="92">
        <f>LITI_Q1_HALF11317243844[[#This Row],[Dimes]]/LITI_Q1_HALF11317243844[[#This Row],[Turnovers]]</f>
        <v>2</v>
      </c>
    </row>
    <row r="26" spans="1:23" x14ac:dyDescent="0.2">
      <c r="A26" s="13" t="s">
        <v>207</v>
      </c>
      <c r="B26" s="90">
        <f>LITI_Q1_HALF11317243844[[#This Row],[2PT FGM]]+LITI_Q1_HALF11317243844[[#This Row],[3PT FGM]]</f>
        <v>1</v>
      </c>
      <c r="C26" s="90">
        <f>LITI_Q1_HALF11317243844[[#This Row],[2PT FGA]]+LITI_Q1_HALF11317243844[[#This Row],[3PT FGA]]</f>
        <v>3</v>
      </c>
      <c r="D26" s="91">
        <f>LITI_Q1_HALF11317243844[[#This Row],[Total FGM]]/LITI_Q1_HALF11317243844[[#This Row],[Total FGA]]</f>
        <v>0.33333333333333331</v>
      </c>
      <c r="E26" s="98">
        <v>1</v>
      </c>
      <c r="F26" s="19">
        <v>2</v>
      </c>
      <c r="G26" s="91">
        <f>LITI_Q1_HALF11317243844[[#This Row],[2PT FGM]]/LITI_Q1_HALF11317243844[[#This Row],[2PT FGA]]</f>
        <v>0.5</v>
      </c>
      <c r="H26" s="19">
        <v>0</v>
      </c>
      <c r="I26" s="19">
        <v>1</v>
      </c>
      <c r="J26" s="91">
        <f>LITI_Q1_HALF11317243844[[#This Row],[3PT FGM]]/LITI_Q1_HALF11317243844[[#This Row],[3PT FGA]]</f>
        <v>0</v>
      </c>
      <c r="K26" s="19">
        <v>0</v>
      </c>
      <c r="L26" s="19">
        <v>0</v>
      </c>
      <c r="M26" s="99" t="e">
        <f>LITI_Q1_HALF11317243844[[#This Row],[FTM]]/LITI_Q1_HALF11317243844[[#This Row],[FTA]]</f>
        <v>#DIV/0!</v>
      </c>
      <c r="N26" s="19">
        <f>SUM(LITI_Q1_HALF11317243844[[#This Row],[2PT FGM]]*2,LITI_Q1_HALF11317243844[[#This Row],[3PT FGM]]*3,LITI_Q1_HALF11317243844[[#This Row],[FTM]])</f>
        <v>2</v>
      </c>
      <c r="O26" s="19">
        <v>1</v>
      </c>
      <c r="P26" s="19">
        <v>0</v>
      </c>
      <c r="Q26" s="19">
        <v>0</v>
      </c>
      <c r="R26" s="19">
        <f>LITI_Q1_HALF11317243844[[#This Row],[Off. Boards]]+LITI_Q1_HALF11317243844[[#This Row],[Def. Boards]]</f>
        <v>0</v>
      </c>
      <c r="S26" s="19">
        <v>0</v>
      </c>
      <c r="T26" s="19">
        <v>0</v>
      </c>
      <c r="U26" s="19">
        <v>0</v>
      </c>
      <c r="V26" s="19">
        <v>0</v>
      </c>
      <c r="W26" s="92" t="e">
        <f>LITI_Q1_HALF11317243844[[#This Row],[Dimes]]/LITI_Q1_HALF11317243844[[#This Row],[Turnovers]]</f>
        <v>#DIV/0!</v>
      </c>
    </row>
    <row r="27" spans="1:23" x14ac:dyDescent="0.2">
      <c r="A27" s="13" t="s">
        <v>88</v>
      </c>
      <c r="B27" s="90">
        <f>LITI_Q1_HALF11317243844[[#This Row],[2PT FGM]]+LITI_Q1_HALF11317243844[[#This Row],[3PT FGM]]</f>
        <v>2</v>
      </c>
      <c r="C27" s="90">
        <f>LITI_Q1_HALF11317243844[[#This Row],[2PT FGA]]+LITI_Q1_HALF11317243844[[#This Row],[3PT FGA]]</f>
        <v>5</v>
      </c>
      <c r="D27" s="91">
        <f>LITI_Q1_HALF11317243844[[#This Row],[Total FGM]]/LITI_Q1_HALF11317243844[[#This Row],[Total FGA]]</f>
        <v>0.4</v>
      </c>
      <c r="E27" s="98">
        <v>1</v>
      </c>
      <c r="F27" s="19">
        <v>2</v>
      </c>
      <c r="G27" s="91">
        <f>LITI_Q1_HALF11317243844[[#This Row],[2PT FGM]]/LITI_Q1_HALF11317243844[[#This Row],[2PT FGA]]</f>
        <v>0.5</v>
      </c>
      <c r="H27" s="19">
        <v>1</v>
      </c>
      <c r="I27" s="19">
        <v>3</v>
      </c>
      <c r="J27" s="91">
        <f>LITI_Q1_HALF11317243844[[#This Row],[3PT FGM]]/LITI_Q1_HALF11317243844[[#This Row],[3PT FGA]]</f>
        <v>0.33333333333333331</v>
      </c>
      <c r="K27" s="19">
        <v>0</v>
      </c>
      <c r="L27" s="19">
        <v>0</v>
      </c>
      <c r="M27" s="99" t="e">
        <f>LITI_Q1_HALF11317243844[[#This Row],[FTM]]/LITI_Q1_HALF11317243844[[#This Row],[FTA]]</f>
        <v>#DIV/0!</v>
      </c>
      <c r="N27" s="19">
        <f>SUM(LITI_Q1_HALF11317243844[[#This Row],[2PT FGM]]*2,LITI_Q1_HALF11317243844[[#This Row],[3PT FGM]]*3,LITI_Q1_HALF11317243844[[#This Row],[FTM]])</f>
        <v>5</v>
      </c>
      <c r="O27" s="19">
        <v>0</v>
      </c>
      <c r="P27" s="19">
        <v>2</v>
      </c>
      <c r="Q27" s="19">
        <v>1</v>
      </c>
      <c r="R27" s="19">
        <f>LITI_Q1_HALF11317243844[[#This Row],[Off. Boards]]+LITI_Q1_HALF11317243844[[#This Row],[Def. Boards]]</f>
        <v>3</v>
      </c>
      <c r="S27" s="19">
        <v>4</v>
      </c>
      <c r="T27" s="19">
        <v>1</v>
      </c>
      <c r="U27" s="19">
        <v>2</v>
      </c>
      <c r="V27" s="19">
        <v>2</v>
      </c>
      <c r="W27" s="92">
        <f>LITI_Q1_HALF11317243844[[#This Row],[Dimes]]/LITI_Q1_HALF11317243844[[#This Row],[Turnovers]]</f>
        <v>2</v>
      </c>
    </row>
    <row r="28" spans="1:23" x14ac:dyDescent="0.2">
      <c r="A28" s="13" t="s">
        <v>98</v>
      </c>
      <c r="B28" s="90">
        <f>LITI_Q1_HALF11317243844[[#This Row],[2PT FGM]]+LITI_Q1_HALF11317243844[[#This Row],[3PT FGM]]</f>
        <v>0</v>
      </c>
      <c r="C28" s="90">
        <f>LITI_Q1_HALF11317243844[[#This Row],[2PT FGA]]+LITI_Q1_HALF11317243844[[#This Row],[3PT FGA]]</f>
        <v>3</v>
      </c>
      <c r="D28" s="91">
        <f>LITI_Q1_HALF11317243844[[#This Row],[Total FGM]]/LITI_Q1_HALF11317243844[[#This Row],[Total FGA]]</f>
        <v>0</v>
      </c>
      <c r="E28" s="98">
        <v>0</v>
      </c>
      <c r="F28" s="19">
        <v>0</v>
      </c>
      <c r="G28" s="91" t="e">
        <f>LITI_Q1_HALF11317243844[[#This Row],[2PT FGM]]/LITI_Q1_HALF11317243844[[#This Row],[2PT FGA]]</f>
        <v>#DIV/0!</v>
      </c>
      <c r="H28" s="19">
        <v>0</v>
      </c>
      <c r="I28" s="19">
        <v>3</v>
      </c>
      <c r="J28" s="91">
        <f>LITI_Q1_HALF11317243844[[#This Row],[3PT FGM]]/LITI_Q1_HALF11317243844[[#This Row],[3PT FGA]]</f>
        <v>0</v>
      </c>
      <c r="K28" s="19">
        <v>0</v>
      </c>
      <c r="L28" s="19">
        <v>0</v>
      </c>
      <c r="M28" s="99" t="e">
        <f>LITI_Q1_HALF11317243844[[#This Row],[FTM]]/LITI_Q1_HALF11317243844[[#This Row],[FTA]]</f>
        <v>#DIV/0!</v>
      </c>
      <c r="N28" s="19">
        <f>SUM(LITI_Q1_HALF11317243844[[#This Row],[2PT FGM]]*2,LITI_Q1_HALF11317243844[[#This Row],[3PT FGM]]*3,LITI_Q1_HALF11317243844[[#This Row],[FTM]])</f>
        <v>0</v>
      </c>
      <c r="O28" s="19">
        <v>0</v>
      </c>
      <c r="P28" s="19">
        <v>1</v>
      </c>
      <c r="Q28" s="19">
        <v>0</v>
      </c>
      <c r="R28" s="19">
        <f>LITI_Q1_HALF11317243844[[#This Row],[Off. Boards]]+LITI_Q1_HALF11317243844[[#This Row],[Def. Boards]]</f>
        <v>1</v>
      </c>
      <c r="S28" s="19">
        <v>1</v>
      </c>
      <c r="T28" s="19">
        <v>0</v>
      </c>
      <c r="U28" s="19">
        <v>0</v>
      </c>
      <c r="V28" s="19">
        <v>1</v>
      </c>
      <c r="W28" s="92">
        <f>LITI_Q1_HALF11317243844[[#This Row],[Dimes]]/LITI_Q1_HALF11317243844[[#This Row],[Turnovers]]</f>
        <v>1</v>
      </c>
    </row>
    <row r="29" spans="1:23" x14ac:dyDescent="0.2">
      <c r="A29" s="13" t="s">
        <v>83</v>
      </c>
      <c r="B29" s="90">
        <f>LITI_Q1_HALF11317243844[[#This Row],[2PT FGM]]+LITI_Q1_HALF11317243844[[#This Row],[3PT FGM]]</f>
        <v>4</v>
      </c>
      <c r="C29" s="90">
        <f>LITI_Q1_HALF11317243844[[#This Row],[2PT FGA]]+LITI_Q1_HALF11317243844[[#This Row],[3PT FGA]]</f>
        <v>4</v>
      </c>
      <c r="D29" s="91">
        <f>LITI_Q1_HALF11317243844[[#This Row],[Total FGM]]/LITI_Q1_HALF11317243844[[#This Row],[Total FGA]]</f>
        <v>1</v>
      </c>
      <c r="E29" s="98">
        <v>0</v>
      </c>
      <c r="F29" s="19">
        <v>0</v>
      </c>
      <c r="G29" s="91" t="e">
        <f>LITI_Q1_HALF11317243844[[#This Row],[2PT FGM]]/LITI_Q1_HALF11317243844[[#This Row],[2PT FGA]]</f>
        <v>#DIV/0!</v>
      </c>
      <c r="H29" s="19">
        <v>4</v>
      </c>
      <c r="I29" s="19">
        <v>4</v>
      </c>
      <c r="J29" s="91">
        <f>LITI_Q1_HALF11317243844[[#This Row],[3PT FGM]]/LITI_Q1_HALF11317243844[[#This Row],[3PT FGA]]</f>
        <v>1</v>
      </c>
      <c r="K29" s="19">
        <v>0</v>
      </c>
      <c r="L29" s="19">
        <v>0</v>
      </c>
      <c r="M29" s="99" t="e">
        <f>LITI_Q1_HALF11317243844[[#This Row],[FTM]]/LITI_Q1_HALF11317243844[[#This Row],[FTA]]</f>
        <v>#DIV/0!</v>
      </c>
      <c r="N29" s="19">
        <f>SUM(LITI_Q1_HALF11317243844[[#This Row],[2PT FGM]]*2,LITI_Q1_HALF11317243844[[#This Row],[3PT FGM]]*3,LITI_Q1_HALF11317243844[[#This Row],[FTM]])</f>
        <v>12</v>
      </c>
      <c r="O29" s="19">
        <v>0</v>
      </c>
      <c r="P29" s="19">
        <v>0</v>
      </c>
      <c r="Q29" s="19">
        <v>1</v>
      </c>
      <c r="R29" s="19">
        <f>LITI_Q1_HALF11317243844[[#This Row],[Off. Boards]]+LITI_Q1_HALF11317243844[[#This Row],[Def. Boards]]</f>
        <v>1</v>
      </c>
      <c r="S29" s="19">
        <v>1</v>
      </c>
      <c r="T29" s="19">
        <v>1</v>
      </c>
      <c r="U29" s="19">
        <v>0</v>
      </c>
      <c r="V29" s="19">
        <v>0</v>
      </c>
      <c r="W29" s="92" t="e">
        <f>LITI_Q1_HALF11317243844[[#This Row],[Dimes]]/LITI_Q1_HALF11317243844[[#This Row],[Turnovers]]</f>
        <v>#DIV/0!</v>
      </c>
    </row>
    <row r="30" spans="1:23" ht="16" thickBot="1" x14ac:dyDescent="0.25">
      <c r="A30" s="82" t="s">
        <v>76</v>
      </c>
      <c r="B30" s="100">
        <f>SUM(B25:B29)</f>
        <v>8</v>
      </c>
      <c r="C30" s="100">
        <f>SUM(C25:C29)</f>
        <v>19</v>
      </c>
      <c r="D30" s="101">
        <f>LITI_Q1_HALF11317243844[[#This Row],[Total FGM]]/LITI_Q1_HALF11317243844[[#This Row],[Total FGA]]</f>
        <v>0.42105263157894735</v>
      </c>
      <c r="E30" s="102">
        <f>SUM(E25:E29)</f>
        <v>2</v>
      </c>
      <c r="F30" s="103">
        <f>SUM(F25:F29)</f>
        <v>4</v>
      </c>
      <c r="G30" s="108">
        <f>LITI_Q1_HALF11317243844[[#This Row],[2PT FGM]]/LITI_Q1_HALF11317243844[[#This Row],[2PT FGA]]</f>
        <v>0.5</v>
      </c>
      <c r="H30" s="103">
        <f>SUM(H25:H29)</f>
        <v>6</v>
      </c>
      <c r="I30" s="103">
        <f>SUM(I25:I29)</f>
        <v>15</v>
      </c>
      <c r="J30" s="104">
        <f>LITI_Q1_HALF11317243844[[#This Row],[3PT FGM]]/LITI_Q1_HALF11317243844[[#This Row],[3PT FGA]]</f>
        <v>0.4</v>
      </c>
      <c r="K30" s="103">
        <f>SUM(K25:K29)</f>
        <v>0</v>
      </c>
      <c r="L30" s="103">
        <f>SUM(L25:L29)</f>
        <v>0</v>
      </c>
      <c r="M30" s="105" t="e">
        <f>LITI_Q1_HALF11317243844[[#This Row],[FTM]]/LITI_Q1_HALF11317243844[[#This Row],[FTA]]</f>
        <v>#DIV/0!</v>
      </c>
      <c r="N30" s="62">
        <f>SUM(LITI_Q1_HALF11317243844[[#This Row],[2PT FGM]]*2,LITI_Q1_HALF11317243844[[#This Row],[3PT FGM]]*3,LITI_Q1_HALF11317243844[[#This Row],[FTM]])</f>
        <v>22</v>
      </c>
      <c r="O30" s="106">
        <f>SUM(O25:O29)</f>
        <v>1</v>
      </c>
      <c r="P30" s="106">
        <f t="shared" ref="P30:V30" si="1">SUM(P25:P29)</f>
        <v>6</v>
      </c>
      <c r="Q30" s="106">
        <f t="shared" si="1"/>
        <v>3</v>
      </c>
      <c r="R30" s="106">
        <f t="shared" si="1"/>
        <v>9</v>
      </c>
      <c r="S30" s="106">
        <f t="shared" si="1"/>
        <v>8</v>
      </c>
      <c r="T30" s="106">
        <f t="shared" si="1"/>
        <v>2</v>
      </c>
      <c r="U30" s="106">
        <f t="shared" si="1"/>
        <v>2</v>
      </c>
      <c r="V30" s="106">
        <f t="shared" si="1"/>
        <v>4</v>
      </c>
      <c r="W30" s="107">
        <f>LITI_Q1_HALF11317243844[[#This Row],[Dimes]]/LITI_Q1_HALF11317243844[[#This Row],[Turnovers]]</f>
        <v>2</v>
      </c>
    </row>
    <row r="32" spans="1:23" ht="16" thickBot="1" x14ac:dyDescent="0.25">
      <c r="A32" s="220" t="s">
        <v>146</v>
      </c>
      <c r="B32" s="219"/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</row>
    <row r="33" spans="1:23" ht="32" x14ac:dyDescent="0.2">
      <c r="A33" s="166" t="s">
        <v>209</v>
      </c>
      <c r="B33" s="11" t="s">
        <v>0</v>
      </c>
      <c r="C33" s="11" t="s">
        <v>1</v>
      </c>
      <c r="D33" s="11" t="s">
        <v>2</v>
      </c>
      <c r="E33" s="95" t="s">
        <v>3</v>
      </c>
      <c r="F33" s="96" t="s">
        <v>4</v>
      </c>
      <c r="G33" s="96" t="s">
        <v>5</v>
      </c>
      <c r="H33" s="96" t="s">
        <v>6</v>
      </c>
      <c r="I33" s="96" t="s">
        <v>7</v>
      </c>
      <c r="J33" s="96" t="s">
        <v>8</v>
      </c>
      <c r="K33" s="96" t="s">
        <v>9</v>
      </c>
      <c r="L33" s="96" t="s">
        <v>10</v>
      </c>
      <c r="M33" s="97" t="s">
        <v>11</v>
      </c>
      <c r="N33" s="11" t="s">
        <v>12</v>
      </c>
      <c r="O33" s="10" t="s">
        <v>13</v>
      </c>
      <c r="P33" s="11" t="s">
        <v>14</v>
      </c>
      <c r="Q33" s="11" t="s">
        <v>15</v>
      </c>
      <c r="R33" s="11" t="s">
        <v>16</v>
      </c>
      <c r="S33" s="10" t="s">
        <v>17</v>
      </c>
      <c r="T33" s="10" t="s">
        <v>18</v>
      </c>
      <c r="U33" s="10" t="s">
        <v>19</v>
      </c>
      <c r="V33" s="10" t="s">
        <v>20</v>
      </c>
      <c r="W33" s="10" t="s">
        <v>21</v>
      </c>
    </row>
    <row r="34" spans="1:23" x14ac:dyDescent="0.2">
      <c r="A34" t="s">
        <v>24</v>
      </c>
      <c r="B34" s="90">
        <f>GN_Q1_HALF11418253945[[#This Row],[2PT FGM]]+GN_Q1_HALF11418253945[[#This Row],[3PT FGM]]</f>
        <v>3</v>
      </c>
      <c r="C34" s="90">
        <f>GN_Q1_HALF11418253945[[#This Row],[2PT FGA]]+GN_Q1_HALF11418253945[[#This Row],[3PT FGA]]</f>
        <v>5</v>
      </c>
      <c r="D34" s="91">
        <f>GN_Q1_HALF11418253945[[#This Row],[Total FGM]]/GN_Q1_HALF11418253945[[#This Row],[Total FGA]]</f>
        <v>0.6</v>
      </c>
      <c r="E34" s="98">
        <v>3</v>
      </c>
      <c r="F34" s="19">
        <v>4</v>
      </c>
      <c r="G34" s="91">
        <f>GN_Q1_HALF11418253945[[#This Row],[2PT FGM]]/GN_Q1_HALF11418253945[[#This Row],[2PT FGA]]</f>
        <v>0.75</v>
      </c>
      <c r="H34" s="19">
        <v>0</v>
      </c>
      <c r="I34" s="19">
        <v>1</v>
      </c>
      <c r="J34" s="91">
        <f>GN_Q1_HALF11418253945[[#This Row],[3PT FGM]]/GN_Q1_HALF11418253945[[#This Row],[3PT FGA]]</f>
        <v>0</v>
      </c>
      <c r="K34" s="19">
        <v>0</v>
      </c>
      <c r="L34" s="19">
        <v>0</v>
      </c>
      <c r="M34" s="99" t="e">
        <f>GN_Q1_HALF11418253945[[#This Row],[FTM]]/GN_Q1_HALF11418253945[[#This Row],[FTA]]</f>
        <v>#DIV/0!</v>
      </c>
      <c r="N34" s="19">
        <f>SUM(GN_Q1_HALF11418253945[[#This Row],[2PT FGM]]*2,GN_Q1_HALF11418253945[[#This Row],[3PT FGM]]*3,GN_Q1_HALF11418253945[[#This Row],[FTM]])</f>
        <v>6</v>
      </c>
      <c r="O34" s="19">
        <v>0</v>
      </c>
      <c r="P34" s="19">
        <v>2</v>
      </c>
      <c r="Q34" s="19">
        <v>2</v>
      </c>
      <c r="R34" s="19">
        <f>GN_Q1_HALF11418253945[[#This Row],[Off. Boards]]+GN_Q1_HALF11418253945[[#This Row],[Def. Boards]]</f>
        <v>4</v>
      </c>
      <c r="S34" s="19">
        <v>2</v>
      </c>
      <c r="T34" s="19">
        <v>1</v>
      </c>
      <c r="U34" s="19">
        <v>0</v>
      </c>
      <c r="V34" s="19">
        <v>0</v>
      </c>
      <c r="W34" s="92" t="e">
        <f>GN_Q1_HALF11418253945[[#This Row],[Dimes]]/GN_Q1_HALF11418253945[[#This Row],[Turnovers]]</f>
        <v>#DIV/0!</v>
      </c>
    </row>
    <row r="35" spans="1:23" x14ac:dyDescent="0.2">
      <c r="A35" t="s">
        <v>135</v>
      </c>
      <c r="B35" s="90">
        <f>GN_Q1_HALF11418253945[[#This Row],[2PT FGM]]+GN_Q1_HALF11418253945[[#This Row],[3PT FGM]]</f>
        <v>1</v>
      </c>
      <c r="C35" s="90">
        <f>GN_Q1_HALF11418253945[[#This Row],[2PT FGA]]+GN_Q1_HALF11418253945[[#This Row],[3PT FGA]]</f>
        <v>1</v>
      </c>
      <c r="D35" s="91">
        <f>GN_Q1_HALF11418253945[[#This Row],[Total FGM]]/GN_Q1_HALF11418253945[[#This Row],[Total FGA]]</f>
        <v>1</v>
      </c>
      <c r="E35" s="98">
        <v>1</v>
      </c>
      <c r="F35" s="19">
        <v>1</v>
      </c>
      <c r="G35" s="91">
        <f>GN_Q1_HALF11418253945[[#This Row],[2PT FGM]]/GN_Q1_HALF11418253945[[#This Row],[2PT FGA]]</f>
        <v>1</v>
      </c>
      <c r="H35" s="19">
        <v>0</v>
      </c>
      <c r="I35" s="19">
        <v>0</v>
      </c>
      <c r="J35" s="91" t="e">
        <f>GN_Q1_HALF11418253945[[#This Row],[3PT FGM]]/GN_Q1_HALF11418253945[[#This Row],[3PT FGA]]</f>
        <v>#DIV/0!</v>
      </c>
      <c r="K35" s="19">
        <v>0</v>
      </c>
      <c r="L35" s="19">
        <v>0</v>
      </c>
      <c r="M35" s="99" t="e">
        <f>GN_Q1_HALF11418253945[[#This Row],[FTM]]/GN_Q1_HALF11418253945[[#This Row],[FTA]]</f>
        <v>#DIV/0!</v>
      </c>
      <c r="N35" s="19">
        <f>SUM(GN_Q1_HALF11418253945[[#This Row],[2PT FGM]]*2,GN_Q1_HALF11418253945[[#This Row],[3PT FGM]]*3,GN_Q1_HALF11418253945[[#This Row],[FTM]])</f>
        <v>2</v>
      </c>
      <c r="O35" s="19">
        <v>1</v>
      </c>
      <c r="P35" s="19">
        <v>0</v>
      </c>
      <c r="Q35" s="19">
        <v>2</v>
      </c>
      <c r="R35" s="19">
        <f>GN_Q1_HALF11418253945[[#This Row],[Off. Boards]]+GN_Q1_HALF11418253945[[#This Row],[Def. Boards]]</f>
        <v>2</v>
      </c>
      <c r="S35" s="19">
        <v>1</v>
      </c>
      <c r="T35" s="19">
        <v>2</v>
      </c>
      <c r="U35" s="19">
        <v>1</v>
      </c>
      <c r="V35" s="19">
        <v>0</v>
      </c>
      <c r="W35" s="92" t="e">
        <f>GN_Q1_HALF11418253945[[#This Row],[Dimes]]/GN_Q1_HALF11418253945[[#This Row],[Turnovers]]</f>
        <v>#DIV/0!</v>
      </c>
    </row>
    <row r="36" spans="1:23" x14ac:dyDescent="0.2">
      <c r="A36" t="s">
        <v>103</v>
      </c>
      <c r="B36" s="90">
        <f>GN_Q1_HALF11418253945[[#This Row],[2PT FGM]]+GN_Q1_HALF11418253945[[#This Row],[3PT FGM]]</f>
        <v>2</v>
      </c>
      <c r="C36" s="90">
        <f>GN_Q1_HALF11418253945[[#This Row],[2PT FGA]]+GN_Q1_HALF11418253945[[#This Row],[3PT FGA]]</f>
        <v>6</v>
      </c>
      <c r="D36" s="91">
        <f>GN_Q1_HALF11418253945[[#This Row],[Total FGM]]/GN_Q1_HALF11418253945[[#This Row],[Total FGA]]</f>
        <v>0.33333333333333331</v>
      </c>
      <c r="E36" s="98">
        <v>2</v>
      </c>
      <c r="F36" s="19">
        <v>5</v>
      </c>
      <c r="G36" s="91">
        <f>GN_Q1_HALF11418253945[[#This Row],[2PT FGM]]/GN_Q1_HALF11418253945[[#This Row],[2PT FGA]]</f>
        <v>0.4</v>
      </c>
      <c r="H36" s="19">
        <v>0</v>
      </c>
      <c r="I36" s="19">
        <v>1</v>
      </c>
      <c r="J36" s="91">
        <f>GN_Q1_HALF11418253945[[#This Row],[3PT FGM]]/GN_Q1_HALF11418253945[[#This Row],[3PT FGA]]</f>
        <v>0</v>
      </c>
      <c r="K36" s="19">
        <v>0</v>
      </c>
      <c r="L36" s="19">
        <v>0</v>
      </c>
      <c r="M36" s="99" t="e">
        <f>GN_Q1_HALF11418253945[[#This Row],[FTM]]/GN_Q1_HALF11418253945[[#This Row],[FTA]]</f>
        <v>#DIV/0!</v>
      </c>
      <c r="N36" s="19">
        <f>SUM(GN_Q1_HALF11418253945[[#This Row],[2PT FGM]]*2,GN_Q1_HALF11418253945[[#This Row],[3PT FGM]]*3,GN_Q1_HALF11418253945[[#This Row],[FTM]])</f>
        <v>4</v>
      </c>
      <c r="O36" s="19">
        <v>0</v>
      </c>
      <c r="P36" s="19">
        <v>4</v>
      </c>
      <c r="Q36" s="19">
        <v>0</v>
      </c>
      <c r="R36" s="19">
        <f>GN_Q1_HALF11418253945[[#This Row],[Off. Boards]]+GN_Q1_HALF11418253945[[#This Row],[Def. Boards]]</f>
        <v>4</v>
      </c>
      <c r="S36" s="19">
        <v>3</v>
      </c>
      <c r="T36" s="19">
        <v>1</v>
      </c>
      <c r="U36" s="19">
        <v>0</v>
      </c>
      <c r="V36" s="19">
        <v>2</v>
      </c>
      <c r="W36" s="92">
        <f>GN_Q1_HALF11418253945[[#This Row],[Dimes]]/GN_Q1_HALF11418253945[[#This Row],[Turnovers]]</f>
        <v>1.5</v>
      </c>
    </row>
    <row r="37" spans="1:23" x14ac:dyDescent="0.2">
      <c r="A37" t="s">
        <v>100</v>
      </c>
      <c r="B37" s="90">
        <f>GN_Q1_HALF11418253945[[#This Row],[2PT FGM]]+GN_Q1_HALF11418253945[[#This Row],[3PT FGM]]</f>
        <v>2</v>
      </c>
      <c r="C37" s="90">
        <f>GN_Q1_HALF11418253945[[#This Row],[2PT FGA]]+GN_Q1_HALF11418253945[[#This Row],[3PT FGA]]</f>
        <v>8</v>
      </c>
      <c r="D37" s="91">
        <f>GN_Q1_HALF11418253945[[#This Row],[Total FGM]]/GN_Q1_HALF11418253945[[#This Row],[Total FGA]]</f>
        <v>0.25</v>
      </c>
      <c r="E37" s="98">
        <v>2</v>
      </c>
      <c r="F37" s="19">
        <v>3</v>
      </c>
      <c r="G37" s="91">
        <f>GN_Q1_HALF11418253945[[#This Row],[2PT FGM]]/GN_Q1_HALF11418253945[[#This Row],[2PT FGA]]</f>
        <v>0.66666666666666663</v>
      </c>
      <c r="H37" s="19">
        <v>0</v>
      </c>
      <c r="I37" s="19">
        <v>5</v>
      </c>
      <c r="J37" s="91">
        <f>GN_Q1_HALF11418253945[[#This Row],[3PT FGM]]/GN_Q1_HALF11418253945[[#This Row],[3PT FGA]]</f>
        <v>0</v>
      </c>
      <c r="K37" s="19">
        <v>0</v>
      </c>
      <c r="L37" s="19">
        <v>0</v>
      </c>
      <c r="M37" s="99" t="e">
        <f>GN_Q1_HALF11418253945[[#This Row],[FTM]]/GN_Q1_HALF11418253945[[#This Row],[FTA]]</f>
        <v>#DIV/0!</v>
      </c>
      <c r="N37" s="19">
        <f>SUM(GN_Q1_HALF11418253945[[#This Row],[2PT FGM]]*2,GN_Q1_HALF11418253945[[#This Row],[3PT FGM]]*3,GN_Q1_HALF11418253945[[#This Row],[FTM]])</f>
        <v>4</v>
      </c>
      <c r="O37" s="19">
        <v>0</v>
      </c>
      <c r="P37" s="19">
        <v>3</v>
      </c>
      <c r="Q37" s="19">
        <v>0</v>
      </c>
      <c r="R37" s="19">
        <f>GN_Q1_HALF11418253945[[#This Row],[Off. Boards]]+GN_Q1_HALF11418253945[[#This Row],[Def. Boards]]</f>
        <v>3</v>
      </c>
      <c r="S37" s="19">
        <v>1</v>
      </c>
      <c r="T37" s="19">
        <v>0</v>
      </c>
      <c r="U37" s="19">
        <v>0</v>
      </c>
      <c r="V37" s="19">
        <v>1</v>
      </c>
      <c r="W37" s="92">
        <f>GN_Q1_HALF11418253945[[#This Row],[Dimes]]/GN_Q1_HALF11418253945[[#This Row],[Turnovers]]</f>
        <v>1</v>
      </c>
    </row>
    <row r="38" spans="1:23" x14ac:dyDescent="0.2">
      <c r="B38" s="90"/>
      <c r="C38" s="90"/>
      <c r="D38" s="91"/>
      <c r="E38" s="98"/>
      <c r="F38" s="19"/>
      <c r="G38" s="91"/>
      <c r="H38" s="19"/>
      <c r="I38" s="19"/>
      <c r="J38" s="91"/>
      <c r="K38" s="19"/>
      <c r="L38" s="19"/>
      <c r="M38" s="99"/>
      <c r="N38" s="19"/>
      <c r="O38" s="19"/>
      <c r="P38" s="19"/>
      <c r="Q38" s="19"/>
      <c r="R38" s="19"/>
      <c r="S38" s="19"/>
      <c r="T38" s="19"/>
      <c r="U38" s="19"/>
      <c r="V38" s="19"/>
      <c r="W38" s="92"/>
    </row>
    <row r="39" spans="1:23" ht="16" thickBot="1" x14ac:dyDescent="0.25">
      <c r="A39" s="82" t="s">
        <v>76</v>
      </c>
      <c r="B39" s="100">
        <f>SUM(B34:B38)</f>
        <v>8</v>
      </c>
      <c r="C39" s="100">
        <f>SUM(C34:C38)</f>
        <v>20</v>
      </c>
      <c r="D39" s="101">
        <f>GN_Q1_HALF11418253945[[#This Row],[Total FGM]]/GN_Q1_HALF11418253945[[#This Row],[Total FGA]]</f>
        <v>0.4</v>
      </c>
      <c r="E39" s="102">
        <f>SUM(E34:E38)</f>
        <v>8</v>
      </c>
      <c r="F39" s="103">
        <f>SUM(F34:F38)</f>
        <v>13</v>
      </c>
      <c r="G39" s="104">
        <f>GN_Q1_HALF11418253945[[#This Row],[2PT FGM]]/GN_Q1_HALF11418253945[[#This Row],[2PT FGA]]</f>
        <v>0.61538461538461542</v>
      </c>
      <c r="H39" s="103">
        <f>SUM(H34:H38)</f>
        <v>0</v>
      </c>
      <c r="I39" s="103">
        <f>SUM(I34:I38)</f>
        <v>7</v>
      </c>
      <c r="J39" s="109">
        <f>GN_Q1_HALF11418253945[[#This Row],[3PT FGM]]/GN_Q1_HALF11418253945[[#This Row],[3PT FGA]]</f>
        <v>0</v>
      </c>
      <c r="K39" s="103">
        <f>SUM(K34:K38)</f>
        <v>0</v>
      </c>
      <c r="L39" s="103">
        <f>SUM(L34:L38)</f>
        <v>0</v>
      </c>
      <c r="M39" s="105" t="e">
        <f>GN_Q1_HALF11418253945[[#This Row],[FTM]]/GN_Q1_HALF11418253945[[#This Row],[FTA]]</f>
        <v>#DIV/0!</v>
      </c>
      <c r="N39" s="62">
        <f>SUM(GN_Q1_HALF11418253945[[#This Row],[2PT FGM]]*2,GN_Q1_HALF11418253945[[#This Row],[3PT FGM]]*3,GN_Q1_HALF11418253945[[#This Row],[FTM]])</f>
        <v>16</v>
      </c>
      <c r="O39" s="100">
        <f>SUM(O34:O38)</f>
        <v>1</v>
      </c>
      <c r="P39" s="100">
        <f>SUM(P34:P38)</f>
        <v>9</v>
      </c>
      <c r="Q39" s="100">
        <f>SUM(Q34:Q38)</f>
        <v>4</v>
      </c>
      <c r="R39" s="106">
        <f>GN_Q1_HALF11418253945[[#This Row],[Def. Boards]]+GN_Q1_HALF11418253945[[#This Row],[Off. Boards]]</f>
        <v>13</v>
      </c>
      <c r="S39" s="100">
        <f>SUM(S34:S38)</f>
        <v>7</v>
      </c>
      <c r="T39" s="100">
        <f>SUM(T34:T38)</f>
        <v>4</v>
      </c>
      <c r="U39" s="100">
        <f>SUM(U34:U38)</f>
        <v>1</v>
      </c>
      <c r="V39" s="100">
        <f>SUM(V34:V38)</f>
        <v>3</v>
      </c>
      <c r="W39" s="107">
        <f>GN_Q1_HALF11418253945[[#This Row],[Dimes]]/GN_Q1_HALF11418253945[[#This Row],[Turnovers]]</f>
        <v>2.3333333333333335</v>
      </c>
    </row>
    <row r="41" spans="1:23" ht="16" thickBot="1" x14ac:dyDescent="0.25">
      <c r="A41" s="221" t="s">
        <v>147</v>
      </c>
      <c r="B41" s="222"/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</row>
    <row r="42" spans="1:23" ht="32" x14ac:dyDescent="0.2">
      <c r="A42" s="166" t="s">
        <v>208</v>
      </c>
      <c r="B42" s="11" t="s">
        <v>0</v>
      </c>
      <c r="C42" s="11" t="s">
        <v>1</v>
      </c>
      <c r="D42" s="11" t="s">
        <v>2</v>
      </c>
      <c r="E42" s="95" t="s">
        <v>3</v>
      </c>
      <c r="F42" s="96" t="s">
        <v>4</v>
      </c>
      <c r="G42" s="96" t="s">
        <v>5</v>
      </c>
      <c r="H42" s="96" t="s">
        <v>6</v>
      </c>
      <c r="I42" s="96" t="s">
        <v>7</v>
      </c>
      <c r="J42" s="96" t="s">
        <v>8</v>
      </c>
      <c r="K42" s="96" t="s">
        <v>9</v>
      </c>
      <c r="L42" s="96" t="s">
        <v>10</v>
      </c>
      <c r="M42" s="97" t="s">
        <v>11</v>
      </c>
      <c r="N42" s="11" t="s">
        <v>12</v>
      </c>
      <c r="O42" s="10" t="s">
        <v>13</v>
      </c>
      <c r="P42" s="11" t="s">
        <v>14</v>
      </c>
      <c r="Q42" s="11" t="s">
        <v>15</v>
      </c>
      <c r="R42" s="11" t="s">
        <v>16</v>
      </c>
      <c r="S42" s="10" t="s">
        <v>17</v>
      </c>
      <c r="T42" s="10" t="s">
        <v>18</v>
      </c>
      <c r="U42" s="10" t="s">
        <v>19</v>
      </c>
      <c r="V42" s="10" t="s">
        <v>20</v>
      </c>
      <c r="W42" s="10" t="s">
        <v>21</v>
      </c>
    </row>
    <row r="43" spans="1:23" x14ac:dyDescent="0.2">
      <c r="A43" s="13" t="s">
        <v>96</v>
      </c>
      <c r="B43" s="90">
        <f>LITI_Q1_HALF11319324046[[#This Row],[2PT FGM]]+LITI_Q1_HALF11319324046[[#This Row],[3PT FGM]]</f>
        <v>2</v>
      </c>
      <c r="C43" s="90">
        <f>LITI_Q1_HALF11319324046[[#This Row],[2PT FGA]]+LITI_Q1_HALF11319324046[[#This Row],[3PT FGA]]</f>
        <v>5</v>
      </c>
      <c r="D43" s="91">
        <f>LITI_Q1_HALF11319324046[[#This Row],[Total FGM]]/LITI_Q1_HALF11319324046[[#This Row],[Total FGA]]</f>
        <v>0.4</v>
      </c>
      <c r="E43" s="98">
        <v>1</v>
      </c>
      <c r="F43" s="19">
        <v>2</v>
      </c>
      <c r="G43" s="91">
        <f>LITI_Q1_HALF11319324046[[#This Row],[2PT FGM]]/LITI_Q1_HALF11319324046[[#This Row],[2PT FGA]]</f>
        <v>0.5</v>
      </c>
      <c r="H43" s="19">
        <v>1</v>
      </c>
      <c r="I43" s="19">
        <v>3</v>
      </c>
      <c r="J43" s="91">
        <f>LITI_Q1_HALF11319324046[[#This Row],[3PT FGM]]/LITI_Q1_HALF11319324046[[#This Row],[3PT FGA]]</f>
        <v>0.33333333333333331</v>
      </c>
      <c r="K43" s="19">
        <v>0</v>
      </c>
      <c r="L43" s="19">
        <v>0</v>
      </c>
      <c r="M43" s="99" t="e">
        <f>LITI_Q1_HALF11319324046[[#This Row],[FTM]]/LITI_Q1_HALF11319324046[[#This Row],[FTA]]</f>
        <v>#DIV/0!</v>
      </c>
      <c r="N43" s="19">
        <f>SUM(LITI_Q1_HALF11319324046[[#This Row],[2PT FGM]]*2,LITI_Q1_HALF11319324046[[#This Row],[3PT FGM]]*3,LITI_Q1_HALF11319324046[[#This Row],[FTM]])</f>
        <v>5</v>
      </c>
      <c r="O43" s="19">
        <v>0</v>
      </c>
      <c r="P43" s="19">
        <v>2</v>
      </c>
      <c r="Q43" s="19">
        <v>1</v>
      </c>
      <c r="R43" s="19">
        <f>LITI_Q1_HALF11319324046[[#This Row],[Off. Boards]]+LITI_Q1_HALF11319324046[[#This Row],[Def. Boards]]</f>
        <v>3</v>
      </c>
      <c r="S43" s="19">
        <v>2</v>
      </c>
      <c r="T43" s="19">
        <v>0</v>
      </c>
      <c r="U43" s="19">
        <v>0</v>
      </c>
      <c r="V43" s="19">
        <v>2</v>
      </c>
      <c r="W43" s="92">
        <f>LITI_Q1_HALF11319324046[[#This Row],[Dimes]]/LITI_Q1_HALF11319324046[[#This Row],[Turnovers]]</f>
        <v>1</v>
      </c>
    </row>
    <row r="44" spans="1:23" x14ac:dyDescent="0.2">
      <c r="A44" s="13" t="s">
        <v>207</v>
      </c>
      <c r="B44" s="90">
        <f>LITI_Q1_HALF11319324046[[#This Row],[2PT FGM]]+LITI_Q1_HALF11319324046[[#This Row],[3PT FGM]]</f>
        <v>3</v>
      </c>
      <c r="C44" s="90">
        <f>LITI_Q1_HALF11319324046[[#This Row],[2PT FGA]]+LITI_Q1_HALF11319324046[[#This Row],[3PT FGA]]</f>
        <v>6</v>
      </c>
      <c r="D44" s="91">
        <f>LITI_Q1_HALF11319324046[[#This Row],[Total FGM]]/LITI_Q1_HALF11319324046[[#This Row],[Total FGA]]</f>
        <v>0.5</v>
      </c>
      <c r="E44" s="98">
        <v>2</v>
      </c>
      <c r="F44" s="19">
        <v>2</v>
      </c>
      <c r="G44" s="91">
        <f>LITI_Q1_HALF11319324046[[#This Row],[2PT FGM]]/LITI_Q1_HALF11319324046[[#This Row],[2PT FGA]]</f>
        <v>1</v>
      </c>
      <c r="H44" s="19">
        <v>1</v>
      </c>
      <c r="I44" s="19">
        <v>4</v>
      </c>
      <c r="J44" s="91">
        <f>LITI_Q1_HALF11319324046[[#This Row],[3PT FGM]]/LITI_Q1_HALF11319324046[[#This Row],[3PT FGA]]</f>
        <v>0.25</v>
      </c>
      <c r="K44" s="19">
        <v>0</v>
      </c>
      <c r="L44" s="19">
        <v>0</v>
      </c>
      <c r="M44" s="99" t="e">
        <f>LITI_Q1_HALF11319324046[[#This Row],[FTM]]/LITI_Q1_HALF11319324046[[#This Row],[FTA]]</f>
        <v>#DIV/0!</v>
      </c>
      <c r="N44" s="19">
        <f>SUM(LITI_Q1_HALF11319324046[[#This Row],[2PT FGM]]*2,LITI_Q1_HALF11319324046[[#This Row],[3PT FGM]]*3,LITI_Q1_HALF11319324046[[#This Row],[FTM]])</f>
        <v>7</v>
      </c>
      <c r="O44" s="19">
        <v>2</v>
      </c>
      <c r="P44" s="19">
        <v>1</v>
      </c>
      <c r="Q44" s="19">
        <v>1</v>
      </c>
      <c r="R44" s="19">
        <f>LITI_Q1_HALF11319324046[[#This Row],[Off. Boards]]+LITI_Q1_HALF11319324046[[#This Row],[Def. Boards]]</f>
        <v>2</v>
      </c>
      <c r="S44" s="19">
        <v>0</v>
      </c>
      <c r="T44" s="19">
        <v>0</v>
      </c>
      <c r="U44" s="19">
        <v>0</v>
      </c>
      <c r="V44" s="19">
        <v>0</v>
      </c>
      <c r="W44" s="92" t="e">
        <f>LITI_Q1_HALF11319324046[[#This Row],[Dimes]]/LITI_Q1_HALF11319324046[[#This Row],[Turnovers]]</f>
        <v>#DIV/0!</v>
      </c>
    </row>
    <row r="45" spans="1:23" x14ac:dyDescent="0.2">
      <c r="A45" s="13" t="s">
        <v>88</v>
      </c>
      <c r="B45" s="90">
        <f>LITI_Q1_HALF11319324046[[#This Row],[2PT FGM]]+LITI_Q1_HALF11319324046[[#This Row],[3PT FGM]]</f>
        <v>1</v>
      </c>
      <c r="C45" s="90">
        <f>LITI_Q1_HALF11319324046[[#This Row],[2PT FGA]]+LITI_Q1_HALF11319324046[[#This Row],[3PT FGA]]</f>
        <v>3</v>
      </c>
      <c r="D45" s="91">
        <f>LITI_Q1_HALF11319324046[[#This Row],[Total FGM]]/LITI_Q1_HALF11319324046[[#This Row],[Total FGA]]</f>
        <v>0.33333333333333331</v>
      </c>
      <c r="E45" s="98">
        <v>1</v>
      </c>
      <c r="F45" s="19">
        <v>3</v>
      </c>
      <c r="G45" s="91">
        <f>LITI_Q1_HALF11319324046[[#This Row],[2PT FGM]]/LITI_Q1_HALF11319324046[[#This Row],[2PT FGA]]</f>
        <v>0.33333333333333331</v>
      </c>
      <c r="H45" s="19">
        <v>0</v>
      </c>
      <c r="I45" s="19">
        <v>0</v>
      </c>
      <c r="J45" s="91" t="e">
        <f>LITI_Q1_HALF11319324046[[#This Row],[3PT FGM]]/LITI_Q1_HALF11319324046[[#This Row],[3PT FGA]]</f>
        <v>#DIV/0!</v>
      </c>
      <c r="K45" s="19">
        <v>0</v>
      </c>
      <c r="L45" s="19">
        <v>0</v>
      </c>
      <c r="M45" s="99" t="e">
        <f>LITI_Q1_HALF11319324046[[#This Row],[FTM]]/LITI_Q1_HALF11319324046[[#This Row],[FTA]]</f>
        <v>#DIV/0!</v>
      </c>
      <c r="N45" s="19">
        <f>SUM(LITI_Q1_HALF11319324046[[#This Row],[2PT FGM]]*2,LITI_Q1_HALF11319324046[[#This Row],[3PT FGM]]*3,LITI_Q1_HALF11319324046[[#This Row],[FTM]])</f>
        <v>2</v>
      </c>
      <c r="O45" s="19">
        <v>0</v>
      </c>
      <c r="P45" s="19">
        <v>1</v>
      </c>
      <c r="Q45" s="19">
        <v>0</v>
      </c>
      <c r="R45" s="19">
        <f>LITI_Q1_HALF11319324046[[#This Row],[Off. Boards]]+LITI_Q1_HALF11319324046[[#This Row],[Def. Boards]]</f>
        <v>1</v>
      </c>
      <c r="S45" s="19">
        <v>2</v>
      </c>
      <c r="T45" s="19">
        <v>0</v>
      </c>
      <c r="U45" s="19">
        <v>0</v>
      </c>
      <c r="V45" s="19">
        <v>0</v>
      </c>
      <c r="W45" s="92" t="e">
        <f>LITI_Q1_HALF11319324046[[#This Row],[Dimes]]/LITI_Q1_HALF11319324046[[#This Row],[Turnovers]]</f>
        <v>#DIV/0!</v>
      </c>
    </row>
    <row r="46" spans="1:23" x14ac:dyDescent="0.2">
      <c r="A46" s="13" t="s">
        <v>98</v>
      </c>
      <c r="B46" s="90">
        <f>LITI_Q1_HALF11319324046[[#This Row],[2PT FGM]]+LITI_Q1_HALF11319324046[[#This Row],[3PT FGM]]</f>
        <v>1</v>
      </c>
      <c r="C46" s="90">
        <f>LITI_Q1_HALF11319324046[[#This Row],[2PT FGA]]+LITI_Q1_HALF11319324046[[#This Row],[3PT FGA]]</f>
        <v>3</v>
      </c>
      <c r="D46" s="91">
        <f>LITI_Q1_HALF11319324046[[#This Row],[Total FGM]]/LITI_Q1_HALF11319324046[[#This Row],[Total FGA]]</f>
        <v>0.33333333333333331</v>
      </c>
      <c r="E46" s="98">
        <v>1</v>
      </c>
      <c r="F46" s="19">
        <v>1</v>
      </c>
      <c r="G46" s="91">
        <f>LITI_Q1_HALF11319324046[[#This Row],[2PT FGM]]/LITI_Q1_HALF11319324046[[#This Row],[2PT FGA]]</f>
        <v>1</v>
      </c>
      <c r="H46" s="19">
        <v>0</v>
      </c>
      <c r="I46" s="19">
        <v>2</v>
      </c>
      <c r="J46" s="91">
        <f>LITI_Q1_HALF11319324046[[#This Row],[3PT FGM]]/LITI_Q1_HALF11319324046[[#This Row],[3PT FGA]]</f>
        <v>0</v>
      </c>
      <c r="K46" s="19">
        <v>0</v>
      </c>
      <c r="L46" s="19">
        <v>0</v>
      </c>
      <c r="M46" s="99" t="e">
        <f>LITI_Q1_HALF11319324046[[#This Row],[FTM]]/LITI_Q1_HALF11319324046[[#This Row],[FTA]]</f>
        <v>#DIV/0!</v>
      </c>
      <c r="N46" s="19">
        <f>SUM(LITI_Q1_HALF11319324046[[#This Row],[2PT FGM]]*2,LITI_Q1_HALF11319324046[[#This Row],[3PT FGM]]*3,LITI_Q1_HALF11319324046[[#This Row],[FTM]])</f>
        <v>2</v>
      </c>
      <c r="O46" s="19">
        <v>0</v>
      </c>
      <c r="P46" s="19">
        <v>0</v>
      </c>
      <c r="Q46" s="19">
        <v>1</v>
      </c>
      <c r="R46" s="19">
        <f>LITI_Q1_HALF11319324046[[#This Row],[Off. Boards]]+LITI_Q1_HALF11319324046[[#This Row],[Def. Boards]]</f>
        <v>1</v>
      </c>
      <c r="S46" s="19">
        <v>1</v>
      </c>
      <c r="T46" s="19">
        <v>1</v>
      </c>
      <c r="U46" s="19">
        <v>0</v>
      </c>
      <c r="V46" s="19">
        <v>1</v>
      </c>
      <c r="W46" s="92">
        <f>LITI_Q1_HALF11319324046[[#This Row],[Dimes]]/LITI_Q1_HALF11319324046[[#This Row],[Turnovers]]</f>
        <v>1</v>
      </c>
    </row>
    <row r="47" spans="1:23" x14ac:dyDescent="0.2">
      <c r="A47" s="13" t="s">
        <v>83</v>
      </c>
      <c r="B47" s="90">
        <f>LITI_Q1_HALF11319324046[[#This Row],[2PT FGM]]+LITI_Q1_HALF11319324046[[#This Row],[3PT FGM]]</f>
        <v>1</v>
      </c>
      <c r="C47" s="90">
        <f>LITI_Q1_HALF11319324046[[#This Row],[2PT FGA]]+LITI_Q1_HALF11319324046[[#This Row],[3PT FGA]]</f>
        <v>2</v>
      </c>
      <c r="D47" s="91">
        <f>LITI_Q1_HALF11319324046[[#This Row],[Total FGM]]/LITI_Q1_HALF11319324046[[#This Row],[Total FGA]]</f>
        <v>0.5</v>
      </c>
      <c r="E47" s="98">
        <v>0</v>
      </c>
      <c r="F47" s="19">
        <v>0</v>
      </c>
      <c r="G47" s="91" t="e">
        <f>LITI_Q1_HALF11319324046[[#This Row],[2PT FGM]]/LITI_Q1_HALF11319324046[[#This Row],[2PT FGA]]</f>
        <v>#DIV/0!</v>
      </c>
      <c r="H47" s="19">
        <v>1</v>
      </c>
      <c r="I47" s="19">
        <v>2</v>
      </c>
      <c r="J47" s="91">
        <f>LITI_Q1_HALF11319324046[[#This Row],[3PT FGM]]/LITI_Q1_HALF11319324046[[#This Row],[3PT FGA]]</f>
        <v>0.5</v>
      </c>
      <c r="K47" s="19">
        <v>0</v>
      </c>
      <c r="L47" s="19">
        <v>0</v>
      </c>
      <c r="M47" s="99" t="e">
        <f>LITI_Q1_HALF11319324046[[#This Row],[FTM]]/LITI_Q1_HALF11319324046[[#This Row],[FTA]]</f>
        <v>#DIV/0!</v>
      </c>
      <c r="N47" s="19">
        <f>SUM(LITI_Q1_HALF11319324046[[#This Row],[2PT FGM]]*2,LITI_Q1_HALF11319324046[[#This Row],[3PT FGM]]*3,LITI_Q1_HALF11319324046[[#This Row],[FTM]])</f>
        <v>3</v>
      </c>
      <c r="O47" s="19">
        <v>0</v>
      </c>
      <c r="P47" s="19">
        <v>0</v>
      </c>
      <c r="Q47" s="19">
        <v>0</v>
      </c>
      <c r="R47" s="19">
        <f>LITI_Q1_HALF11319324046[[#This Row],[Off. Boards]]+LITI_Q1_HALF11319324046[[#This Row],[Def. Boards]]</f>
        <v>0</v>
      </c>
      <c r="S47" s="19">
        <v>1</v>
      </c>
      <c r="T47" s="19">
        <v>0</v>
      </c>
      <c r="U47" s="19">
        <v>0</v>
      </c>
      <c r="V47" s="19">
        <v>0</v>
      </c>
      <c r="W47" s="92" t="e">
        <f>LITI_Q1_HALF11319324046[[#This Row],[Dimes]]/LITI_Q1_HALF11319324046[[#This Row],[Turnovers]]</f>
        <v>#DIV/0!</v>
      </c>
    </row>
    <row r="48" spans="1:23" ht="16" thickBot="1" x14ac:dyDescent="0.25">
      <c r="A48" s="82" t="s">
        <v>76</v>
      </c>
      <c r="B48" s="100">
        <f>SUM(B43:B47)</f>
        <v>8</v>
      </c>
      <c r="C48" s="100">
        <f>SUM(C43:C47)</f>
        <v>19</v>
      </c>
      <c r="D48" s="101">
        <f>LITI_Q1_HALF11319324046[[#This Row],[Total FGM]]/LITI_Q1_HALF11319324046[[#This Row],[Total FGA]]</f>
        <v>0.42105263157894735</v>
      </c>
      <c r="E48" s="102">
        <f>SUM(E43:E47)</f>
        <v>5</v>
      </c>
      <c r="F48" s="103">
        <f>SUM(F43:F47)</f>
        <v>8</v>
      </c>
      <c r="G48" s="108">
        <f>LITI_Q1_HALF11319324046[[#This Row],[2PT FGM]]/LITI_Q1_HALF11319324046[[#This Row],[2PT FGA]]</f>
        <v>0.625</v>
      </c>
      <c r="H48" s="103">
        <f>SUM(H43:H47)</f>
        <v>3</v>
      </c>
      <c r="I48" s="103">
        <f>SUM(I43:I47)</f>
        <v>11</v>
      </c>
      <c r="J48" s="104">
        <f>LITI_Q1_HALF11319324046[[#This Row],[3PT FGM]]/LITI_Q1_HALF11319324046[[#This Row],[3PT FGA]]</f>
        <v>0.27272727272727271</v>
      </c>
      <c r="K48" s="103">
        <f>SUM(K43:K47)</f>
        <v>0</v>
      </c>
      <c r="L48" s="103">
        <f>SUM(L43:L47)</f>
        <v>0</v>
      </c>
      <c r="M48" s="105" t="e">
        <f>LITI_Q1_HALF11319324046[[#This Row],[FTM]]/LITI_Q1_HALF11319324046[[#This Row],[FTA]]</f>
        <v>#DIV/0!</v>
      </c>
      <c r="N48" s="62">
        <f>SUM(LITI_Q1_HALF11319324046[[#This Row],[2PT FGM]]*2,LITI_Q1_HALF11319324046[[#This Row],[3PT FGM]]*3,LITI_Q1_HALF11319324046[[#This Row],[FTM]])</f>
        <v>19</v>
      </c>
      <c r="O48" s="106">
        <f>SUM(O43:O47)</f>
        <v>2</v>
      </c>
      <c r="P48" s="106">
        <f t="shared" ref="P48:V48" si="2">SUM(P43:P47)</f>
        <v>4</v>
      </c>
      <c r="Q48" s="106">
        <f t="shared" si="2"/>
        <v>3</v>
      </c>
      <c r="R48" s="106">
        <f t="shared" si="2"/>
        <v>7</v>
      </c>
      <c r="S48" s="106">
        <f t="shared" si="2"/>
        <v>6</v>
      </c>
      <c r="T48" s="106">
        <f t="shared" si="2"/>
        <v>1</v>
      </c>
      <c r="U48" s="106">
        <f t="shared" si="2"/>
        <v>0</v>
      </c>
      <c r="V48" s="106">
        <f t="shared" si="2"/>
        <v>3</v>
      </c>
      <c r="W48" s="107">
        <f>LITI_Q1_HALF11319324046[[#This Row],[Dimes]]/LITI_Q1_HALF11319324046[[#This Row],[Turnovers]]</f>
        <v>2</v>
      </c>
    </row>
    <row r="50" spans="1:23" ht="16" thickBot="1" x14ac:dyDescent="0.25">
      <c r="A50" s="223" t="s">
        <v>147</v>
      </c>
      <c r="B50" s="224"/>
      <c r="C50" s="224"/>
      <c r="D50" s="224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</row>
    <row r="51" spans="1:23" ht="32" x14ac:dyDescent="0.2">
      <c r="A51" s="166" t="s">
        <v>209</v>
      </c>
      <c r="B51" s="11" t="s">
        <v>0</v>
      </c>
      <c r="C51" s="11" t="s">
        <v>1</v>
      </c>
      <c r="D51" s="11" t="s">
        <v>2</v>
      </c>
      <c r="E51" s="95" t="s">
        <v>3</v>
      </c>
      <c r="F51" s="96" t="s">
        <v>4</v>
      </c>
      <c r="G51" s="96" t="s">
        <v>5</v>
      </c>
      <c r="H51" s="96" t="s">
        <v>6</v>
      </c>
      <c r="I51" s="96" t="s">
        <v>7</v>
      </c>
      <c r="J51" s="96" t="s">
        <v>8</v>
      </c>
      <c r="K51" s="96" t="s">
        <v>9</v>
      </c>
      <c r="L51" s="96" t="s">
        <v>10</v>
      </c>
      <c r="M51" s="97" t="s">
        <v>11</v>
      </c>
      <c r="N51" s="11" t="s">
        <v>12</v>
      </c>
      <c r="O51" s="10" t="s">
        <v>13</v>
      </c>
      <c r="P51" s="11" t="s">
        <v>14</v>
      </c>
      <c r="Q51" s="11" t="s">
        <v>15</v>
      </c>
      <c r="R51" s="11" t="s">
        <v>16</v>
      </c>
      <c r="S51" s="10" t="s">
        <v>17</v>
      </c>
      <c r="T51" s="10" t="s">
        <v>18</v>
      </c>
      <c r="U51" s="10" t="s">
        <v>19</v>
      </c>
      <c r="V51" s="10" t="s">
        <v>20</v>
      </c>
      <c r="W51" s="10" t="s">
        <v>21</v>
      </c>
    </row>
    <row r="52" spans="1:23" x14ac:dyDescent="0.2">
      <c r="A52" t="s">
        <v>24</v>
      </c>
      <c r="B52" s="90">
        <f>GN_Q1_HALF11420344147[[#This Row],[2PT FGM]]+GN_Q1_HALF11420344147[[#This Row],[3PT FGM]]</f>
        <v>2</v>
      </c>
      <c r="C52" s="90">
        <f>GN_Q1_HALF11420344147[[#This Row],[2PT FGA]]+GN_Q1_HALF11420344147[[#This Row],[3PT FGA]]</f>
        <v>3</v>
      </c>
      <c r="D52" s="91">
        <f>GN_Q1_HALF11420344147[[#This Row],[Total FGM]]/GN_Q1_HALF11420344147[[#This Row],[Total FGA]]</f>
        <v>0.66666666666666663</v>
      </c>
      <c r="E52" s="98">
        <v>0</v>
      </c>
      <c r="F52" s="19">
        <v>1</v>
      </c>
      <c r="G52" s="91">
        <f>GN_Q1_HALF11420344147[[#This Row],[2PT FGM]]/GN_Q1_HALF11420344147[[#This Row],[2PT FGA]]</f>
        <v>0</v>
      </c>
      <c r="H52" s="19">
        <v>2</v>
      </c>
      <c r="I52" s="19">
        <v>2</v>
      </c>
      <c r="J52" s="91">
        <f>GN_Q1_HALF11420344147[[#This Row],[3PT FGM]]/GN_Q1_HALF11420344147[[#This Row],[3PT FGA]]</f>
        <v>1</v>
      </c>
      <c r="K52" s="19">
        <v>1</v>
      </c>
      <c r="L52" s="19">
        <v>1</v>
      </c>
      <c r="M52" s="99">
        <f>GN_Q1_HALF11420344147[[#This Row],[FTM]]/GN_Q1_HALF11420344147[[#This Row],[FTA]]</f>
        <v>1</v>
      </c>
      <c r="N52" s="19">
        <f>SUM(GN_Q1_HALF11420344147[[#This Row],[2PT FGM]]*2,GN_Q1_HALF11420344147[[#This Row],[3PT FGM]]*3,GN_Q1_HALF11420344147[[#This Row],[FTM]])</f>
        <v>7</v>
      </c>
      <c r="O52" s="19">
        <v>0</v>
      </c>
      <c r="P52" s="19">
        <v>0</v>
      </c>
      <c r="Q52" s="19">
        <v>0</v>
      </c>
      <c r="R52" s="19">
        <f>GN_Q1_HALF11420344147[[#This Row],[Off. Boards]]+GN_Q1_HALF11420344147[[#This Row],[Def. Boards]]</f>
        <v>0</v>
      </c>
      <c r="S52" s="19">
        <v>2</v>
      </c>
      <c r="T52" s="19">
        <v>0</v>
      </c>
      <c r="U52" s="19">
        <v>0</v>
      </c>
      <c r="V52" s="19">
        <v>0</v>
      </c>
      <c r="W52" s="92" t="e">
        <f>GN_Q1_HALF11420344147[[#This Row],[Dimes]]/GN_Q1_HALF11420344147[[#This Row],[Turnovers]]</f>
        <v>#DIV/0!</v>
      </c>
    </row>
    <row r="53" spans="1:23" x14ac:dyDescent="0.2">
      <c r="A53" t="s">
        <v>135</v>
      </c>
      <c r="B53" s="90">
        <f>GN_Q1_HALF11420344147[[#This Row],[2PT FGM]]+GN_Q1_HALF11420344147[[#This Row],[3PT FGM]]</f>
        <v>1</v>
      </c>
      <c r="C53" s="90">
        <f>GN_Q1_HALF11420344147[[#This Row],[2PT FGA]]+GN_Q1_HALF11420344147[[#This Row],[3PT FGA]]</f>
        <v>2</v>
      </c>
      <c r="D53" s="91">
        <f>GN_Q1_HALF11420344147[[#This Row],[Total FGM]]/GN_Q1_HALF11420344147[[#This Row],[Total FGA]]</f>
        <v>0.5</v>
      </c>
      <c r="E53" s="98">
        <v>1</v>
      </c>
      <c r="F53" s="19">
        <v>2</v>
      </c>
      <c r="G53" s="91">
        <f>GN_Q1_HALF11420344147[[#This Row],[2PT FGM]]/GN_Q1_HALF11420344147[[#This Row],[2PT FGA]]</f>
        <v>0.5</v>
      </c>
      <c r="H53" s="19">
        <v>0</v>
      </c>
      <c r="I53" s="19">
        <v>0</v>
      </c>
      <c r="J53" s="91" t="e">
        <f>GN_Q1_HALF11420344147[[#This Row],[3PT FGM]]/GN_Q1_HALF11420344147[[#This Row],[3PT FGA]]</f>
        <v>#DIV/0!</v>
      </c>
      <c r="K53" s="19">
        <v>0</v>
      </c>
      <c r="L53" s="19">
        <v>1</v>
      </c>
      <c r="M53" s="99">
        <f>GN_Q1_HALF11420344147[[#This Row],[FTM]]/GN_Q1_HALF11420344147[[#This Row],[FTA]]</f>
        <v>0</v>
      </c>
      <c r="N53" s="19">
        <f>SUM(GN_Q1_HALF11420344147[[#This Row],[2PT FGM]]*2,GN_Q1_HALF11420344147[[#This Row],[3PT FGM]]*3,GN_Q1_HALF11420344147[[#This Row],[FTM]])</f>
        <v>2</v>
      </c>
      <c r="O53" s="19">
        <v>1</v>
      </c>
      <c r="P53" s="19">
        <v>4</v>
      </c>
      <c r="Q53" s="19">
        <v>0</v>
      </c>
      <c r="R53" s="19">
        <f>GN_Q1_HALF11420344147[[#This Row],[Off. Boards]]+GN_Q1_HALF11420344147[[#This Row],[Def. Boards]]</f>
        <v>4</v>
      </c>
      <c r="S53" s="19">
        <v>3</v>
      </c>
      <c r="T53" s="19">
        <v>1</v>
      </c>
      <c r="U53" s="19">
        <v>0</v>
      </c>
      <c r="V53" s="19">
        <v>0</v>
      </c>
      <c r="W53" s="92" t="e">
        <f>GN_Q1_HALF11420344147[[#This Row],[Dimes]]/GN_Q1_HALF11420344147[[#This Row],[Turnovers]]</f>
        <v>#DIV/0!</v>
      </c>
    </row>
    <row r="54" spans="1:23" x14ac:dyDescent="0.2">
      <c r="A54" t="s">
        <v>103</v>
      </c>
      <c r="B54" s="90">
        <f>GN_Q1_HALF11420344147[[#This Row],[2PT FGM]]+GN_Q1_HALF11420344147[[#This Row],[3PT FGM]]</f>
        <v>0</v>
      </c>
      <c r="C54" s="90">
        <f>GN_Q1_HALF11420344147[[#This Row],[2PT FGA]]+GN_Q1_HALF11420344147[[#This Row],[3PT FGA]]</f>
        <v>2</v>
      </c>
      <c r="D54" s="91">
        <f>GN_Q1_HALF11420344147[[#This Row],[Total FGM]]/GN_Q1_HALF11420344147[[#This Row],[Total FGA]]</f>
        <v>0</v>
      </c>
      <c r="E54" s="98">
        <v>0</v>
      </c>
      <c r="F54" s="19">
        <v>1</v>
      </c>
      <c r="G54" s="91">
        <f>GN_Q1_HALF11420344147[[#This Row],[2PT FGM]]/GN_Q1_HALF11420344147[[#This Row],[2PT FGA]]</f>
        <v>0</v>
      </c>
      <c r="H54" s="19">
        <v>0</v>
      </c>
      <c r="I54" s="19">
        <v>1</v>
      </c>
      <c r="J54" s="91">
        <f>GN_Q1_HALF11420344147[[#This Row],[3PT FGM]]/GN_Q1_HALF11420344147[[#This Row],[3PT FGA]]</f>
        <v>0</v>
      </c>
      <c r="K54" s="19">
        <v>0</v>
      </c>
      <c r="L54" s="19">
        <v>0</v>
      </c>
      <c r="M54" s="99" t="e">
        <f>GN_Q1_HALF11420344147[[#This Row],[FTM]]/GN_Q1_HALF11420344147[[#This Row],[FTA]]</f>
        <v>#DIV/0!</v>
      </c>
      <c r="N54" s="19">
        <f>SUM(GN_Q1_HALF11420344147[[#This Row],[2PT FGM]]*2,GN_Q1_HALF11420344147[[#This Row],[3PT FGM]]*3,GN_Q1_HALF11420344147[[#This Row],[FTM]])</f>
        <v>0</v>
      </c>
      <c r="O54" s="19">
        <v>0</v>
      </c>
      <c r="P54" s="19">
        <v>2</v>
      </c>
      <c r="Q54" s="19">
        <v>1</v>
      </c>
      <c r="R54" s="19">
        <f>GN_Q1_HALF11420344147[[#This Row],[Off. Boards]]+GN_Q1_HALF11420344147[[#This Row],[Def. Boards]]</f>
        <v>3</v>
      </c>
      <c r="S54" s="19">
        <v>5</v>
      </c>
      <c r="T54" s="19">
        <v>0</v>
      </c>
      <c r="U54" s="19">
        <v>1</v>
      </c>
      <c r="V54" s="19">
        <v>1</v>
      </c>
      <c r="W54" s="92">
        <f>GN_Q1_HALF11420344147[[#This Row],[Dimes]]/GN_Q1_HALF11420344147[[#This Row],[Turnovers]]</f>
        <v>5</v>
      </c>
    </row>
    <row r="55" spans="1:23" x14ac:dyDescent="0.2">
      <c r="A55" t="s">
        <v>100</v>
      </c>
      <c r="B55" s="90">
        <f>GN_Q1_HALF11420344147[[#This Row],[2PT FGM]]+GN_Q1_HALF11420344147[[#This Row],[3PT FGM]]</f>
        <v>9</v>
      </c>
      <c r="C55" s="90">
        <f>GN_Q1_HALF11420344147[[#This Row],[2PT FGA]]+GN_Q1_HALF11420344147[[#This Row],[3PT FGA]]</f>
        <v>11</v>
      </c>
      <c r="D55" s="91">
        <f>GN_Q1_HALF11420344147[[#This Row],[Total FGM]]/GN_Q1_HALF11420344147[[#This Row],[Total FGA]]</f>
        <v>0.81818181818181823</v>
      </c>
      <c r="E55" s="98">
        <v>2</v>
      </c>
      <c r="F55" s="19">
        <v>2</v>
      </c>
      <c r="G55" s="91">
        <f>GN_Q1_HALF11420344147[[#This Row],[2PT FGM]]/GN_Q1_HALF11420344147[[#This Row],[2PT FGA]]</f>
        <v>1</v>
      </c>
      <c r="H55" s="19">
        <v>7</v>
      </c>
      <c r="I55" s="19">
        <v>9</v>
      </c>
      <c r="J55" s="91">
        <f>GN_Q1_HALF11420344147[[#This Row],[3PT FGM]]/GN_Q1_HALF11420344147[[#This Row],[3PT FGA]]</f>
        <v>0.77777777777777779</v>
      </c>
      <c r="K55" s="19">
        <v>0</v>
      </c>
      <c r="L55" s="19">
        <v>0</v>
      </c>
      <c r="M55" s="99" t="e">
        <f>GN_Q1_HALF11420344147[[#This Row],[FTM]]/GN_Q1_HALF11420344147[[#This Row],[FTA]]</f>
        <v>#DIV/0!</v>
      </c>
      <c r="N55" s="19">
        <f>SUM(GN_Q1_HALF11420344147[[#This Row],[2PT FGM]]*2,GN_Q1_HALF11420344147[[#This Row],[3PT FGM]]*3,GN_Q1_HALF11420344147[[#This Row],[FTM]])</f>
        <v>25</v>
      </c>
      <c r="O55" s="19">
        <v>0</v>
      </c>
      <c r="P55" s="19">
        <v>0</v>
      </c>
      <c r="Q55" s="19">
        <v>0</v>
      </c>
      <c r="R55" s="19">
        <f>GN_Q1_HALF11420344147[[#This Row],[Off. Boards]]+GN_Q1_HALF11420344147[[#This Row],[Def. Boards]]</f>
        <v>0</v>
      </c>
      <c r="S55" s="19">
        <v>1</v>
      </c>
      <c r="T55" s="19">
        <v>2</v>
      </c>
      <c r="U55" s="19">
        <v>1</v>
      </c>
      <c r="V55" s="19">
        <v>0</v>
      </c>
      <c r="W55" s="92" t="e">
        <f>GN_Q1_HALF11420344147[[#This Row],[Dimes]]/GN_Q1_HALF11420344147[[#This Row],[Turnovers]]</f>
        <v>#DIV/0!</v>
      </c>
    </row>
    <row r="56" spans="1:23" x14ac:dyDescent="0.2">
      <c r="B56" s="90"/>
      <c r="C56" s="90"/>
      <c r="D56" s="91"/>
      <c r="E56" s="98"/>
      <c r="F56" s="19"/>
      <c r="G56" s="91"/>
      <c r="H56" s="19"/>
      <c r="I56" s="19"/>
      <c r="J56" s="91"/>
      <c r="K56" s="19"/>
      <c r="L56" s="19"/>
      <c r="M56" s="99"/>
      <c r="N56" s="19"/>
      <c r="O56" s="19"/>
      <c r="P56" s="19"/>
      <c r="Q56" s="19"/>
      <c r="R56" s="19"/>
      <c r="S56" s="19"/>
      <c r="T56" s="19"/>
      <c r="U56" s="19"/>
      <c r="V56" s="19"/>
      <c r="W56" s="92"/>
    </row>
    <row r="57" spans="1:23" ht="16" thickBot="1" x14ac:dyDescent="0.25">
      <c r="A57" s="82" t="s">
        <v>76</v>
      </c>
      <c r="B57" s="100">
        <f>SUM(B52:B56)</f>
        <v>12</v>
      </c>
      <c r="C57" s="100">
        <f>SUM(C52:C56)</f>
        <v>18</v>
      </c>
      <c r="D57" s="101">
        <f>GN_Q1_HALF11420344147[[#This Row],[Total FGM]]/GN_Q1_HALF11420344147[[#This Row],[Total FGA]]</f>
        <v>0.66666666666666663</v>
      </c>
      <c r="E57" s="102">
        <f>SUM(E52:E56)</f>
        <v>3</v>
      </c>
      <c r="F57" s="103">
        <f>SUM(F52:F56)</f>
        <v>6</v>
      </c>
      <c r="G57" s="104">
        <f>GN_Q1_HALF11420344147[[#This Row],[2PT FGM]]/GN_Q1_HALF11420344147[[#This Row],[2PT FGA]]</f>
        <v>0.5</v>
      </c>
      <c r="H57" s="103">
        <f>SUM(H52:H56)</f>
        <v>9</v>
      </c>
      <c r="I57" s="103">
        <f>SUM(I52:I56)</f>
        <v>12</v>
      </c>
      <c r="J57" s="109">
        <f>GN_Q1_HALF11420344147[[#This Row],[3PT FGM]]/GN_Q1_HALF11420344147[[#This Row],[3PT FGA]]</f>
        <v>0.75</v>
      </c>
      <c r="K57" s="103">
        <f>SUM(K52:K56)</f>
        <v>1</v>
      </c>
      <c r="L57" s="103">
        <f>SUM(L52:L56)</f>
        <v>2</v>
      </c>
      <c r="M57" s="105">
        <f>GN_Q1_HALF11420344147[[#This Row],[FTM]]/GN_Q1_HALF11420344147[[#This Row],[FTA]]</f>
        <v>0.5</v>
      </c>
      <c r="N57" s="62">
        <f>SUM(GN_Q1_HALF11420344147[[#This Row],[2PT FGM]]*2,GN_Q1_HALF11420344147[[#This Row],[3PT FGM]]*3,GN_Q1_HALF11420344147[[#This Row],[FTM]])</f>
        <v>34</v>
      </c>
      <c r="O57" s="100">
        <f>SUM(O52:O56)</f>
        <v>1</v>
      </c>
      <c r="P57" s="100">
        <f>SUM(P52:P56)</f>
        <v>6</v>
      </c>
      <c r="Q57" s="100">
        <f>SUM(Q52:Q56)</f>
        <v>1</v>
      </c>
      <c r="R57" s="106">
        <f>GN_Q1_HALF11420344147[[#This Row],[Def. Boards]]+GN_Q1_HALF11420344147[[#This Row],[Off. Boards]]</f>
        <v>7</v>
      </c>
      <c r="S57" s="100">
        <f>SUM(S52:S56)</f>
        <v>11</v>
      </c>
      <c r="T57" s="100">
        <f>SUM(T52:T56)</f>
        <v>3</v>
      </c>
      <c r="U57" s="100">
        <f>SUM(U52:U56)</f>
        <v>2</v>
      </c>
      <c r="V57" s="100">
        <f>SUM(V52:V56)</f>
        <v>1</v>
      </c>
      <c r="W57" s="107">
        <f>GN_Q1_HALF11420344147[[#This Row],[Dimes]]/GN_Q1_HALF11420344147[[#This Row],[Turnovers]]</f>
        <v>11</v>
      </c>
    </row>
  </sheetData>
  <mergeCells count="1">
    <mergeCell ref="E2:F2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1E762-DE3B-4ED0-B478-CB8AAF851BC9}">
  <dimension ref="A1:W57"/>
  <sheetViews>
    <sheetView showGridLines="0" workbookViewId="0">
      <selection activeCell="I2" sqref="I2"/>
    </sheetView>
  </sheetViews>
  <sheetFormatPr baseColWidth="10" defaultColWidth="8.83203125" defaultRowHeight="15" x14ac:dyDescent="0.2"/>
  <cols>
    <col min="1" max="1" width="21.1640625" bestFit="1" customWidth="1"/>
    <col min="2" max="2" width="10.5" bestFit="1" customWidth="1"/>
    <col min="3" max="3" width="21.33203125" bestFit="1" customWidth="1"/>
    <col min="5" max="5" width="16.5" bestFit="1" customWidth="1"/>
    <col min="6" max="6" width="12.83203125" bestFit="1" customWidth="1"/>
    <col min="7" max="7" width="13.1640625" bestFit="1" customWidth="1"/>
    <col min="8" max="8" width="13.5" bestFit="1" customWidth="1"/>
    <col min="9" max="9" width="12.83203125" bestFit="1" customWidth="1"/>
    <col min="10" max="10" width="13.1640625" bestFit="1" customWidth="1"/>
    <col min="16" max="16" width="11.5" bestFit="1" customWidth="1"/>
    <col min="18" max="18" width="11.5" bestFit="1" customWidth="1"/>
  </cols>
  <sheetData>
    <row r="1" spans="1:23" x14ac:dyDescent="0.2">
      <c r="B1" s="159"/>
      <c r="C1" s="86" t="s">
        <v>68</v>
      </c>
      <c r="D1" s="86" t="s">
        <v>134</v>
      </c>
      <c r="E1" s="86" t="s">
        <v>74</v>
      </c>
    </row>
    <row r="2" spans="1:23" ht="24" x14ac:dyDescent="0.2">
      <c r="A2" s="84" t="s">
        <v>66</v>
      </c>
      <c r="B2" s="85" t="s">
        <v>250</v>
      </c>
      <c r="C2" s="85" t="s">
        <v>208</v>
      </c>
      <c r="D2" s="85" t="s">
        <v>137</v>
      </c>
      <c r="E2" s="85" t="s">
        <v>209</v>
      </c>
      <c r="H2" s="23"/>
    </row>
    <row r="3" spans="1:23" ht="24" x14ac:dyDescent="0.2">
      <c r="A3" s="84"/>
      <c r="B3" s="85" t="s">
        <v>151</v>
      </c>
      <c r="C3" s="85">
        <f>N11</f>
        <v>30</v>
      </c>
      <c r="D3" s="85"/>
      <c r="E3" s="85">
        <f>N20</f>
        <v>43</v>
      </c>
      <c r="H3" s="23"/>
    </row>
    <row r="4" spans="1:23" ht="16" thickBot="1" x14ac:dyDescent="0.25">
      <c r="A4" s="225" t="s">
        <v>261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</row>
    <row r="5" spans="1:23" ht="32" x14ac:dyDescent="0.2">
      <c r="A5" s="166" t="s">
        <v>208</v>
      </c>
      <c r="B5" s="11" t="s">
        <v>0</v>
      </c>
      <c r="C5" s="11" t="s">
        <v>1</v>
      </c>
      <c r="D5" s="11" t="s">
        <v>2</v>
      </c>
      <c r="E5" s="95" t="s">
        <v>3</v>
      </c>
      <c r="F5" s="96" t="s">
        <v>4</v>
      </c>
      <c r="G5" s="96" t="s">
        <v>5</v>
      </c>
      <c r="H5" s="96" t="s">
        <v>6</v>
      </c>
      <c r="I5" s="96" t="s">
        <v>7</v>
      </c>
      <c r="J5" s="96" t="s">
        <v>8</v>
      </c>
      <c r="K5" s="96" t="s">
        <v>9</v>
      </c>
      <c r="L5" s="96" t="s">
        <v>10</v>
      </c>
      <c r="M5" s="97" t="s">
        <v>11</v>
      </c>
      <c r="N5" s="11" t="s">
        <v>12</v>
      </c>
      <c r="O5" s="10" t="s">
        <v>13</v>
      </c>
      <c r="P5" s="11" t="s">
        <v>14</v>
      </c>
      <c r="Q5" s="11" t="s">
        <v>15</v>
      </c>
      <c r="R5" s="11" t="s">
        <v>16</v>
      </c>
      <c r="S5" s="10" t="s">
        <v>17</v>
      </c>
      <c r="T5" s="10" t="s">
        <v>18</v>
      </c>
      <c r="U5" s="10" t="s">
        <v>19</v>
      </c>
      <c r="V5" s="10" t="s">
        <v>20</v>
      </c>
      <c r="W5" s="10" t="s">
        <v>21</v>
      </c>
    </row>
    <row r="6" spans="1:23" x14ac:dyDescent="0.2">
      <c r="A6" s="13" t="s">
        <v>96</v>
      </c>
      <c r="B6" s="90">
        <f>LITI_Q1_HALF1132248[[#This Row],[2PT FGM]]+LITI_Q1_HALF1132248[[#This Row],[3PT FGM]]</f>
        <v>4</v>
      </c>
      <c r="C6" s="90">
        <f>LITI_Q1_HALF1132248[[#This Row],[2PT FGA]]+LITI_Q1_HALF1132248[[#This Row],[3PT FGA]]</f>
        <v>12</v>
      </c>
      <c r="D6" s="91">
        <f>LITI_Q1_HALF1132248[[#This Row],[Total FGM]]/LITI_Q1_HALF1132248[[#This Row],[Total FGA]]</f>
        <v>0.33333333333333331</v>
      </c>
      <c r="E6" s="142">
        <f>SUMIF($A$22:$A$59,$A$6,E22:E59)</f>
        <v>2</v>
      </c>
      <c r="F6" s="170">
        <f>SUMIF($A$22:$A$59,$A$6,F22:F59)</f>
        <v>5</v>
      </c>
      <c r="G6" s="91">
        <f>LITI_Q1_HALF1132248[[#This Row],[2PT FGM]]/LITI_Q1_HALF1132248[[#This Row],[2PT FGA]]</f>
        <v>0.4</v>
      </c>
      <c r="H6" s="170">
        <f>SUMIF($A$22:$A$59,$A$6,H22:H59)</f>
        <v>2</v>
      </c>
      <c r="I6" s="170">
        <f>SUMIF($A$22:$A$59,$A$6,I22:I59)</f>
        <v>7</v>
      </c>
      <c r="J6" s="91">
        <f>LITI_Q1_HALF1132248[[#This Row],[3PT FGM]]/LITI_Q1_HALF1132248[[#This Row],[3PT FGA]]</f>
        <v>0.2857142857142857</v>
      </c>
      <c r="K6" s="170">
        <f>SUMIF($A$22:$A$59,$A$6,K22:K59)</f>
        <v>0</v>
      </c>
      <c r="L6" s="170">
        <f>SUMIF($A$22:$A$59,$A$6,L22:L59)</f>
        <v>0</v>
      </c>
      <c r="M6" s="99" t="e">
        <f>LITI_Q1_HALF1132248[[#This Row],[FTM]]/LITI_Q1_HALF1132248[[#This Row],[FTA]]</f>
        <v>#DIV/0!</v>
      </c>
      <c r="N6" s="19">
        <f>SUM(LITI_Q1_HALF1132248[[#This Row],[2PT FGM]]*2,LITI_Q1_HALF1132248[[#This Row],[3PT FGM]]*3,LITI_Q1_HALF1132248[[#This Row],[FTM]])</f>
        <v>10</v>
      </c>
      <c r="O6" s="170">
        <f>SUMIF($A$22:$A$59,$A$6,O22:O59)</f>
        <v>1</v>
      </c>
      <c r="P6" s="170">
        <f>SUMIF($A$22:$A$59,$A$6,P22:P59)</f>
        <v>3</v>
      </c>
      <c r="Q6" s="170">
        <f>SUMIF($A$22:$A$59,$A$6,Q22:Q59)</f>
        <v>1</v>
      </c>
      <c r="R6" s="19">
        <f>LITI_Q1_HALF1132248[[#This Row],[Off. Boards]]+LITI_Q1_HALF1132248[[#This Row],[Def. Boards]]</f>
        <v>4</v>
      </c>
      <c r="S6" s="170">
        <f>SUMIF($A$22:$A$59,$A$6,S22:S59)</f>
        <v>2</v>
      </c>
      <c r="T6" s="170">
        <f>SUMIF($A$22:$A$59,$A$6,T22:T59)</f>
        <v>1</v>
      </c>
      <c r="U6" s="170">
        <f>SUMIF($A$22:$A$59,$A$6,U22:U59)</f>
        <v>1</v>
      </c>
      <c r="V6" s="170">
        <f>SUMIF($A$22:$A$59,$A$6,V22:V59)</f>
        <v>1</v>
      </c>
      <c r="W6" s="92">
        <f>LITI_Q1_HALF1132248[[#This Row],[Dimes]]/LITI_Q1_HALF1132248[[#This Row],[Turnovers]]</f>
        <v>2</v>
      </c>
    </row>
    <row r="7" spans="1:23" x14ac:dyDescent="0.2">
      <c r="A7" s="13" t="s">
        <v>207</v>
      </c>
      <c r="B7" s="90">
        <f>LITI_Q1_HALF1132248[[#This Row],[2PT FGM]]+LITI_Q1_HALF1132248[[#This Row],[3PT FGM]]</f>
        <v>4</v>
      </c>
      <c r="C7" s="90">
        <f>LITI_Q1_HALF1132248[[#This Row],[2PT FGA]]+LITI_Q1_HALF1132248[[#This Row],[3PT FGA]]</f>
        <v>8</v>
      </c>
      <c r="D7" s="91">
        <f>LITI_Q1_HALF1132248[[#This Row],[Total FGM]]/LITI_Q1_HALF1132248[[#This Row],[Total FGA]]</f>
        <v>0.5</v>
      </c>
      <c r="E7" s="142">
        <f>SUMIF($A$22:$A$59,$A$7,E22:E59)</f>
        <v>4</v>
      </c>
      <c r="F7" s="170">
        <f>SUMIF($A$22:$A$59,$A$7,F22:F59)</f>
        <v>4</v>
      </c>
      <c r="G7" s="244">
        <f>LITI_Q1_HALF1132248[[#This Row],[2PT FGM]]/LITI_Q1_HALF1132248[[#This Row],[2PT FGA]]</f>
        <v>1</v>
      </c>
      <c r="H7" s="170">
        <f>SUMIF($A$22:$A$59,$A$7,H22:H59)</f>
        <v>0</v>
      </c>
      <c r="I7" s="170">
        <f>SUMIF($A$22:$A$59,$A$7,I22:I59)</f>
        <v>4</v>
      </c>
      <c r="J7" s="91">
        <f>LITI_Q1_HALF1132248[[#This Row],[3PT FGM]]/LITI_Q1_HALF1132248[[#This Row],[3PT FGA]]</f>
        <v>0</v>
      </c>
      <c r="K7" s="170">
        <f>SUMIF($A$22:$A$59,$A$7,K22:K59)</f>
        <v>0</v>
      </c>
      <c r="L7" s="170">
        <f>SUMIF($A$22:$A$59,$A$7,L22:L59)</f>
        <v>0</v>
      </c>
      <c r="M7" s="99" t="e">
        <f>LITI_Q1_HALF1132248[[#This Row],[FTM]]/LITI_Q1_HALF1132248[[#This Row],[FTA]]</f>
        <v>#DIV/0!</v>
      </c>
      <c r="N7" s="19">
        <f>SUM(LITI_Q1_HALF1132248[[#This Row],[2PT FGM]]*2,LITI_Q1_HALF1132248[[#This Row],[3PT FGM]]*3,LITI_Q1_HALF1132248[[#This Row],[FTM]])</f>
        <v>8</v>
      </c>
      <c r="O7" s="170">
        <f>SUMIF($A$22:$A$59,$A$7,O22:O59)</f>
        <v>3</v>
      </c>
      <c r="P7" s="170">
        <f>SUMIF($A$22:$A$59,$A$7,P22:P59)</f>
        <v>1</v>
      </c>
      <c r="Q7" s="170">
        <f>SUMIF($A$22:$A$59,$A$7,Q22:Q59)</f>
        <v>2</v>
      </c>
      <c r="R7" s="19">
        <f>LITI_Q1_HALF1132248[[#This Row],[Off. Boards]]+LITI_Q1_HALF1132248[[#This Row],[Def. Boards]]</f>
        <v>3</v>
      </c>
      <c r="S7" s="170">
        <f>SUMIF($A$22:$A$59,$A$7,S22:S59)</f>
        <v>1</v>
      </c>
      <c r="T7" s="170">
        <f>SUMIF($A$22:$A$59,$A$7,T22:T59)</f>
        <v>0</v>
      </c>
      <c r="U7" s="170">
        <f>SUMIF($A$22:$A$59,$A$7,U22:U59)</f>
        <v>0</v>
      </c>
      <c r="V7" s="170">
        <f>SUMIF($A$22:$A$59,$A$7,V22:V59)</f>
        <v>0</v>
      </c>
      <c r="W7" s="92" t="e">
        <f>LITI_Q1_HALF1132248[[#This Row],[Dimes]]/LITI_Q1_HALF1132248[[#This Row],[Turnovers]]</f>
        <v>#DIV/0!</v>
      </c>
    </row>
    <row r="8" spans="1:23" x14ac:dyDescent="0.2">
      <c r="A8" s="13" t="s">
        <v>88</v>
      </c>
      <c r="B8" s="90">
        <f>LITI_Q1_HALF1132248[[#This Row],[2PT FGM]]+LITI_Q1_HALF1132248[[#This Row],[3PT FGM]]</f>
        <v>4</v>
      </c>
      <c r="C8" s="243">
        <f>LITI_Q1_HALF1132248[[#This Row],[2PT FGA]]+LITI_Q1_HALF1132248[[#This Row],[3PT FGA]]</f>
        <v>14</v>
      </c>
      <c r="D8" s="91">
        <f>LITI_Q1_HALF1132248[[#This Row],[Total FGM]]/LITI_Q1_HALF1132248[[#This Row],[Total FGA]]</f>
        <v>0.2857142857142857</v>
      </c>
      <c r="E8" s="142">
        <f>SUMIF($A$22:$A$59,$A$8,E22:E59)</f>
        <v>3</v>
      </c>
      <c r="F8" s="170">
        <f>SUMIF($A$22:$A$59,$A$8,F22:F59)</f>
        <v>8</v>
      </c>
      <c r="G8" s="91">
        <f>LITI_Q1_HALF1132248[[#This Row],[2PT FGM]]/LITI_Q1_HALF1132248[[#This Row],[2PT FGA]]</f>
        <v>0.375</v>
      </c>
      <c r="H8" s="170">
        <f>SUMIF($A$22:$A$59,$A$8,H22:H59)</f>
        <v>1</v>
      </c>
      <c r="I8" s="170">
        <f>SUMIF($A$22:$A$59,$A$8,I22:I59)</f>
        <v>6</v>
      </c>
      <c r="J8" s="91">
        <f>LITI_Q1_HALF1132248[[#This Row],[3PT FGM]]/LITI_Q1_HALF1132248[[#This Row],[3PT FGA]]</f>
        <v>0.16666666666666666</v>
      </c>
      <c r="K8" s="170">
        <f>SUMIF($A$22:$A$59,$A$8,K22:K59)</f>
        <v>0</v>
      </c>
      <c r="L8" s="170">
        <f>SUMIF($A$22:$A$59,$A$8,L22:L59)</f>
        <v>0</v>
      </c>
      <c r="M8" s="99" t="e">
        <f>LITI_Q1_HALF1132248[[#This Row],[FTM]]/LITI_Q1_HALF1132248[[#This Row],[FTA]]</f>
        <v>#DIV/0!</v>
      </c>
      <c r="N8" s="19">
        <f>SUM(LITI_Q1_HALF1132248[[#This Row],[2PT FGM]]*2,LITI_Q1_HALF1132248[[#This Row],[3PT FGM]]*3,LITI_Q1_HALF1132248[[#This Row],[FTM]])</f>
        <v>9</v>
      </c>
      <c r="O8" s="170">
        <f>SUMIF($A$22:$A$59,$A$8,O22:O59)</f>
        <v>0</v>
      </c>
      <c r="P8" s="170">
        <f>SUMIF($A$22:$A$59,$A$8,P22:P59)</f>
        <v>2</v>
      </c>
      <c r="Q8" s="170">
        <f>SUMIF($A$22:$A$59,$A$8,Q22:Q59)</f>
        <v>3</v>
      </c>
      <c r="R8" s="19">
        <f>LITI_Q1_HALF1132248[[#This Row],[Off. Boards]]+LITI_Q1_HALF1132248[[#This Row],[Def. Boards]]</f>
        <v>5</v>
      </c>
      <c r="S8" s="170">
        <f>SUMIF($A$22:$A$59,$A$8,S22:S59)</f>
        <v>3</v>
      </c>
      <c r="T8" s="247">
        <f>SUMIF($A$22:$A$59,$A$8,T22:T59)</f>
        <v>4</v>
      </c>
      <c r="U8" s="170">
        <f>SUMIF($A$22:$A$59,$A$8,U22:U59)</f>
        <v>0</v>
      </c>
      <c r="V8" s="170">
        <f>SUMIF($A$22:$A$59,$A$8,V22:V59)</f>
        <v>2</v>
      </c>
      <c r="W8" s="92">
        <f>LITI_Q1_HALF1132248[[#This Row],[Dimes]]/LITI_Q1_HALF1132248[[#This Row],[Turnovers]]</f>
        <v>1.5</v>
      </c>
    </row>
    <row r="9" spans="1:23" hidden="1" x14ac:dyDescent="0.2">
      <c r="A9" s="13"/>
      <c r="B9" s="90">
        <f>LITI_Q1_HALF1132248[[#This Row],[2PT FGM]]+LITI_Q1_HALF1132248[[#This Row],[3PT FGM]]</f>
        <v>0</v>
      </c>
      <c r="C9" s="90">
        <f>LITI_Q1_HALF1132248[[#This Row],[2PT FGA]]+LITI_Q1_HALF1132248[[#This Row],[3PT FGA]]</f>
        <v>0</v>
      </c>
      <c r="D9" s="91" t="e">
        <f>LITI_Q1_HALF1132248[[#This Row],[Total FGM]]/LITI_Q1_HALF1132248[[#This Row],[Total FGA]]</f>
        <v>#DIV/0!</v>
      </c>
      <c r="E9" s="142">
        <f>SUMIF($A$22:$A$59,$A$9,E22:E59)</f>
        <v>0</v>
      </c>
      <c r="F9" s="170">
        <f>SUMIF($A$22:$A$59,$A$9,F22:F59)</f>
        <v>0</v>
      </c>
      <c r="G9" s="91" t="e">
        <f>LITI_Q1_HALF1132248[[#This Row],[2PT FGM]]/LITI_Q1_HALF1132248[[#This Row],[2PT FGA]]</f>
        <v>#DIV/0!</v>
      </c>
      <c r="H9" s="170">
        <f>SUMIF($A$22:$A$59,$A$9,H22:H59)</f>
        <v>0</v>
      </c>
      <c r="I9" s="170">
        <f>SUMIF($A$22:$A$59,$A$9,I22:I59)</f>
        <v>0</v>
      </c>
      <c r="J9" s="91" t="e">
        <f>LITI_Q1_HALF1132248[[#This Row],[3PT FGM]]/LITI_Q1_HALF1132248[[#This Row],[3PT FGA]]</f>
        <v>#DIV/0!</v>
      </c>
      <c r="K9" s="170">
        <f>SUMIF($A$22:$A$59,$A$9,K22:K59)</f>
        <v>0</v>
      </c>
      <c r="L9" s="170">
        <f>SUMIF($A$22:$A$59,$A$9,L22:L59)</f>
        <v>0</v>
      </c>
      <c r="M9" s="99" t="e">
        <f>LITI_Q1_HALF1132248[[#This Row],[FTM]]/LITI_Q1_HALF1132248[[#This Row],[FTA]]</f>
        <v>#DIV/0!</v>
      </c>
      <c r="N9" s="19">
        <f>SUM(LITI_Q1_HALF1132248[[#This Row],[2PT FGM]]*2,LITI_Q1_HALF1132248[[#This Row],[3PT FGM]]*3,LITI_Q1_HALF1132248[[#This Row],[FTM]])</f>
        <v>0</v>
      </c>
      <c r="O9" s="170">
        <f>SUMIF($A$22:$A$59,$A$9,O22:O59)</f>
        <v>0</v>
      </c>
      <c r="P9" s="170">
        <f>SUMIF($A$22:$A$59,$A$9,P22:P59)</f>
        <v>0</v>
      </c>
      <c r="Q9" s="170">
        <f>SUMIF($A$22:$A$59,$A$9,Q22:Q59)</f>
        <v>0</v>
      </c>
      <c r="R9" s="19">
        <f>LITI_Q1_HALF1132248[[#This Row],[Off. Boards]]+LITI_Q1_HALF1132248[[#This Row],[Def. Boards]]</f>
        <v>0</v>
      </c>
      <c r="S9" s="170">
        <f>SUMIF($A$22:$A$59,$A$9,S22:S59)</f>
        <v>0</v>
      </c>
      <c r="T9" s="170">
        <f>SUMIF($A$22:$A$59,$A$9,T22:T59)</f>
        <v>0</v>
      </c>
      <c r="U9" s="170">
        <f>SUMIF($A$22:$A$59,$A$9,U22:U59)</f>
        <v>0</v>
      </c>
      <c r="V9" s="170">
        <f>SUMIF($A$22:$A$59,$A$9,V22:V59)</f>
        <v>0</v>
      </c>
      <c r="W9" s="92" t="e">
        <f>LITI_Q1_HALF1132248[[#This Row],[Dimes]]/LITI_Q1_HALF1132248[[#This Row],[Turnovers]]</f>
        <v>#DIV/0!</v>
      </c>
    </row>
    <row r="10" spans="1:23" x14ac:dyDescent="0.2">
      <c r="A10" s="13" t="s">
        <v>83</v>
      </c>
      <c r="B10" s="90">
        <f>LITI_Q1_HALF1132248[[#This Row],[2PT FGM]]+LITI_Q1_HALF1132248[[#This Row],[3PT FGM]]</f>
        <v>1</v>
      </c>
      <c r="C10" s="90">
        <f>LITI_Q1_HALF1132248[[#This Row],[2PT FGA]]+LITI_Q1_HALF1132248[[#This Row],[3PT FGA]]</f>
        <v>8</v>
      </c>
      <c r="D10" s="91">
        <f>LITI_Q1_HALF1132248[[#This Row],[Total FGM]]/LITI_Q1_HALF1132248[[#This Row],[Total FGA]]</f>
        <v>0.125</v>
      </c>
      <c r="E10" s="142">
        <f>SUMIF($A$22:$A$59,$A$10,E22:E59)</f>
        <v>0</v>
      </c>
      <c r="F10" s="170">
        <f>SUMIF($A$22:$A$59,$A$10,F22:F59)</f>
        <v>0</v>
      </c>
      <c r="G10" s="91" t="e">
        <f>LITI_Q1_HALF1132248[[#This Row],[2PT FGM]]/LITI_Q1_HALF1132248[[#This Row],[2PT FGA]]</f>
        <v>#DIV/0!</v>
      </c>
      <c r="H10" s="170">
        <f>SUMIF($A$22:$A$59,$A$10,H22:H59)</f>
        <v>1</v>
      </c>
      <c r="I10" s="247">
        <f>SUMIF($A$22:$A$59,$A$10,I22:I59)</f>
        <v>8</v>
      </c>
      <c r="J10" s="91">
        <f>LITI_Q1_HALF1132248[[#This Row],[3PT FGM]]/LITI_Q1_HALF1132248[[#This Row],[3PT FGA]]</f>
        <v>0.125</v>
      </c>
      <c r="K10" s="170">
        <f>SUMIF($A$22:$A$59,$A$10,K22:K59)</f>
        <v>0</v>
      </c>
      <c r="L10" s="170">
        <f>SUMIF($A$22:$A$59,$A$10,L22:L59)</f>
        <v>0</v>
      </c>
      <c r="M10" s="99" t="e">
        <f>LITI_Q1_HALF1132248[[#This Row],[FTM]]/LITI_Q1_HALF1132248[[#This Row],[FTA]]</f>
        <v>#DIV/0!</v>
      </c>
      <c r="N10" s="19">
        <f>SUM(LITI_Q1_HALF1132248[[#This Row],[2PT FGM]]*2,LITI_Q1_HALF1132248[[#This Row],[3PT FGM]]*3,LITI_Q1_HALF1132248[[#This Row],[FTM]])</f>
        <v>3</v>
      </c>
      <c r="O10" s="170">
        <f>SUMIF($A$22:$A$59,$A$10,O22:O59)</f>
        <v>0</v>
      </c>
      <c r="P10" s="170">
        <f>SUMIF($A$22:$A$59,$A$10,P22:P59)</f>
        <v>2</v>
      </c>
      <c r="Q10" s="170">
        <f>SUMIF($A$22:$A$59,$A$10,Q22:Q59)</f>
        <v>0</v>
      </c>
      <c r="R10" s="19">
        <f>LITI_Q1_HALF1132248[[#This Row],[Off. Boards]]+LITI_Q1_HALF1132248[[#This Row],[Def. Boards]]</f>
        <v>2</v>
      </c>
      <c r="S10" s="170">
        <f>SUMIF($A$22:$A$59,$A$10,S22:S59)</f>
        <v>2</v>
      </c>
      <c r="T10" s="170">
        <f>SUMIF($A$22:$A$59,$A$10,T22:T59)</f>
        <v>1</v>
      </c>
      <c r="U10" s="247">
        <f>SUMIF($A$22:$A$59,$A$10,U22:U59)</f>
        <v>2</v>
      </c>
      <c r="V10" s="170">
        <f>SUMIF($A$22:$A$59,$A$10,V22:V59)</f>
        <v>0</v>
      </c>
      <c r="W10" s="92" t="e">
        <f>LITI_Q1_HALF1132248[[#This Row],[Dimes]]/LITI_Q1_HALF1132248[[#This Row],[Turnovers]]</f>
        <v>#DIV/0!</v>
      </c>
    </row>
    <row r="11" spans="1:23" ht="16" thickBot="1" x14ac:dyDescent="0.25">
      <c r="A11" s="82" t="s">
        <v>76</v>
      </c>
      <c r="B11" s="100">
        <f>SUM(B6:B10)</f>
        <v>13</v>
      </c>
      <c r="C11" s="100">
        <f>SUM(C6:C10)</f>
        <v>42</v>
      </c>
      <c r="D11" s="101">
        <f>LITI_Q1_HALF1132248[[#This Row],[Total FGM]]/LITI_Q1_HALF1132248[[#This Row],[Total FGA]]</f>
        <v>0.30952380952380953</v>
      </c>
      <c r="E11" s="102">
        <f>SUM(E6:E10)</f>
        <v>9</v>
      </c>
      <c r="F11" s="103">
        <f>SUM(F6:F10)</f>
        <v>17</v>
      </c>
      <c r="G11" s="108">
        <f>LITI_Q1_HALF1132248[[#This Row],[2PT FGM]]/LITI_Q1_HALF1132248[[#This Row],[2PT FGA]]</f>
        <v>0.52941176470588236</v>
      </c>
      <c r="H11" s="103">
        <f>SUM(H6:H10)</f>
        <v>4</v>
      </c>
      <c r="I11" s="103">
        <f>SUM(I6:I10)</f>
        <v>25</v>
      </c>
      <c r="J11" s="104">
        <f>LITI_Q1_HALF1132248[[#This Row],[3PT FGM]]/LITI_Q1_HALF1132248[[#This Row],[3PT FGA]]</f>
        <v>0.16</v>
      </c>
      <c r="K11" s="103">
        <f>SUM(K6:K10)</f>
        <v>0</v>
      </c>
      <c r="L11" s="103">
        <f>SUM(L6:L10)</f>
        <v>0</v>
      </c>
      <c r="M11" s="105" t="e">
        <f>LITI_Q1_HALF1132248[[#This Row],[FTM]]/LITI_Q1_HALF1132248[[#This Row],[FTA]]</f>
        <v>#DIV/0!</v>
      </c>
      <c r="N11" s="62">
        <f>SUM(LITI_Q1_HALF1132248[[#This Row],[2PT FGM]]*2,LITI_Q1_HALF1132248[[#This Row],[3PT FGM]]*3,LITI_Q1_HALF1132248[[#This Row],[FTM]])</f>
        <v>30</v>
      </c>
      <c r="O11" s="106">
        <f>SUM(O6:O10)</f>
        <v>4</v>
      </c>
      <c r="P11" s="106">
        <f t="shared" ref="P11:V11" si="0">SUM(P6:P10)</f>
        <v>8</v>
      </c>
      <c r="Q11" s="106">
        <f t="shared" si="0"/>
        <v>6</v>
      </c>
      <c r="R11" s="106">
        <f t="shared" si="0"/>
        <v>14</v>
      </c>
      <c r="S11" s="106">
        <f t="shared" si="0"/>
        <v>8</v>
      </c>
      <c r="T11" s="106">
        <f t="shared" si="0"/>
        <v>6</v>
      </c>
      <c r="U11" s="106">
        <f t="shared" si="0"/>
        <v>3</v>
      </c>
      <c r="V11" s="106">
        <f t="shared" si="0"/>
        <v>3</v>
      </c>
      <c r="W11" s="107">
        <f>LITI_Q1_HALF1132248[[#This Row],[Dimes]]/LITI_Q1_HALF1132248[[#This Row],[Turnovers]]</f>
        <v>2.6666666666666665</v>
      </c>
    </row>
    <row r="13" spans="1:23" ht="16" thickBot="1" x14ac:dyDescent="0.25">
      <c r="A13" s="227" t="s">
        <v>261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</row>
    <row r="14" spans="1:23" ht="32" x14ac:dyDescent="0.2">
      <c r="A14" s="166" t="s">
        <v>209</v>
      </c>
      <c r="B14" s="11" t="s">
        <v>0</v>
      </c>
      <c r="C14" s="11" t="s">
        <v>1</v>
      </c>
      <c r="D14" s="11" t="s">
        <v>2</v>
      </c>
      <c r="E14" s="95" t="s">
        <v>3</v>
      </c>
      <c r="F14" s="96" t="s">
        <v>4</v>
      </c>
      <c r="G14" s="96" t="s">
        <v>5</v>
      </c>
      <c r="H14" s="96" t="s">
        <v>6</v>
      </c>
      <c r="I14" s="96" t="s">
        <v>7</v>
      </c>
      <c r="J14" s="96" t="s">
        <v>8</v>
      </c>
      <c r="K14" s="96" t="s">
        <v>9</v>
      </c>
      <c r="L14" s="96" t="s">
        <v>10</v>
      </c>
      <c r="M14" s="97" t="s">
        <v>11</v>
      </c>
      <c r="N14" s="11" t="s">
        <v>12</v>
      </c>
      <c r="O14" s="10" t="s">
        <v>13</v>
      </c>
      <c r="P14" s="11" t="s">
        <v>14</v>
      </c>
      <c r="Q14" s="11" t="s">
        <v>15</v>
      </c>
      <c r="R14" s="11" t="s">
        <v>16</v>
      </c>
      <c r="S14" s="10" t="s">
        <v>17</v>
      </c>
      <c r="T14" s="10" t="s">
        <v>18</v>
      </c>
      <c r="U14" s="10" t="s">
        <v>19</v>
      </c>
      <c r="V14" s="10" t="s">
        <v>20</v>
      </c>
      <c r="W14" s="10" t="s">
        <v>21</v>
      </c>
    </row>
    <row r="15" spans="1:23" x14ac:dyDescent="0.2">
      <c r="A15" t="s">
        <v>264</v>
      </c>
      <c r="B15" s="90">
        <f>GN_Q1_HALF1142349[[#This Row],[2PT FGM]]+GN_Q1_HALF1142349[[#This Row],[3PT FGM]]</f>
        <v>0</v>
      </c>
      <c r="C15" s="90">
        <f>GN_Q1_HALF1142349[[#This Row],[2PT FGA]]+GN_Q1_HALF1142349[[#This Row],[3PT FGA]]</f>
        <v>0</v>
      </c>
      <c r="D15" s="91" t="e">
        <f>GN_Q1_HALF1142349[[#This Row],[Total FGM]]/GN_Q1_HALF1142349[[#This Row],[Total FGA]]</f>
        <v>#DIV/0!</v>
      </c>
      <c r="E15" s="98">
        <f>SUMIF($A$22:$A$59,$A$15,E22:E59)</f>
        <v>0</v>
      </c>
      <c r="F15" s="19">
        <f>SUMIF($A$22:$A$59,$A$15,F22:F59)</f>
        <v>0</v>
      </c>
      <c r="G15" s="91" t="e">
        <f>GN_Q1_HALF1142349[[#This Row],[2PT FGM]]/GN_Q1_HALF1142349[[#This Row],[2PT FGA]]</f>
        <v>#DIV/0!</v>
      </c>
      <c r="H15" s="19">
        <f>SUMIF($A$22:$A$59,$A$15,H22:H59)</f>
        <v>0</v>
      </c>
      <c r="I15" s="19">
        <f>SUMIF($A$22:$A$59,$A$15,I22:I59)</f>
        <v>0</v>
      </c>
      <c r="J15" s="91" t="e">
        <f>GN_Q1_HALF1142349[[#This Row],[3PT FGM]]/GN_Q1_HALF1142349[[#This Row],[3PT FGA]]</f>
        <v>#DIV/0!</v>
      </c>
      <c r="K15" s="19">
        <f>SUMIF($A$22:$A$59,$A$15,K22:K59)</f>
        <v>0</v>
      </c>
      <c r="L15" s="19">
        <f>SUMIF($A$22:$A$59,$A$15,L22:L59)</f>
        <v>0</v>
      </c>
      <c r="M15" s="99" t="e">
        <f>GN_Q1_HALF1142349[[#This Row],[FTM]]/GN_Q1_HALF1142349[[#This Row],[FTA]]</f>
        <v>#DIV/0!</v>
      </c>
      <c r="N15" s="19">
        <f>SUM(GN_Q1_HALF1142349[[#This Row],[2PT FGM]]*2,GN_Q1_HALF1142349[[#This Row],[3PT FGM]]*3,GN_Q1_HALF1142349[[#This Row],[FTM]])</f>
        <v>0</v>
      </c>
      <c r="O15" s="19">
        <f>SUMIF($A$22:$A$59,$A$15,O22:O59)</f>
        <v>0</v>
      </c>
      <c r="P15" s="19">
        <f>SUMIF($A$22:$A$59,$A$15,P22:P59)</f>
        <v>0</v>
      </c>
      <c r="Q15" s="19">
        <f>SUMIF($A$22:$A$59,$A$15,Q22:Q59)</f>
        <v>0</v>
      </c>
      <c r="R15" s="19">
        <f>GN_Q1_HALF1142349[[#This Row],[Off. Boards]]+GN_Q1_HALF1142349[[#This Row],[Def. Boards]]</f>
        <v>0</v>
      </c>
      <c r="S15" s="19">
        <f>SUMIF($A$22:$A$59,$A$15,S22:S59)</f>
        <v>0</v>
      </c>
      <c r="T15" s="19">
        <f>SUMIF($A$22:$A$59,$A$15,T22:T59)</f>
        <v>0</v>
      </c>
      <c r="U15" s="19">
        <f>SUMIF($A$22:$A$59,$A$15,U22:U59)</f>
        <v>0</v>
      </c>
      <c r="V15" s="19">
        <f>SUMIF($A$22:$A$59,$A$15,V22:V59)</f>
        <v>0</v>
      </c>
      <c r="W15" s="92" t="e">
        <f>GN_Q1_HALF1142349[[#This Row],[Dimes]]/GN_Q1_HALF1142349[[#This Row],[Turnovers]]</f>
        <v>#DIV/0!</v>
      </c>
    </row>
    <row r="16" spans="1:23" x14ac:dyDescent="0.2">
      <c r="A16" t="s">
        <v>135</v>
      </c>
      <c r="B16" s="243">
        <f>GN_Q1_HALF1142349[[#This Row],[2PT FGM]]+GN_Q1_HALF1142349[[#This Row],[3PT FGM]]</f>
        <v>8</v>
      </c>
      <c r="C16" s="90">
        <f>GN_Q1_HALF1142349[[#This Row],[2PT FGA]]+GN_Q1_HALF1142349[[#This Row],[3PT FGA]]</f>
        <v>11</v>
      </c>
      <c r="D16" s="244">
        <f>GN_Q1_HALF1142349[[#This Row],[Total FGM]]/GN_Q1_HALF1142349[[#This Row],[Total FGA]]</f>
        <v>0.72727272727272729</v>
      </c>
      <c r="E16" s="245">
        <f>SUMIF($A$22:$A$59,$A$16,E22:E59)</f>
        <v>8</v>
      </c>
      <c r="F16" s="246">
        <f>SUMIF($A$22:$A$59,$A$16,F22:F59)</f>
        <v>11</v>
      </c>
      <c r="G16" s="91">
        <f>GN_Q1_HALF1142349[[#This Row],[2PT FGM]]/GN_Q1_HALF1142349[[#This Row],[2PT FGA]]</f>
        <v>0.72727272727272729</v>
      </c>
      <c r="H16" s="19">
        <f>SUMIF($A$22:$A$59,$A$16,H22:H59)</f>
        <v>0</v>
      </c>
      <c r="I16" s="19">
        <f>SUMIF($A$22:$A$59,$A$16,I22:I59)</f>
        <v>0</v>
      </c>
      <c r="J16" s="91" t="e">
        <f>GN_Q1_HALF1142349[[#This Row],[3PT FGM]]/GN_Q1_HALF1142349[[#This Row],[3PT FGA]]</f>
        <v>#DIV/0!</v>
      </c>
      <c r="K16" s="19">
        <f>SUMIF($A$22:$A$59,$A$16,K22:K59)</f>
        <v>0</v>
      </c>
      <c r="L16" s="19">
        <f>SUMIF($A$22:$A$59,$A$16,L22:L59)</f>
        <v>0</v>
      </c>
      <c r="M16" s="99" t="e">
        <f>GN_Q1_HALF1142349[[#This Row],[FTM]]/GN_Q1_HALF1142349[[#This Row],[FTA]]</f>
        <v>#DIV/0!</v>
      </c>
      <c r="N16" s="246">
        <f>SUM(GN_Q1_HALF1142349[[#This Row],[2PT FGM]]*2,GN_Q1_HALF1142349[[#This Row],[3PT FGM]]*3,GN_Q1_HALF1142349[[#This Row],[FTM]])</f>
        <v>16</v>
      </c>
      <c r="O16" s="246">
        <f>SUMIF($A$22:$A$59,$A$16,O22:O59)</f>
        <v>7</v>
      </c>
      <c r="P16" s="246">
        <f>SUMIF($A$22:$A$59,$A$16,P22:P59)</f>
        <v>8</v>
      </c>
      <c r="Q16" s="246">
        <f>SUMIF($A$22:$A$59,$A$16,Q22:Q59)</f>
        <v>5</v>
      </c>
      <c r="R16" s="246">
        <f>GN_Q1_HALF1142349[[#This Row],[Off. Boards]]+GN_Q1_HALF1142349[[#This Row],[Def. Boards]]</f>
        <v>13</v>
      </c>
      <c r="S16" s="19">
        <f>SUMIF($A$22:$A$59,$A$16,S22:S59)</f>
        <v>0</v>
      </c>
      <c r="T16" s="19">
        <f>SUMIF($A$22:$A$59,$A$16,T22:T59)</f>
        <v>1</v>
      </c>
      <c r="U16" s="19">
        <f>SUMIF($A$22:$A$59,$A$16,U22:U59)</f>
        <v>0</v>
      </c>
      <c r="V16" s="19">
        <f>SUMIF($A$22:$A$59,$A$16,V22:V59)</f>
        <v>1</v>
      </c>
      <c r="W16" s="92">
        <f>GN_Q1_HALF1142349[[#This Row],[Dimes]]/GN_Q1_HALF1142349[[#This Row],[Turnovers]]</f>
        <v>0</v>
      </c>
    </row>
    <row r="17" spans="1:23" x14ac:dyDescent="0.2">
      <c r="A17" t="s">
        <v>103</v>
      </c>
      <c r="B17" s="90">
        <f>GN_Q1_HALF1142349[[#This Row],[2PT FGM]]+GN_Q1_HALF1142349[[#This Row],[3PT FGM]]</f>
        <v>3</v>
      </c>
      <c r="C17" s="90">
        <f>GN_Q1_HALF1142349[[#This Row],[2PT FGA]]+GN_Q1_HALF1142349[[#This Row],[3PT FGA]]</f>
        <v>8</v>
      </c>
      <c r="D17" s="91">
        <f>GN_Q1_HALF1142349[[#This Row],[Total FGM]]/GN_Q1_HALF1142349[[#This Row],[Total FGA]]</f>
        <v>0.375</v>
      </c>
      <c r="E17" s="98">
        <f>SUMIF($A$22:$A$59,$A$17,E22:E59)</f>
        <v>2</v>
      </c>
      <c r="F17" s="19">
        <f>SUMIF($A$22:$A$59,$A$17,F22:F59)</f>
        <v>3</v>
      </c>
      <c r="G17" s="91">
        <f>GN_Q1_HALF1142349[[#This Row],[2PT FGM]]/GN_Q1_HALF1142349[[#This Row],[2PT FGA]]</f>
        <v>0.66666666666666663</v>
      </c>
      <c r="H17" s="19">
        <f>SUMIF($A$22:$A$59,$A$17,H22:H59)</f>
        <v>1</v>
      </c>
      <c r="I17" s="19">
        <f>SUMIF($A$22:$A$59,$A$17,I22:I59)</f>
        <v>5</v>
      </c>
      <c r="J17" s="91">
        <f>GN_Q1_HALF1142349[[#This Row],[3PT FGM]]/GN_Q1_HALF1142349[[#This Row],[3PT FGA]]</f>
        <v>0.2</v>
      </c>
      <c r="K17" s="19">
        <f>SUMIF($A$22:$A$59,$A$17,K22:K59)</f>
        <v>0</v>
      </c>
      <c r="L17" s="19">
        <f>SUMIF($A$22:$A$59,$A$17,L22:L59)</f>
        <v>0</v>
      </c>
      <c r="M17" s="99" t="e">
        <f>GN_Q1_HALF1142349[[#This Row],[FTM]]/GN_Q1_HALF1142349[[#This Row],[FTA]]</f>
        <v>#DIV/0!</v>
      </c>
      <c r="N17" s="19">
        <f>SUM(GN_Q1_HALF1142349[[#This Row],[2PT FGM]]*2,GN_Q1_HALF1142349[[#This Row],[3PT FGM]]*3,GN_Q1_HALF1142349[[#This Row],[FTM]])</f>
        <v>7</v>
      </c>
      <c r="O17" s="19">
        <f>SUMIF($A$22:$A$59,$A$17,O22:O59)</f>
        <v>0</v>
      </c>
      <c r="P17" s="19">
        <f>SUMIF($A$22:$A$59,$A$17,P22:P59)</f>
        <v>5</v>
      </c>
      <c r="Q17" s="19">
        <f>SUMIF($A$22:$A$59,$A$17,Q22:Q59)</f>
        <v>1</v>
      </c>
      <c r="R17" s="19">
        <f>GN_Q1_HALF1142349[[#This Row],[Off. Boards]]+GN_Q1_HALF1142349[[#This Row],[Def. Boards]]</f>
        <v>6</v>
      </c>
      <c r="S17" s="246">
        <f>SUMIF($A$22:$A$59,$A$17,S22:S59)</f>
        <v>6</v>
      </c>
      <c r="T17" s="19">
        <f>SUMIF($A$22:$A$59,$A$17,T22:T59)</f>
        <v>0</v>
      </c>
      <c r="U17" s="19">
        <f>SUMIF($A$22:$A$59,$A$17,U22:U59)</f>
        <v>0</v>
      </c>
      <c r="V17" s="249">
        <f>SUMIF($A$22:$A$59,$A$17,V22:V59)</f>
        <v>6</v>
      </c>
      <c r="W17" s="92">
        <f>GN_Q1_HALF1142349[[#This Row],[Dimes]]/GN_Q1_HALF1142349[[#This Row],[Turnovers]]</f>
        <v>1</v>
      </c>
    </row>
    <row r="18" spans="1:23" x14ac:dyDescent="0.2">
      <c r="A18" t="s">
        <v>100</v>
      </c>
      <c r="B18" s="90">
        <f>GN_Q1_HALF1142349[[#This Row],[2PT FGM]]+GN_Q1_HALF1142349[[#This Row],[3PT FGM]]</f>
        <v>4</v>
      </c>
      <c r="C18" s="90">
        <f>GN_Q1_HALF1142349[[#This Row],[2PT FGA]]+GN_Q1_HALF1142349[[#This Row],[3PT FGA]]</f>
        <v>10</v>
      </c>
      <c r="D18" s="91">
        <f>GN_Q1_HALF1142349[[#This Row],[Total FGM]]/GN_Q1_HALF1142349[[#This Row],[Total FGA]]</f>
        <v>0.4</v>
      </c>
      <c r="E18" s="98">
        <f>SUMIF($A$22:$A$59,$A$18,E22:E59)</f>
        <v>1</v>
      </c>
      <c r="F18" s="19">
        <f>SUMIF($A$22:$A$59,$A$18,F22:F59)</f>
        <v>3</v>
      </c>
      <c r="G18" s="91">
        <f>GN_Q1_HALF1142349[[#This Row],[2PT FGM]]/GN_Q1_HALF1142349[[#This Row],[2PT FGA]]</f>
        <v>0.33333333333333331</v>
      </c>
      <c r="H18" s="246">
        <f>SUMIF($A$22:$A$59,$A$18,H22:H59)</f>
        <v>3</v>
      </c>
      <c r="I18" s="19">
        <f>SUMIF($A$22:$A$59,$A$18,I22:I59)</f>
        <v>7</v>
      </c>
      <c r="J18" s="91">
        <f>GN_Q1_HALF1142349[[#This Row],[3PT FGM]]/GN_Q1_HALF1142349[[#This Row],[3PT FGA]]</f>
        <v>0.42857142857142855</v>
      </c>
      <c r="K18" s="19">
        <f>SUMIF($A$22:$A$59,$A$18,K22:K59)</f>
        <v>0</v>
      </c>
      <c r="L18" s="19">
        <f>SUMIF($A$22:$A$59,$A$18,L22:L59)</f>
        <v>0</v>
      </c>
      <c r="M18" s="99" t="e">
        <f>GN_Q1_HALF1142349[[#This Row],[FTM]]/GN_Q1_HALF1142349[[#This Row],[FTA]]</f>
        <v>#DIV/0!</v>
      </c>
      <c r="N18" s="19">
        <f>SUM(GN_Q1_HALF1142349[[#This Row],[2PT FGM]]*2,GN_Q1_HALF1142349[[#This Row],[3PT FGM]]*3,GN_Q1_HALF1142349[[#This Row],[FTM]])</f>
        <v>11</v>
      </c>
      <c r="O18" s="19">
        <f>SUMIF($A$22:$A$59,$A$18,O22:O59)</f>
        <v>0</v>
      </c>
      <c r="P18" s="19">
        <f>SUMIF($A$22:$A$59,$A$18,P22:P59)</f>
        <v>2</v>
      </c>
      <c r="Q18" s="19">
        <f>SUMIF($A$22:$A$59,$A$18,Q22:Q59)</f>
        <v>0</v>
      </c>
      <c r="R18" s="19">
        <f>GN_Q1_HALF1142349[[#This Row],[Off. Boards]]+GN_Q1_HALF1142349[[#This Row],[Def. Boards]]</f>
        <v>2</v>
      </c>
      <c r="S18" s="19">
        <f>SUMIF($A$22:$A$59,$A$18,S22:S59)</f>
        <v>5</v>
      </c>
      <c r="T18" s="19">
        <f>SUMIF($A$22:$A$59,$A$18,T22:T59)</f>
        <v>1</v>
      </c>
      <c r="U18" s="246">
        <f>SUMIF($A$22:$A$59,$A$18,U22:U59)</f>
        <v>2</v>
      </c>
      <c r="V18" s="19">
        <f>SUMIF($A$22:$A$59,$A$18,V22:V59)</f>
        <v>1</v>
      </c>
      <c r="W18" s="250">
        <f>GN_Q1_HALF1142349[[#This Row],[Dimes]]/GN_Q1_HALF1142349[[#This Row],[Turnovers]]</f>
        <v>5</v>
      </c>
    </row>
    <row r="19" spans="1:23" x14ac:dyDescent="0.2">
      <c r="A19" t="s">
        <v>98</v>
      </c>
      <c r="B19" s="90">
        <f>GN_Q1_HALF1142349[[#This Row],[2PT FGM]]+GN_Q1_HALF1142349[[#This Row],[3PT FGM]]</f>
        <v>4</v>
      </c>
      <c r="C19" s="90">
        <f>GN_Q1_HALF1142349[[#This Row],[2PT FGA]]+GN_Q1_HALF1142349[[#This Row],[3PT FGA]]</f>
        <v>7</v>
      </c>
      <c r="D19" s="91">
        <f>GN_Q1_HALF1142349[[#This Row],[Total FGM]]/GN_Q1_HALF1142349[[#This Row],[Total FGA]]</f>
        <v>0.5714285714285714</v>
      </c>
      <c r="E19" s="98">
        <f>SUMIF($A$22:$A$59,$A$19,E22:E59)</f>
        <v>3</v>
      </c>
      <c r="F19" s="19">
        <f>SUMIF($A$22:$A$59,$A$19,F22:F59)</f>
        <v>5</v>
      </c>
      <c r="G19" s="91">
        <f>GN_Q1_HALF1142349[[#This Row],[2PT FGM]]/GN_Q1_HALF1142349[[#This Row],[2PT FGA]]</f>
        <v>0.6</v>
      </c>
      <c r="H19" s="19">
        <f>SUMIF($A$22:$A$59,$A$19,H22:H59)</f>
        <v>1</v>
      </c>
      <c r="I19" s="19">
        <f>SUMIF($A$22:$A$59,$A$19,I22:I59)</f>
        <v>2</v>
      </c>
      <c r="J19" s="244">
        <f>GN_Q1_HALF1142349[[#This Row],[3PT FGM]]/GN_Q1_HALF1142349[[#This Row],[3PT FGA]]</f>
        <v>0.5</v>
      </c>
      <c r="K19" s="19">
        <f>SUMIF($A$22:$A$59,$A$19,K22:K59)</f>
        <v>0</v>
      </c>
      <c r="L19" s="19">
        <f>SUMIF($A$22:$A$59,$A$19,L22:L59)</f>
        <v>0</v>
      </c>
      <c r="M19" s="99" t="e">
        <f>GN_Q1_HALF1142349[[#This Row],[FTM]]/GN_Q1_HALF1142349[[#This Row],[FTA]]</f>
        <v>#DIV/0!</v>
      </c>
      <c r="N19" s="19">
        <f>SUM(GN_Q1_HALF1142349[[#This Row],[2PT FGM]]*2,GN_Q1_HALF1142349[[#This Row],[3PT FGM]]*3,GN_Q1_HALF1142349[[#This Row],[FTM]])</f>
        <v>9</v>
      </c>
      <c r="O19" s="19">
        <f>SUMIF($A$22:$A$59,$A$19,O22:O59)</f>
        <v>0</v>
      </c>
      <c r="P19" s="19">
        <f>SUMIF($A$22:$A$59,$A$19,P22:P59)</f>
        <v>1</v>
      </c>
      <c r="Q19" s="19">
        <f>SUMIF($A$22:$A$59,$A$19,Q22:Q59)</f>
        <v>3</v>
      </c>
      <c r="R19" s="19">
        <f>GN_Q1_HALF1142349[[#This Row],[Off. Boards]]+GN_Q1_HALF1142349[[#This Row],[Def. Boards]]</f>
        <v>4</v>
      </c>
      <c r="S19" s="19">
        <f>SUMIF($A$22:$A$59,$A$19,S22:S59)</f>
        <v>0</v>
      </c>
      <c r="T19" s="19">
        <f>SUMIF($A$22:$A$59,$A$19,T22:T59)</f>
        <v>1</v>
      </c>
      <c r="U19" s="19">
        <f>SUMIF($A$22:$A$59,$A$19,U22:U59)</f>
        <v>0</v>
      </c>
      <c r="V19" s="19">
        <f>SUMIF($A$22:$A$59,$A$19,V22:V59)</f>
        <v>2</v>
      </c>
      <c r="W19" s="92">
        <f>GN_Q1_HALF1142349[[#This Row],[Dimes]]/GN_Q1_HALF1142349[[#This Row],[Turnovers]]</f>
        <v>0</v>
      </c>
    </row>
    <row r="20" spans="1:23" ht="16" thickBot="1" x14ac:dyDescent="0.25">
      <c r="A20" s="82" t="s">
        <v>76</v>
      </c>
      <c r="B20" s="100">
        <f>SUM(B15:B19)</f>
        <v>19</v>
      </c>
      <c r="C20" s="100">
        <f>SUM(C15:C19)</f>
        <v>36</v>
      </c>
      <c r="D20" s="101">
        <f>GN_Q1_HALF1142349[[#This Row],[Total FGM]]/GN_Q1_HALF1142349[[#This Row],[Total FGA]]</f>
        <v>0.52777777777777779</v>
      </c>
      <c r="E20" s="102">
        <f>SUM(E15:E19)</f>
        <v>14</v>
      </c>
      <c r="F20" s="103">
        <f>SUM(F15:F19)</f>
        <v>22</v>
      </c>
      <c r="G20" s="104">
        <f>GN_Q1_HALF1142349[[#This Row],[2PT FGM]]/GN_Q1_HALF1142349[[#This Row],[2PT FGA]]</f>
        <v>0.63636363636363635</v>
      </c>
      <c r="H20" s="103">
        <f>SUM(H15:H19)</f>
        <v>5</v>
      </c>
      <c r="I20" s="103">
        <f>SUM(I15:I19)</f>
        <v>14</v>
      </c>
      <c r="J20" s="109">
        <f>GN_Q1_HALF1142349[[#This Row],[3PT FGM]]/GN_Q1_HALF1142349[[#This Row],[3PT FGA]]</f>
        <v>0.35714285714285715</v>
      </c>
      <c r="K20" s="103">
        <f>SUM(K15:K19)</f>
        <v>0</v>
      </c>
      <c r="L20" s="103">
        <f>SUM(L15:L19)</f>
        <v>0</v>
      </c>
      <c r="M20" s="105" t="e">
        <f>GN_Q1_HALF1142349[[#This Row],[FTM]]/GN_Q1_HALF1142349[[#This Row],[FTA]]</f>
        <v>#DIV/0!</v>
      </c>
      <c r="N20" s="62">
        <f>SUM(GN_Q1_HALF1142349[[#This Row],[2PT FGM]]*2,GN_Q1_HALF1142349[[#This Row],[3PT FGM]]*3,GN_Q1_HALF1142349[[#This Row],[FTM]])</f>
        <v>43</v>
      </c>
      <c r="O20" s="100">
        <f>SUM(O15:O19)</f>
        <v>7</v>
      </c>
      <c r="P20" s="100">
        <f>SUM(P15:P19)</f>
        <v>16</v>
      </c>
      <c r="Q20" s="100">
        <f>SUM(Q15:Q19)</f>
        <v>9</v>
      </c>
      <c r="R20" s="106">
        <f>GN_Q1_HALF1142349[[#This Row],[Def. Boards]]+GN_Q1_HALF1142349[[#This Row],[Off. Boards]]</f>
        <v>25</v>
      </c>
      <c r="S20" s="100">
        <f>SUM(S15:S19)</f>
        <v>11</v>
      </c>
      <c r="T20" s="100">
        <f>SUM(T15:T19)</f>
        <v>3</v>
      </c>
      <c r="U20" s="100">
        <f>SUM(U15:U19)</f>
        <v>2</v>
      </c>
      <c r="V20" s="100">
        <f>SUM(V15:V19)</f>
        <v>10</v>
      </c>
      <c r="W20" s="107">
        <f>GN_Q1_HALF1142349[[#This Row],[Dimes]]/GN_Q1_HALF1142349[[#This Row],[Turnovers]]</f>
        <v>1.1000000000000001</v>
      </c>
    </row>
    <row r="21" spans="1:23" ht="16" thickBot="1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</row>
    <row r="22" spans="1:23" ht="16" thickTop="1" x14ac:dyDescent="0.2"/>
    <row r="23" spans="1:23" ht="16" thickBot="1" x14ac:dyDescent="0.25">
      <c r="A23" s="220" t="s">
        <v>146</v>
      </c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</row>
    <row r="24" spans="1:23" ht="32" x14ac:dyDescent="0.2">
      <c r="A24" s="166" t="s">
        <v>208</v>
      </c>
      <c r="B24" s="11" t="s">
        <v>0</v>
      </c>
      <c r="C24" s="11" t="s">
        <v>1</v>
      </c>
      <c r="D24" s="11" t="s">
        <v>2</v>
      </c>
      <c r="E24" s="95" t="s">
        <v>3</v>
      </c>
      <c r="F24" s="96" t="s">
        <v>4</v>
      </c>
      <c r="G24" s="96" t="s">
        <v>5</v>
      </c>
      <c r="H24" s="96" t="s">
        <v>6</v>
      </c>
      <c r="I24" s="96" t="s">
        <v>7</v>
      </c>
      <c r="J24" s="96" t="s">
        <v>8</v>
      </c>
      <c r="K24" s="96" t="s">
        <v>9</v>
      </c>
      <c r="L24" s="96" t="s">
        <v>10</v>
      </c>
      <c r="M24" s="97" t="s">
        <v>11</v>
      </c>
      <c r="N24" s="11" t="s">
        <v>12</v>
      </c>
      <c r="O24" s="10" t="s">
        <v>13</v>
      </c>
      <c r="P24" s="11" t="s">
        <v>14</v>
      </c>
      <c r="Q24" s="11" t="s">
        <v>15</v>
      </c>
      <c r="R24" s="11" t="s">
        <v>16</v>
      </c>
      <c r="S24" s="10" t="s">
        <v>17</v>
      </c>
      <c r="T24" s="10" t="s">
        <v>18</v>
      </c>
      <c r="U24" s="10" t="s">
        <v>19</v>
      </c>
      <c r="V24" s="10" t="s">
        <v>20</v>
      </c>
      <c r="W24" s="10" t="s">
        <v>21</v>
      </c>
    </row>
    <row r="25" spans="1:23" x14ac:dyDescent="0.2">
      <c r="A25" s="13" t="s">
        <v>96</v>
      </c>
      <c r="B25" s="90">
        <f>LITI_Q1_HALF113172450[[#This Row],[2PT FGM]]+LITI_Q1_HALF113172450[[#This Row],[3PT FGM]]</f>
        <v>1</v>
      </c>
      <c r="C25" s="90">
        <f>LITI_Q1_HALF113172450[[#This Row],[2PT FGA]]+LITI_Q1_HALF113172450[[#This Row],[3PT FGA]]</f>
        <v>4</v>
      </c>
      <c r="D25" s="91">
        <f>LITI_Q1_HALF113172450[[#This Row],[Total FGM]]/LITI_Q1_HALF113172450[[#This Row],[Total FGA]]</f>
        <v>0.25</v>
      </c>
      <c r="E25" s="98">
        <v>1</v>
      </c>
      <c r="F25" s="19">
        <v>2</v>
      </c>
      <c r="G25" s="91">
        <f>LITI_Q1_HALF113172450[[#This Row],[2PT FGM]]/LITI_Q1_HALF113172450[[#This Row],[2PT FGA]]</f>
        <v>0.5</v>
      </c>
      <c r="H25" s="19">
        <v>0</v>
      </c>
      <c r="I25" s="19">
        <v>2</v>
      </c>
      <c r="J25" s="91">
        <f>LITI_Q1_HALF113172450[[#This Row],[3PT FGM]]/LITI_Q1_HALF113172450[[#This Row],[3PT FGA]]</f>
        <v>0</v>
      </c>
      <c r="K25" s="19">
        <v>0</v>
      </c>
      <c r="L25" s="19">
        <v>0</v>
      </c>
      <c r="M25" s="99" t="e">
        <f>LITI_Q1_HALF113172450[[#This Row],[FTM]]/LITI_Q1_HALF113172450[[#This Row],[FTA]]</f>
        <v>#DIV/0!</v>
      </c>
      <c r="N25" s="19">
        <f>SUM(LITI_Q1_HALF113172450[[#This Row],[2PT FGM]]*2,LITI_Q1_HALF113172450[[#This Row],[3PT FGM]]*3,LITI_Q1_HALF113172450[[#This Row],[FTM]])</f>
        <v>2</v>
      </c>
      <c r="O25" s="19">
        <v>1</v>
      </c>
      <c r="P25" s="19">
        <v>0</v>
      </c>
      <c r="Q25" s="19">
        <v>1</v>
      </c>
      <c r="R25" s="19">
        <f>LITI_Q1_HALF113172450[[#This Row],[Off. Boards]]+LITI_Q1_HALF113172450[[#This Row],[Def. Boards]]</f>
        <v>1</v>
      </c>
      <c r="S25" s="19">
        <v>0</v>
      </c>
      <c r="T25" s="19">
        <v>1</v>
      </c>
      <c r="U25" s="19">
        <v>0</v>
      </c>
      <c r="V25" s="19">
        <v>1</v>
      </c>
      <c r="W25" s="92">
        <f>LITI_Q1_HALF113172450[[#This Row],[Dimes]]/LITI_Q1_HALF113172450[[#This Row],[Turnovers]]</f>
        <v>0</v>
      </c>
    </row>
    <row r="26" spans="1:23" x14ac:dyDescent="0.2">
      <c r="A26" s="13" t="s">
        <v>207</v>
      </c>
      <c r="B26" s="90">
        <f>LITI_Q1_HALF113172450[[#This Row],[2PT FGM]]+LITI_Q1_HALF113172450[[#This Row],[3PT FGM]]</f>
        <v>4</v>
      </c>
      <c r="C26" s="90">
        <f>LITI_Q1_HALF113172450[[#This Row],[2PT FGA]]+LITI_Q1_HALF113172450[[#This Row],[3PT FGA]]</f>
        <v>5</v>
      </c>
      <c r="D26" s="91">
        <f>LITI_Q1_HALF113172450[[#This Row],[Total FGM]]/LITI_Q1_HALF113172450[[#This Row],[Total FGA]]</f>
        <v>0.8</v>
      </c>
      <c r="E26" s="98">
        <v>4</v>
      </c>
      <c r="F26" s="19">
        <v>4</v>
      </c>
      <c r="G26" s="91">
        <f>LITI_Q1_HALF113172450[[#This Row],[2PT FGM]]/LITI_Q1_HALF113172450[[#This Row],[2PT FGA]]</f>
        <v>1</v>
      </c>
      <c r="H26" s="19">
        <v>0</v>
      </c>
      <c r="I26" s="19">
        <v>1</v>
      </c>
      <c r="J26" s="91">
        <f>LITI_Q1_HALF113172450[[#This Row],[3PT FGM]]/LITI_Q1_HALF113172450[[#This Row],[3PT FGA]]</f>
        <v>0</v>
      </c>
      <c r="K26" s="19">
        <v>0</v>
      </c>
      <c r="L26" s="19">
        <v>0</v>
      </c>
      <c r="M26" s="99" t="e">
        <f>LITI_Q1_HALF113172450[[#This Row],[FTM]]/LITI_Q1_HALF113172450[[#This Row],[FTA]]</f>
        <v>#DIV/0!</v>
      </c>
      <c r="N26" s="19">
        <f>SUM(LITI_Q1_HALF113172450[[#This Row],[2PT FGM]]*2,LITI_Q1_HALF113172450[[#This Row],[3PT FGM]]*3,LITI_Q1_HALF113172450[[#This Row],[FTM]])</f>
        <v>8</v>
      </c>
      <c r="O26" s="19">
        <v>3</v>
      </c>
      <c r="P26" s="19">
        <v>1</v>
      </c>
      <c r="Q26" s="19">
        <v>0</v>
      </c>
      <c r="R26" s="19">
        <f>LITI_Q1_HALF113172450[[#This Row],[Off. Boards]]+LITI_Q1_HALF113172450[[#This Row],[Def. Boards]]</f>
        <v>1</v>
      </c>
      <c r="S26" s="19">
        <v>1</v>
      </c>
      <c r="T26" s="19">
        <v>0</v>
      </c>
      <c r="U26" s="19">
        <v>0</v>
      </c>
      <c r="V26" s="19">
        <v>0</v>
      </c>
      <c r="W26" s="92" t="e">
        <f>LITI_Q1_HALF113172450[[#This Row],[Dimes]]/LITI_Q1_HALF113172450[[#This Row],[Turnovers]]</f>
        <v>#DIV/0!</v>
      </c>
    </row>
    <row r="27" spans="1:23" x14ac:dyDescent="0.2">
      <c r="A27" s="13" t="s">
        <v>88</v>
      </c>
      <c r="B27" s="90">
        <f>LITI_Q1_HALF113172450[[#This Row],[2PT FGM]]+LITI_Q1_HALF113172450[[#This Row],[3PT FGM]]</f>
        <v>3</v>
      </c>
      <c r="C27" s="90">
        <f>LITI_Q1_HALF113172450[[#This Row],[2PT FGA]]+LITI_Q1_HALF113172450[[#This Row],[3PT FGA]]</f>
        <v>10</v>
      </c>
      <c r="D27" s="91">
        <f>LITI_Q1_HALF113172450[[#This Row],[Total FGM]]/LITI_Q1_HALF113172450[[#This Row],[Total FGA]]</f>
        <v>0.3</v>
      </c>
      <c r="E27" s="98">
        <v>2</v>
      </c>
      <c r="F27" s="19">
        <v>6</v>
      </c>
      <c r="G27" s="91">
        <f>LITI_Q1_HALF113172450[[#This Row],[2PT FGM]]/LITI_Q1_HALF113172450[[#This Row],[2PT FGA]]</f>
        <v>0.33333333333333331</v>
      </c>
      <c r="H27" s="19">
        <v>1</v>
      </c>
      <c r="I27" s="19">
        <v>4</v>
      </c>
      <c r="J27" s="91">
        <f>LITI_Q1_HALF113172450[[#This Row],[3PT FGM]]/LITI_Q1_HALF113172450[[#This Row],[3PT FGA]]</f>
        <v>0.25</v>
      </c>
      <c r="K27" s="19">
        <v>0</v>
      </c>
      <c r="L27" s="19">
        <v>0</v>
      </c>
      <c r="M27" s="99" t="e">
        <f>LITI_Q1_HALF113172450[[#This Row],[FTM]]/LITI_Q1_HALF113172450[[#This Row],[FTA]]</f>
        <v>#DIV/0!</v>
      </c>
      <c r="N27" s="19">
        <f>SUM(LITI_Q1_HALF113172450[[#This Row],[2PT FGM]]*2,LITI_Q1_HALF113172450[[#This Row],[3PT FGM]]*3,LITI_Q1_HALF113172450[[#This Row],[FTM]])</f>
        <v>7</v>
      </c>
      <c r="O27" s="19">
        <v>0</v>
      </c>
      <c r="P27" s="19">
        <v>1</v>
      </c>
      <c r="Q27" s="19">
        <v>2</v>
      </c>
      <c r="R27" s="19">
        <f>LITI_Q1_HALF113172450[[#This Row],[Off. Boards]]+LITI_Q1_HALF113172450[[#This Row],[Def. Boards]]</f>
        <v>3</v>
      </c>
      <c r="S27" s="19">
        <v>2</v>
      </c>
      <c r="T27" s="19">
        <v>2</v>
      </c>
      <c r="U27" s="19">
        <v>0</v>
      </c>
      <c r="V27" s="19">
        <v>1</v>
      </c>
      <c r="W27" s="92">
        <f>LITI_Q1_HALF113172450[[#This Row],[Dimes]]/LITI_Q1_HALF113172450[[#This Row],[Turnovers]]</f>
        <v>2</v>
      </c>
    </row>
    <row r="28" spans="1:23" hidden="1" x14ac:dyDescent="0.2">
      <c r="A28" s="13" t="s">
        <v>98</v>
      </c>
      <c r="B28" s="90">
        <f>LITI_Q1_HALF113172450[[#This Row],[2PT FGM]]+LITI_Q1_HALF113172450[[#This Row],[3PT FGM]]</f>
        <v>0</v>
      </c>
      <c r="C28" s="90">
        <f>LITI_Q1_HALF113172450[[#This Row],[2PT FGA]]+LITI_Q1_HALF113172450[[#This Row],[3PT FGA]]</f>
        <v>0</v>
      </c>
      <c r="D28" s="91" t="e">
        <f>LITI_Q1_HALF113172450[[#This Row],[Total FGM]]/LITI_Q1_HALF113172450[[#This Row],[Total FGA]]</f>
        <v>#DIV/0!</v>
      </c>
      <c r="E28" s="98"/>
      <c r="F28" s="19"/>
      <c r="G28" s="91" t="e">
        <f>LITI_Q1_HALF113172450[[#This Row],[2PT FGM]]/LITI_Q1_HALF113172450[[#This Row],[2PT FGA]]</f>
        <v>#DIV/0!</v>
      </c>
      <c r="H28" s="19"/>
      <c r="I28" s="19"/>
      <c r="J28" s="91" t="e">
        <f>LITI_Q1_HALF113172450[[#This Row],[3PT FGM]]/LITI_Q1_HALF113172450[[#This Row],[3PT FGA]]</f>
        <v>#DIV/0!</v>
      </c>
      <c r="K28" s="19"/>
      <c r="L28" s="19"/>
      <c r="M28" s="99" t="e">
        <f>LITI_Q1_HALF113172450[[#This Row],[FTM]]/LITI_Q1_HALF113172450[[#This Row],[FTA]]</f>
        <v>#DIV/0!</v>
      </c>
      <c r="N28" s="19">
        <f>SUM(LITI_Q1_HALF113172450[[#This Row],[2PT FGM]]*2,LITI_Q1_HALF113172450[[#This Row],[3PT FGM]]*3,LITI_Q1_HALF113172450[[#This Row],[FTM]])</f>
        <v>0</v>
      </c>
      <c r="O28" s="19"/>
      <c r="P28" s="19"/>
      <c r="Q28" s="19"/>
      <c r="R28" s="19">
        <f>LITI_Q1_HALF113172450[[#This Row],[Off. Boards]]+LITI_Q1_HALF113172450[[#This Row],[Def. Boards]]</f>
        <v>0</v>
      </c>
      <c r="S28" s="19"/>
      <c r="T28" s="19"/>
      <c r="U28" s="19"/>
      <c r="V28" s="19"/>
      <c r="W28" s="92" t="e">
        <f>LITI_Q1_HALF113172450[[#This Row],[Dimes]]/LITI_Q1_HALF113172450[[#This Row],[Turnovers]]</f>
        <v>#DIV/0!</v>
      </c>
    </row>
    <row r="29" spans="1:23" x14ac:dyDescent="0.2">
      <c r="A29" s="13" t="s">
        <v>83</v>
      </c>
      <c r="B29" s="90">
        <f>LITI_Q1_HALF113172450[[#This Row],[2PT FGM]]+LITI_Q1_HALF113172450[[#This Row],[3PT FGM]]</f>
        <v>0</v>
      </c>
      <c r="C29" s="90">
        <f>LITI_Q1_HALF113172450[[#This Row],[2PT FGA]]+LITI_Q1_HALF113172450[[#This Row],[3PT FGA]]</f>
        <v>2</v>
      </c>
      <c r="D29" s="91">
        <f>LITI_Q1_HALF113172450[[#This Row],[Total FGM]]/LITI_Q1_HALF113172450[[#This Row],[Total FGA]]</f>
        <v>0</v>
      </c>
      <c r="E29" s="98">
        <v>0</v>
      </c>
      <c r="F29" s="19">
        <v>0</v>
      </c>
      <c r="G29" s="91" t="e">
        <f>LITI_Q1_HALF113172450[[#This Row],[2PT FGM]]/LITI_Q1_HALF113172450[[#This Row],[2PT FGA]]</f>
        <v>#DIV/0!</v>
      </c>
      <c r="H29" s="19">
        <v>0</v>
      </c>
      <c r="I29" s="19">
        <v>2</v>
      </c>
      <c r="J29" s="91">
        <f>LITI_Q1_HALF113172450[[#This Row],[3PT FGM]]/LITI_Q1_HALF113172450[[#This Row],[3PT FGA]]</f>
        <v>0</v>
      </c>
      <c r="K29" s="19">
        <v>0</v>
      </c>
      <c r="L29" s="19">
        <v>0</v>
      </c>
      <c r="M29" s="99" t="e">
        <f>LITI_Q1_HALF113172450[[#This Row],[FTM]]/LITI_Q1_HALF113172450[[#This Row],[FTA]]</f>
        <v>#DIV/0!</v>
      </c>
      <c r="N29" s="19">
        <f>SUM(LITI_Q1_HALF113172450[[#This Row],[2PT FGM]]*2,LITI_Q1_HALF113172450[[#This Row],[3PT FGM]]*3,LITI_Q1_HALF113172450[[#This Row],[FTM]])</f>
        <v>0</v>
      </c>
      <c r="O29" s="19">
        <v>0</v>
      </c>
      <c r="P29" s="19">
        <v>1</v>
      </c>
      <c r="Q29" s="19">
        <v>0</v>
      </c>
      <c r="R29" s="19">
        <f>LITI_Q1_HALF113172450[[#This Row],[Off. Boards]]+LITI_Q1_HALF113172450[[#This Row],[Def. Boards]]</f>
        <v>1</v>
      </c>
      <c r="S29" s="19">
        <v>1</v>
      </c>
      <c r="T29" s="19">
        <v>1</v>
      </c>
      <c r="U29" s="19">
        <v>1</v>
      </c>
      <c r="V29" s="19">
        <v>0</v>
      </c>
      <c r="W29" s="92" t="e">
        <f>LITI_Q1_HALF113172450[[#This Row],[Dimes]]/LITI_Q1_HALF113172450[[#This Row],[Turnovers]]</f>
        <v>#DIV/0!</v>
      </c>
    </row>
    <row r="30" spans="1:23" ht="16" thickBot="1" x14ac:dyDescent="0.25">
      <c r="A30" s="82" t="s">
        <v>76</v>
      </c>
      <c r="B30" s="100">
        <f>SUM(B25:B29)</f>
        <v>8</v>
      </c>
      <c r="C30" s="100">
        <f>SUM(C25:C29)</f>
        <v>21</v>
      </c>
      <c r="D30" s="101">
        <f>LITI_Q1_HALF113172450[[#This Row],[Total FGM]]/LITI_Q1_HALF113172450[[#This Row],[Total FGA]]</f>
        <v>0.38095238095238093</v>
      </c>
      <c r="E30" s="102">
        <f>SUM(E25:E29)</f>
        <v>7</v>
      </c>
      <c r="F30" s="103">
        <f>SUM(F25:F29)</f>
        <v>12</v>
      </c>
      <c r="G30" s="108">
        <f>LITI_Q1_HALF113172450[[#This Row],[2PT FGM]]/LITI_Q1_HALF113172450[[#This Row],[2PT FGA]]</f>
        <v>0.58333333333333337</v>
      </c>
      <c r="H30" s="103">
        <f>SUM(H25:H29)</f>
        <v>1</v>
      </c>
      <c r="I30" s="103">
        <f>SUM(I25:I29)</f>
        <v>9</v>
      </c>
      <c r="J30" s="104">
        <f>LITI_Q1_HALF113172450[[#This Row],[3PT FGM]]/LITI_Q1_HALF113172450[[#This Row],[3PT FGA]]</f>
        <v>0.1111111111111111</v>
      </c>
      <c r="K30" s="103">
        <f>SUM(K25:K29)</f>
        <v>0</v>
      </c>
      <c r="L30" s="103">
        <f>SUM(L25:L29)</f>
        <v>0</v>
      </c>
      <c r="M30" s="105" t="e">
        <f>LITI_Q1_HALF113172450[[#This Row],[FTM]]/LITI_Q1_HALF113172450[[#This Row],[FTA]]</f>
        <v>#DIV/0!</v>
      </c>
      <c r="N30" s="62">
        <f>SUM(LITI_Q1_HALF113172450[[#This Row],[2PT FGM]]*2,LITI_Q1_HALF113172450[[#This Row],[3PT FGM]]*3,LITI_Q1_HALF113172450[[#This Row],[FTM]])</f>
        <v>17</v>
      </c>
      <c r="O30" s="106">
        <f>SUM(O25:O29)</f>
        <v>4</v>
      </c>
      <c r="P30" s="106">
        <f t="shared" ref="P30:V30" si="1">SUM(P25:P29)</f>
        <v>3</v>
      </c>
      <c r="Q30" s="106">
        <f t="shared" si="1"/>
        <v>3</v>
      </c>
      <c r="R30" s="106">
        <f t="shared" si="1"/>
        <v>6</v>
      </c>
      <c r="S30" s="106">
        <f t="shared" si="1"/>
        <v>4</v>
      </c>
      <c r="T30" s="106">
        <f t="shared" si="1"/>
        <v>4</v>
      </c>
      <c r="U30" s="106">
        <f t="shared" si="1"/>
        <v>1</v>
      </c>
      <c r="V30" s="106">
        <f t="shared" si="1"/>
        <v>2</v>
      </c>
      <c r="W30" s="107">
        <f>LITI_Q1_HALF113172450[[#This Row],[Dimes]]/LITI_Q1_HALF113172450[[#This Row],[Turnovers]]</f>
        <v>2</v>
      </c>
    </row>
    <row r="32" spans="1:23" ht="16" thickBot="1" x14ac:dyDescent="0.25">
      <c r="A32" s="220" t="s">
        <v>146</v>
      </c>
      <c r="B32" s="219"/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</row>
    <row r="33" spans="1:23" ht="32" x14ac:dyDescent="0.2">
      <c r="A33" s="166" t="s">
        <v>209</v>
      </c>
      <c r="B33" s="11" t="s">
        <v>0</v>
      </c>
      <c r="C33" s="11" t="s">
        <v>1</v>
      </c>
      <c r="D33" s="11" t="s">
        <v>2</v>
      </c>
      <c r="E33" s="95" t="s">
        <v>3</v>
      </c>
      <c r="F33" s="96" t="s">
        <v>4</v>
      </c>
      <c r="G33" s="96" t="s">
        <v>5</v>
      </c>
      <c r="H33" s="96" t="s">
        <v>6</v>
      </c>
      <c r="I33" s="96" t="s">
        <v>7</v>
      </c>
      <c r="J33" s="96" t="s">
        <v>8</v>
      </c>
      <c r="K33" s="96" t="s">
        <v>9</v>
      </c>
      <c r="L33" s="96" t="s">
        <v>10</v>
      </c>
      <c r="M33" s="97" t="s">
        <v>11</v>
      </c>
      <c r="N33" s="11" t="s">
        <v>12</v>
      </c>
      <c r="O33" s="10" t="s">
        <v>13</v>
      </c>
      <c r="P33" s="11" t="s">
        <v>14</v>
      </c>
      <c r="Q33" s="11" t="s">
        <v>15</v>
      </c>
      <c r="R33" s="11" t="s">
        <v>16</v>
      </c>
      <c r="S33" s="10" t="s">
        <v>17</v>
      </c>
      <c r="T33" s="10" t="s">
        <v>18</v>
      </c>
      <c r="U33" s="10" t="s">
        <v>19</v>
      </c>
      <c r="V33" s="10" t="s">
        <v>20</v>
      </c>
      <c r="W33" s="10" t="s">
        <v>21</v>
      </c>
    </row>
    <row r="34" spans="1:23" x14ac:dyDescent="0.2">
      <c r="A34" t="s">
        <v>264</v>
      </c>
      <c r="B34" s="90">
        <f>GN_Q1_HALF114182551[[#This Row],[2PT FGM]]+GN_Q1_HALF114182551[[#This Row],[3PT FGM]]</f>
        <v>0</v>
      </c>
      <c r="C34" s="90">
        <f>GN_Q1_HALF114182551[[#This Row],[2PT FGA]]+GN_Q1_HALF114182551[[#This Row],[3PT FGA]]</f>
        <v>0</v>
      </c>
      <c r="D34" s="91" t="e">
        <f>GN_Q1_HALF114182551[[#This Row],[Total FGM]]/GN_Q1_HALF114182551[[#This Row],[Total FGA]]</f>
        <v>#DIV/0!</v>
      </c>
      <c r="E34" s="98">
        <v>0</v>
      </c>
      <c r="F34" s="19">
        <v>0</v>
      </c>
      <c r="G34" s="91" t="e">
        <f>GN_Q1_HALF114182551[[#This Row],[2PT FGM]]/GN_Q1_HALF114182551[[#This Row],[2PT FGA]]</f>
        <v>#DIV/0!</v>
      </c>
      <c r="H34" s="19">
        <v>0</v>
      </c>
      <c r="I34" s="19">
        <v>0</v>
      </c>
      <c r="J34" s="91" t="e">
        <f>GN_Q1_HALF114182551[[#This Row],[3PT FGM]]/GN_Q1_HALF114182551[[#This Row],[3PT FGA]]</f>
        <v>#DIV/0!</v>
      </c>
      <c r="K34" s="19">
        <v>0</v>
      </c>
      <c r="L34" s="19">
        <v>0</v>
      </c>
      <c r="M34" s="99" t="e">
        <f>GN_Q1_HALF114182551[[#This Row],[FTM]]/GN_Q1_HALF114182551[[#This Row],[FTA]]</f>
        <v>#DIV/0!</v>
      </c>
      <c r="N34" s="19">
        <f>SUM(GN_Q1_HALF114182551[[#This Row],[2PT FGM]]*2,GN_Q1_HALF114182551[[#This Row],[3PT FGM]]*3,GN_Q1_HALF114182551[[#This Row],[FTM]])</f>
        <v>0</v>
      </c>
      <c r="O34" s="19">
        <v>0</v>
      </c>
      <c r="P34" s="19">
        <v>0</v>
      </c>
      <c r="Q34" s="19">
        <v>0</v>
      </c>
      <c r="R34" s="19">
        <f>GN_Q1_HALF114182551[[#This Row],[Off. Boards]]+GN_Q1_HALF114182551[[#This Row],[Def. Boards]]</f>
        <v>0</v>
      </c>
      <c r="S34" s="19">
        <v>0</v>
      </c>
      <c r="T34" s="19">
        <v>0</v>
      </c>
      <c r="U34" s="19">
        <v>0</v>
      </c>
      <c r="V34" s="19">
        <v>0</v>
      </c>
      <c r="W34" s="92" t="e">
        <f>GN_Q1_HALF114182551[[#This Row],[Dimes]]/GN_Q1_HALF114182551[[#This Row],[Turnovers]]</f>
        <v>#DIV/0!</v>
      </c>
    </row>
    <row r="35" spans="1:23" x14ac:dyDescent="0.2">
      <c r="A35" t="s">
        <v>135</v>
      </c>
      <c r="B35" s="90">
        <f>GN_Q1_HALF114182551[[#This Row],[2PT FGM]]+GN_Q1_HALF114182551[[#This Row],[3PT FGM]]</f>
        <v>3</v>
      </c>
      <c r="C35" s="90">
        <f>GN_Q1_HALF114182551[[#This Row],[2PT FGA]]+GN_Q1_HALF114182551[[#This Row],[3PT FGA]]</f>
        <v>3</v>
      </c>
      <c r="D35" s="91">
        <f>GN_Q1_HALF114182551[[#This Row],[Total FGM]]/GN_Q1_HALF114182551[[#This Row],[Total FGA]]</f>
        <v>1</v>
      </c>
      <c r="E35" s="98">
        <v>3</v>
      </c>
      <c r="F35" s="19">
        <v>3</v>
      </c>
      <c r="G35" s="91">
        <f>GN_Q1_HALF114182551[[#This Row],[2PT FGM]]/GN_Q1_HALF114182551[[#This Row],[2PT FGA]]</f>
        <v>1</v>
      </c>
      <c r="H35" s="19">
        <v>0</v>
      </c>
      <c r="I35" s="19">
        <v>0</v>
      </c>
      <c r="J35" s="91" t="e">
        <f>GN_Q1_HALF114182551[[#This Row],[3PT FGM]]/GN_Q1_HALF114182551[[#This Row],[3PT FGA]]</f>
        <v>#DIV/0!</v>
      </c>
      <c r="K35" s="19">
        <v>0</v>
      </c>
      <c r="L35" s="19">
        <v>0</v>
      </c>
      <c r="M35" s="99" t="e">
        <f>GN_Q1_HALF114182551[[#This Row],[FTM]]/GN_Q1_HALF114182551[[#This Row],[FTA]]</f>
        <v>#DIV/0!</v>
      </c>
      <c r="N35" s="19">
        <f>SUM(GN_Q1_HALF114182551[[#This Row],[2PT FGM]]*2,GN_Q1_HALF114182551[[#This Row],[3PT FGM]]*3,GN_Q1_HALF114182551[[#This Row],[FTM]])</f>
        <v>6</v>
      </c>
      <c r="O35" s="19">
        <v>2</v>
      </c>
      <c r="P35" s="19">
        <v>3</v>
      </c>
      <c r="Q35" s="19">
        <v>1</v>
      </c>
      <c r="R35" s="19">
        <f>GN_Q1_HALF114182551[[#This Row],[Off. Boards]]+GN_Q1_HALF114182551[[#This Row],[Def. Boards]]</f>
        <v>4</v>
      </c>
      <c r="S35" s="19">
        <v>0</v>
      </c>
      <c r="T35" s="19">
        <v>0</v>
      </c>
      <c r="U35" s="19">
        <v>0</v>
      </c>
      <c r="V35" s="19">
        <v>1</v>
      </c>
      <c r="W35" s="92">
        <f>GN_Q1_HALF114182551[[#This Row],[Dimes]]/GN_Q1_HALF114182551[[#This Row],[Turnovers]]</f>
        <v>0</v>
      </c>
    </row>
    <row r="36" spans="1:23" x14ac:dyDescent="0.2">
      <c r="A36" t="s">
        <v>103</v>
      </c>
      <c r="B36" s="90">
        <f>GN_Q1_HALF114182551[[#This Row],[2PT FGM]]+GN_Q1_HALF114182551[[#This Row],[3PT FGM]]</f>
        <v>2</v>
      </c>
      <c r="C36" s="90">
        <f>GN_Q1_HALF114182551[[#This Row],[2PT FGA]]+GN_Q1_HALF114182551[[#This Row],[3PT FGA]]</f>
        <v>4</v>
      </c>
      <c r="D36" s="91">
        <f>GN_Q1_HALF114182551[[#This Row],[Total FGM]]/GN_Q1_HALF114182551[[#This Row],[Total FGA]]</f>
        <v>0.5</v>
      </c>
      <c r="E36" s="98">
        <v>1</v>
      </c>
      <c r="F36" s="19">
        <v>2</v>
      </c>
      <c r="G36" s="91">
        <f>GN_Q1_HALF114182551[[#This Row],[2PT FGM]]/GN_Q1_HALF114182551[[#This Row],[2PT FGA]]</f>
        <v>0.5</v>
      </c>
      <c r="H36" s="19">
        <v>1</v>
      </c>
      <c r="I36" s="19">
        <v>2</v>
      </c>
      <c r="J36" s="91">
        <f>GN_Q1_HALF114182551[[#This Row],[3PT FGM]]/GN_Q1_HALF114182551[[#This Row],[3PT FGA]]</f>
        <v>0.5</v>
      </c>
      <c r="K36" s="19">
        <v>0</v>
      </c>
      <c r="L36" s="19">
        <v>0</v>
      </c>
      <c r="M36" s="99" t="e">
        <f>GN_Q1_HALF114182551[[#This Row],[FTM]]/GN_Q1_HALF114182551[[#This Row],[FTA]]</f>
        <v>#DIV/0!</v>
      </c>
      <c r="N36" s="19">
        <f>SUM(GN_Q1_HALF114182551[[#This Row],[2PT FGM]]*2,GN_Q1_HALF114182551[[#This Row],[3PT FGM]]*3,GN_Q1_HALF114182551[[#This Row],[FTM]])</f>
        <v>5</v>
      </c>
      <c r="O36" s="19">
        <v>0</v>
      </c>
      <c r="P36" s="19">
        <v>3</v>
      </c>
      <c r="Q36" s="19">
        <v>1</v>
      </c>
      <c r="R36" s="19">
        <f>GN_Q1_HALF114182551[[#This Row],[Off. Boards]]+GN_Q1_HALF114182551[[#This Row],[Def. Boards]]</f>
        <v>4</v>
      </c>
      <c r="S36" s="19">
        <v>2</v>
      </c>
      <c r="T36" s="19">
        <v>0</v>
      </c>
      <c r="U36" s="19">
        <v>0</v>
      </c>
      <c r="V36" s="19">
        <v>2</v>
      </c>
      <c r="W36" s="92">
        <f>GN_Q1_HALF114182551[[#This Row],[Dimes]]/GN_Q1_HALF114182551[[#This Row],[Turnovers]]</f>
        <v>1</v>
      </c>
    </row>
    <row r="37" spans="1:23" x14ac:dyDescent="0.2">
      <c r="A37" t="s">
        <v>100</v>
      </c>
      <c r="B37" s="90">
        <f>GN_Q1_HALF114182551[[#This Row],[2PT FGM]]+GN_Q1_HALF114182551[[#This Row],[3PT FGM]]</f>
        <v>3</v>
      </c>
      <c r="C37" s="90">
        <f>GN_Q1_HALF114182551[[#This Row],[2PT FGA]]+GN_Q1_HALF114182551[[#This Row],[3PT FGA]]</f>
        <v>5</v>
      </c>
      <c r="D37" s="91">
        <f>GN_Q1_HALF114182551[[#This Row],[Total FGM]]/GN_Q1_HALF114182551[[#This Row],[Total FGA]]</f>
        <v>0.6</v>
      </c>
      <c r="E37" s="98">
        <v>1</v>
      </c>
      <c r="F37" s="19">
        <v>1</v>
      </c>
      <c r="G37" s="91">
        <f>GN_Q1_HALF114182551[[#This Row],[2PT FGM]]/GN_Q1_HALF114182551[[#This Row],[2PT FGA]]</f>
        <v>1</v>
      </c>
      <c r="H37" s="19">
        <v>2</v>
      </c>
      <c r="I37" s="19">
        <v>4</v>
      </c>
      <c r="J37" s="91">
        <f>GN_Q1_HALF114182551[[#This Row],[3PT FGM]]/GN_Q1_HALF114182551[[#This Row],[3PT FGA]]</f>
        <v>0.5</v>
      </c>
      <c r="K37" s="19">
        <v>0</v>
      </c>
      <c r="L37" s="19">
        <v>0</v>
      </c>
      <c r="M37" s="99" t="e">
        <f>GN_Q1_HALF114182551[[#This Row],[FTM]]/GN_Q1_HALF114182551[[#This Row],[FTA]]</f>
        <v>#DIV/0!</v>
      </c>
      <c r="N37" s="19">
        <f>SUM(GN_Q1_HALF114182551[[#This Row],[2PT FGM]]*2,GN_Q1_HALF114182551[[#This Row],[3PT FGM]]*3,GN_Q1_HALF114182551[[#This Row],[FTM]])</f>
        <v>8</v>
      </c>
      <c r="O37" s="19">
        <v>0</v>
      </c>
      <c r="P37" s="19">
        <v>0</v>
      </c>
      <c r="Q37" s="19">
        <v>0</v>
      </c>
      <c r="R37" s="19">
        <f>GN_Q1_HALF114182551[[#This Row],[Off. Boards]]+GN_Q1_HALF114182551[[#This Row],[Def. Boards]]</f>
        <v>0</v>
      </c>
      <c r="S37" s="19">
        <v>3</v>
      </c>
      <c r="T37" s="19">
        <v>1</v>
      </c>
      <c r="U37" s="19">
        <v>1</v>
      </c>
      <c r="V37" s="19">
        <v>1</v>
      </c>
      <c r="W37" s="92">
        <f>GN_Q1_HALF114182551[[#This Row],[Dimes]]/GN_Q1_HALF114182551[[#This Row],[Turnovers]]</f>
        <v>3</v>
      </c>
    </row>
    <row r="38" spans="1:23" x14ac:dyDescent="0.2">
      <c r="A38" t="s">
        <v>98</v>
      </c>
      <c r="B38" s="90">
        <f>GN_Q1_HALF114182551[[#This Row],[2PT FGM]]+GN_Q1_HALF114182551[[#This Row],[3PT FGM]]</f>
        <v>2</v>
      </c>
      <c r="C38" s="90">
        <f>GN_Q1_HALF114182551[[#This Row],[2PT FGA]]+GN_Q1_HALF114182551[[#This Row],[3PT FGA]]</f>
        <v>4</v>
      </c>
      <c r="D38" s="91">
        <f>GN_Q1_HALF114182551[[#This Row],[Total FGM]]/GN_Q1_HALF114182551[[#This Row],[Total FGA]]</f>
        <v>0.5</v>
      </c>
      <c r="E38" s="98">
        <v>2</v>
      </c>
      <c r="F38" s="19">
        <v>4</v>
      </c>
      <c r="G38" s="91">
        <f>GN_Q1_HALF114182551[[#This Row],[2PT FGM]]/GN_Q1_HALF114182551[[#This Row],[2PT FGA]]</f>
        <v>0.5</v>
      </c>
      <c r="H38" s="19">
        <v>0</v>
      </c>
      <c r="I38" s="19">
        <v>0</v>
      </c>
      <c r="J38" s="91" t="e">
        <f>GN_Q1_HALF114182551[[#This Row],[3PT FGM]]/GN_Q1_HALF114182551[[#This Row],[3PT FGA]]</f>
        <v>#DIV/0!</v>
      </c>
      <c r="K38" s="19">
        <v>0</v>
      </c>
      <c r="L38" s="19">
        <v>0</v>
      </c>
      <c r="M38" s="99" t="e">
        <f>GN_Q1_HALF114182551[[#This Row],[FTM]]/GN_Q1_HALF114182551[[#This Row],[FTA]]</f>
        <v>#DIV/0!</v>
      </c>
      <c r="N38" s="19">
        <f>SUM(GN_Q1_HALF114182551[[#This Row],[2PT FGM]]*2,GN_Q1_HALF114182551[[#This Row],[3PT FGM]]*3,GN_Q1_HALF114182551[[#This Row],[FTM]])</f>
        <v>4</v>
      </c>
      <c r="O38" s="19">
        <v>0</v>
      </c>
      <c r="P38" s="19">
        <v>1</v>
      </c>
      <c r="Q38" s="19">
        <v>1</v>
      </c>
      <c r="R38" s="19">
        <f>GN_Q1_HALF114182551[[#This Row],[Off. Boards]]+GN_Q1_HALF114182551[[#This Row],[Def. Boards]]</f>
        <v>2</v>
      </c>
      <c r="S38" s="19">
        <v>0</v>
      </c>
      <c r="T38" s="19">
        <v>1</v>
      </c>
      <c r="U38" s="19">
        <v>0</v>
      </c>
      <c r="V38" s="19">
        <v>2</v>
      </c>
      <c r="W38" s="92">
        <f>GN_Q1_HALF114182551[[#This Row],[Dimes]]/GN_Q1_HALF114182551[[#This Row],[Turnovers]]</f>
        <v>0</v>
      </c>
    </row>
    <row r="39" spans="1:23" ht="16" thickBot="1" x14ac:dyDescent="0.25">
      <c r="A39" s="82" t="s">
        <v>76</v>
      </c>
      <c r="B39" s="100">
        <f>SUM(B34:B38)</f>
        <v>10</v>
      </c>
      <c r="C39" s="100">
        <f>SUM(C34:C38)</f>
        <v>16</v>
      </c>
      <c r="D39" s="101">
        <f>GN_Q1_HALF114182551[[#This Row],[Total FGM]]/GN_Q1_HALF114182551[[#This Row],[Total FGA]]</f>
        <v>0.625</v>
      </c>
      <c r="E39" s="102">
        <f>SUM(E34:E38)</f>
        <v>7</v>
      </c>
      <c r="F39" s="103">
        <f>SUM(F34:F38)</f>
        <v>10</v>
      </c>
      <c r="G39" s="104">
        <f>GN_Q1_HALF114182551[[#This Row],[2PT FGM]]/GN_Q1_HALF114182551[[#This Row],[2PT FGA]]</f>
        <v>0.7</v>
      </c>
      <c r="H39" s="103">
        <f>SUM(H34:H38)</f>
        <v>3</v>
      </c>
      <c r="I39" s="103">
        <f>SUM(I34:I38)</f>
        <v>6</v>
      </c>
      <c r="J39" s="109">
        <f>GN_Q1_HALF114182551[[#This Row],[3PT FGM]]/GN_Q1_HALF114182551[[#This Row],[3PT FGA]]</f>
        <v>0.5</v>
      </c>
      <c r="K39" s="103">
        <f>SUM(K34:K38)</f>
        <v>0</v>
      </c>
      <c r="L39" s="103">
        <f>SUM(L34:L38)</f>
        <v>0</v>
      </c>
      <c r="M39" s="105" t="e">
        <f>GN_Q1_HALF114182551[[#This Row],[FTM]]/GN_Q1_HALF114182551[[#This Row],[FTA]]</f>
        <v>#DIV/0!</v>
      </c>
      <c r="N39" s="62">
        <f>SUM(GN_Q1_HALF114182551[[#This Row],[2PT FGM]]*2,GN_Q1_HALF114182551[[#This Row],[3PT FGM]]*3,GN_Q1_HALF114182551[[#This Row],[FTM]])</f>
        <v>23</v>
      </c>
      <c r="O39" s="100">
        <f>SUM(O34:O38)</f>
        <v>2</v>
      </c>
      <c r="P39" s="100">
        <f>SUM(P34:P38)</f>
        <v>7</v>
      </c>
      <c r="Q39" s="100">
        <f>SUM(Q34:Q38)</f>
        <v>3</v>
      </c>
      <c r="R39" s="106">
        <f>GN_Q1_HALF114182551[[#This Row],[Def. Boards]]+GN_Q1_HALF114182551[[#This Row],[Off. Boards]]</f>
        <v>10</v>
      </c>
      <c r="S39" s="100">
        <f>SUM(S34:S38)</f>
        <v>5</v>
      </c>
      <c r="T39" s="100">
        <f>SUM(T34:T38)</f>
        <v>2</v>
      </c>
      <c r="U39" s="100">
        <f>SUM(U34:U38)</f>
        <v>1</v>
      </c>
      <c r="V39" s="100">
        <f>SUM(V34:V38)</f>
        <v>6</v>
      </c>
      <c r="W39" s="107">
        <f>GN_Q1_HALF114182551[[#This Row],[Dimes]]/GN_Q1_HALF114182551[[#This Row],[Turnovers]]</f>
        <v>0.83333333333333337</v>
      </c>
    </row>
    <row r="41" spans="1:23" ht="16" thickBot="1" x14ac:dyDescent="0.25">
      <c r="A41" s="221" t="s">
        <v>147</v>
      </c>
      <c r="B41" s="222"/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</row>
    <row r="42" spans="1:23" ht="32" x14ac:dyDescent="0.2">
      <c r="A42" s="166" t="s">
        <v>208</v>
      </c>
      <c r="B42" s="11" t="s">
        <v>0</v>
      </c>
      <c r="C42" s="11" t="s">
        <v>1</v>
      </c>
      <c r="D42" s="11" t="s">
        <v>2</v>
      </c>
      <c r="E42" s="95" t="s">
        <v>3</v>
      </c>
      <c r="F42" s="96" t="s">
        <v>4</v>
      </c>
      <c r="G42" s="96" t="s">
        <v>5</v>
      </c>
      <c r="H42" s="96" t="s">
        <v>6</v>
      </c>
      <c r="I42" s="96" t="s">
        <v>7</v>
      </c>
      <c r="J42" s="96" t="s">
        <v>8</v>
      </c>
      <c r="K42" s="96" t="s">
        <v>9</v>
      </c>
      <c r="L42" s="96" t="s">
        <v>10</v>
      </c>
      <c r="M42" s="97" t="s">
        <v>11</v>
      </c>
      <c r="N42" s="11" t="s">
        <v>12</v>
      </c>
      <c r="O42" s="10" t="s">
        <v>13</v>
      </c>
      <c r="P42" s="11" t="s">
        <v>14</v>
      </c>
      <c r="Q42" s="11" t="s">
        <v>15</v>
      </c>
      <c r="R42" s="11" t="s">
        <v>16</v>
      </c>
      <c r="S42" s="10" t="s">
        <v>17</v>
      </c>
      <c r="T42" s="10" t="s">
        <v>18</v>
      </c>
      <c r="U42" s="10" t="s">
        <v>19</v>
      </c>
      <c r="V42" s="10" t="s">
        <v>20</v>
      </c>
      <c r="W42" s="10" t="s">
        <v>21</v>
      </c>
    </row>
    <row r="43" spans="1:23" x14ac:dyDescent="0.2">
      <c r="A43" s="13" t="s">
        <v>96</v>
      </c>
      <c r="B43" s="90">
        <f>LITI_Q1_HALF113193252[[#This Row],[2PT FGM]]+LITI_Q1_HALF113193252[[#This Row],[3PT FGM]]</f>
        <v>3</v>
      </c>
      <c r="C43" s="90">
        <f>LITI_Q1_HALF113193252[[#This Row],[2PT FGA]]+LITI_Q1_HALF113193252[[#This Row],[3PT FGA]]</f>
        <v>8</v>
      </c>
      <c r="D43" s="91">
        <f>LITI_Q1_HALF113193252[[#This Row],[Total FGM]]/LITI_Q1_HALF113193252[[#This Row],[Total FGA]]</f>
        <v>0.375</v>
      </c>
      <c r="E43" s="98">
        <v>1</v>
      </c>
      <c r="F43" s="19">
        <v>3</v>
      </c>
      <c r="G43" s="91">
        <f>LITI_Q1_HALF113193252[[#This Row],[2PT FGM]]/LITI_Q1_HALF113193252[[#This Row],[2PT FGA]]</f>
        <v>0.33333333333333331</v>
      </c>
      <c r="H43" s="19">
        <v>2</v>
      </c>
      <c r="I43" s="19">
        <v>5</v>
      </c>
      <c r="J43" s="91">
        <f>LITI_Q1_HALF113193252[[#This Row],[3PT FGM]]/LITI_Q1_HALF113193252[[#This Row],[3PT FGA]]</f>
        <v>0.4</v>
      </c>
      <c r="K43" s="19">
        <v>0</v>
      </c>
      <c r="L43" s="19">
        <v>0</v>
      </c>
      <c r="M43" s="99" t="e">
        <f>LITI_Q1_HALF113193252[[#This Row],[FTM]]/LITI_Q1_HALF113193252[[#This Row],[FTA]]</f>
        <v>#DIV/0!</v>
      </c>
      <c r="N43" s="19">
        <f>SUM(LITI_Q1_HALF113193252[[#This Row],[2PT FGM]]*2,LITI_Q1_HALF113193252[[#This Row],[3PT FGM]]*3,LITI_Q1_HALF113193252[[#This Row],[FTM]])</f>
        <v>8</v>
      </c>
      <c r="O43" s="19">
        <v>0</v>
      </c>
      <c r="P43" s="19">
        <v>3</v>
      </c>
      <c r="Q43" s="19">
        <v>0</v>
      </c>
      <c r="R43" s="19">
        <f>LITI_Q1_HALF113193252[[#This Row],[Off. Boards]]+LITI_Q1_HALF113193252[[#This Row],[Def. Boards]]</f>
        <v>3</v>
      </c>
      <c r="S43" s="19">
        <v>2</v>
      </c>
      <c r="T43" s="19">
        <v>0</v>
      </c>
      <c r="U43" s="19">
        <v>1</v>
      </c>
      <c r="V43" s="19">
        <v>0</v>
      </c>
      <c r="W43" s="92" t="e">
        <f>LITI_Q1_HALF113193252[[#This Row],[Dimes]]/LITI_Q1_HALF113193252[[#This Row],[Turnovers]]</f>
        <v>#DIV/0!</v>
      </c>
    </row>
    <row r="44" spans="1:23" x14ac:dyDescent="0.2">
      <c r="A44" s="13" t="s">
        <v>207</v>
      </c>
      <c r="B44" s="90">
        <f>LITI_Q1_HALF113193252[[#This Row],[2PT FGM]]+LITI_Q1_HALF113193252[[#This Row],[3PT FGM]]</f>
        <v>0</v>
      </c>
      <c r="C44" s="90">
        <f>LITI_Q1_HALF113193252[[#This Row],[2PT FGA]]+LITI_Q1_HALF113193252[[#This Row],[3PT FGA]]</f>
        <v>3</v>
      </c>
      <c r="D44" s="91">
        <f>LITI_Q1_HALF113193252[[#This Row],[Total FGM]]/LITI_Q1_HALF113193252[[#This Row],[Total FGA]]</f>
        <v>0</v>
      </c>
      <c r="E44" s="98">
        <v>0</v>
      </c>
      <c r="F44" s="19">
        <v>0</v>
      </c>
      <c r="G44" s="91" t="e">
        <f>LITI_Q1_HALF113193252[[#This Row],[2PT FGM]]/LITI_Q1_HALF113193252[[#This Row],[2PT FGA]]</f>
        <v>#DIV/0!</v>
      </c>
      <c r="H44" s="19">
        <v>0</v>
      </c>
      <c r="I44" s="19">
        <v>3</v>
      </c>
      <c r="J44" s="91">
        <f>LITI_Q1_HALF113193252[[#This Row],[3PT FGM]]/LITI_Q1_HALF113193252[[#This Row],[3PT FGA]]</f>
        <v>0</v>
      </c>
      <c r="K44" s="19">
        <v>0</v>
      </c>
      <c r="L44" s="19">
        <v>0</v>
      </c>
      <c r="M44" s="99" t="e">
        <f>LITI_Q1_HALF113193252[[#This Row],[FTM]]/LITI_Q1_HALF113193252[[#This Row],[FTA]]</f>
        <v>#DIV/0!</v>
      </c>
      <c r="N44" s="19">
        <f>SUM(LITI_Q1_HALF113193252[[#This Row],[2PT FGM]]*2,LITI_Q1_HALF113193252[[#This Row],[3PT FGM]]*3,LITI_Q1_HALF113193252[[#This Row],[FTM]])</f>
        <v>0</v>
      </c>
      <c r="O44" s="19">
        <v>0</v>
      </c>
      <c r="P44" s="19">
        <v>0</v>
      </c>
      <c r="Q44" s="19">
        <v>2</v>
      </c>
      <c r="R44" s="19">
        <f>LITI_Q1_HALF113193252[[#This Row],[Off. Boards]]+LITI_Q1_HALF113193252[[#This Row],[Def. Boards]]</f>
        <v>2</v>
      </c>
      <c r="S44" s="19">
        <v>0</v>
      </c>
      <c r="T44" s="19">
        <v>0</v>
      </c>
      <c r="U44" s="19">
        <v>0</v>
      </c>
      <c r="V44" s="19">
        <v>0</v>
      </c>
      <c r="W44" s="92" t="e">
        <f>LITI_Q1_HALF113193252[[#This Row],[Dimes]]/LITI_Q1_HALF113193252[[#This Row],[Turnovers]]</f>
        <v>#DIV/0!</v>
      </c>
    </row>
    <row r="45" spans="1:23" x14ac:dyDescent="0.2">
      <c r="A45" s="13" t="s">
        <v>88</v>
      </c>
      <c r="B45" s="90">
        <f>LITI_Q1_HALF113193252[[#This Row],[2PT FGM]]+LITI_Q1_HALF113193252[[#This Row],[3PT FGM]]</f>
        <v>1</v>
      </c>
      <c r="C45" s="90">
        <f>LITI_Q1_HALF113193252[[#This Row],[2PT FGA]]+LITI_Q1_HALF113193252[[#This Row],[3PT FGA]]</f>
        <v>4</v>
      </c>
      <c r="D45" s="91">
        <f>LITI_Q1_HALF113193252[[#This Row],[Total FGM]]/LITI_Q1_HALF113193252[[#This Row],[Total FGA]]</f>
        <v>0.25</v>
      </c>
      <c r="E45" s="98">
        <v>1</v>
      </c>
      <c r="F45" s="19">
        <v>2</v>
      </c>
      <c r="G45" s="91">
        <f>LITI_Q1_HALF113193252[[#This Row],[2PT FGM]]/LITI_Q1_HALF113193252[[#This Row],[2PT FGA]]</f>
        <v>0.5</v>
      </c>
      <c r="H45" s="19">
        <v>0</v>
      </c>
      <c r="I45" s="19">
        <v>2</v>
      </c>
      <c r="J45" s="91">
        <f>LITI_Q1_HALF113193252[[#This Row],[3PT FGM]]/LITI_Q1_HALF113193252[[#This Row],[3PT FGA]]</f>
        <v>0</v>
      </c>
      <c r="K45" s="19">
        <v>0</v>
      </c>
      <c r="L45" s="19">
        <v>0</v>
      </c>
      <c r="M45" s="99" t="e">
        <f>LITI_Q1_HALF113193252[[#This Row],[FTM]]/LITI_Q1_HALF113193252[[#This Row],[FTA]]</f>
        <v>#DIV/0!</v>
      </c>
      <c r="N45" s="19">
        <f>SUM(LITI_Q1_HALF113193252[[#This Row],[2PT FGM]]*2,LITI_Q1_HALF113193252[[#This Row],[3PT FGM]]*3,LITI_Q1_HALF113193252[[#This Row],[FTM]])</f>
        <v>2</v>
      </c>
      <c r="O45" s="19">
        <v>0</v>
      </c>
      <c r="P45" s="19">
        <v>1</v>
      </c>
      <c r="Q45" s="19">
        <v>1</v>
      </c>
      <c r="R45" s="19">
        <f>LITI_Q1_HALF113193252[[#This Row],[Off. Boards]]+LITI_Q1_HALF113193252[[#This Row],[Def. Boards]]</f>
        <v>2</v>
      </c>
      <c r="S45" s="19">
        <v>1</v>
      </c>
      <c r="T45" s="19">
        <v>2</v>
      </c>
      <c r="U45" s="19">
        <v>0</v>
      </c>
      <c r="V45" s="19">
        <v>1</v>
      </c>
      <c r="W45" s="92">
        <f>LITI_Q1_HALF113193252[[#This Row],[Dimes]]/LITI_Q1_HALF113193252[[#This Row],[Turnovers]]</f>
        <v>1</v>
      </c>
    </row>
    <row r="46" spans="1:23" hidden="1" x14ac:dyDescent="0.2">
      <c r="A46" s="13" t="s">
        <v>98</v>
      </c>
      <c r="B46" s="90">
        <f>LITI_Q1_HALF113193252[[#This Row],[2PT FGM]]+LITI_Q1_HALF113193252[[#This Row],[3PT FGM]]</f>
        <v>0</v>
      </c>
      <c r="C46" s="90">
        <f>LITI_Q1_HALF113193252[[#This Row],[2PT FGA]]+LITI_Q1_HALF113193252[[#This Row],[3PT FGA]]</f>
        <v>0</v>
      </c>
      <c r="D46" s="91" t="e">
        <f>LITI_Q1_HALF113193252[[#This Row],[Total FGM]]/LITI_Q1_HALF113193252[[#This Row],[Total FGA]]</f>
        <v>#DIV/0!</v>
      </c>
      <c r="E46" s="98"/>
      <c r="F46" s="19"/>
      <c r="G46" s="91" t="e">
        <f>LITI_Q1_HALF113193252[[#This Row],[2PT FGM]]/LITI_Q1_HALF113193252[[#This Row],[2PT FGA]]</f>
        <v>#DIV/0!</v>
      </c>
      <c r="H46" s="19"/>
      <c r="I46" s="19"/>
      <c r="J46" s="91" t="e">
        <f>LITI_Q1_HALF113193252[[#This Row],[3PT FGM]]/LITI_Q1_HALF113193252[[#This Row],[3PT FGA]]</f>
        <v>#DIV/0!</v>
      </c>
      <c r="K46" s="19"/>
      <c r="L46" s="19"/>
      <c r="M46" s="99" t="e">
        <f>LITI_Q1_HALF113193252[[#This Row],[FTM]]/LITI_Q1_HALF113193252[[#This Row],[FTA]]</f>
        <v>#DIV/0!</v>
      </c>
      <c r="N46" s="19">
        <f>SUM(LITI_Q1_HALF113193252[[#This Row],[2PT FGM]]*2,LITI_Q1_HALF113193252[[#This Row],[3PT FGM]]*3,LITI_Q1_HALF113193252[[#This Row],[FTM]])</f>
        <v>0</v>
      </c>
      <c r="O46" s="19"/>
      <c r="P46" s="19"/>
      <c r="Q46" s="19"/>
      <c r="R46" s="19">
        <f>LITI_Q1_HALF113193252[[#This Row],[Off. Boards]]+LITI_Q1_HALF113193252[[#This Row],[Def. Boards]]</f>
        <v>0</v>
      </c>
      <c r="S46" s="19"/>
      <c r="T46" s="19"/>
      <c r="U46" s="19"/>
      <c r="V46" s="19"/>
      <c r="W46" s="92" t="e">
        <f>LITI_Q1_HALF113193252[[#This Row],[Dimes]]/LITI_Q1_HALF113193252[[#This Row],[Turnovers]]</f>
        <v>#DIV/0!</v>
      </c>
    </row>
    <row r="47" spans="1:23" x14ac:dyDescent="0.2">
      <c r="A47" s="13" t="s">
        <v>83</v>
      </c>
      <c r="B47" s="90">
        <f>LITI_Q1_HALF113193252[[#This Row],[2PT FGM]]+LITI_Q1_HALF113193252[[#This Row],[3PT FGM]]</f>
        <v>1</v>
      </c>
      <c r="C47" s="90">
        <f>LITI_Q1_HALF113193252[[#This Row],[2PT FGA]]+LITI_Q1_HALF113193252[[#This Row],[3PT FGA]]</f>
        <v>6</v>
      </c>
      <c r="D47" s="91">
        <f>LITI_Q1_HALF113193252[[#This Row],[Total FGM]]/LITI_Q1_HALF113193252[[#This Row],[Total FGA]]</f>
        <v>0.16666666666666666</v>
      </c>
      <c r="E47" s="98">
        <v>0</v>
      </c>
      <c r="F47" s="19">
        <v>0</v>
      </c>
      <c r="G47" s="91" t="e">
        <f>LITI_Q1_HALF113193252[[#This Row],[2PT FGM]]/LITI_Q1_HALF113193252[[#This Row],[2PT FGA]]</f>
        <v>#DIV/0!</v>
      </c>
      <c r="H47" s="19">
        <v>1</v>
      </c>
      <c r="I47" s="19">
        <v>6</v>
      </c>
      <c r="J47" s="91">
        <f>LITI_Q1_HALF113193252[[#This Row],[3PT FGM]]/LITI_Q1_HALF113193252[[#This Row],[3PT FGA]]</f>
        <v>0.16666666666666666</v>
      </c>
      <c r="K47" s="19">
        <v>0</v>
      </c>
      <c r="L47" s="19">
        <v>0</v>
      </c>
      <c r="M47" s="99" t="e">
        <f>LITI_Q1_HALF113193252[[#This Row],[FTM]]/LITI_Q1_HALF113193252[[#This Row],[FTA]]</f>
        <v>#DIV/0!</v>
      </c>
      <c r="N47" s="19">
        <f>SUM(LITI_Q1_HALF113193252[[#This Row],[2PT FGM]]*2,LITI_Q1_HALF113193252[[#This Row],[3PT FGM]]*3,LITI_Q1_HALF113193252[[#This Row],[FTM]])</f>
        <v>3</v>
      </c>
      <c r="O47" s="19">
        <v>0</v>
      </c>
      <c r="P47" s="19">
        <v>1</v>
      </c>
      <c r="Q47" s="19">
        <v>0</v>
      </c>
      <c r="R47" s="19">
        <f>LITI_Q1_HALF113193252[[#This Row],[Off. Boards]]+LITI_Q1_HALF113193252[[#This Row],[Def. Boards]]</f>
        <v>1</v>
      </c>
      <c r="S47" s="19">
        <v>1</v>
      </c>
      <c r="T47" s="19">
        <v>0</v>
      </c>
      <c r="U47" s="19">
        <v>1</v>
      </c>
      <c r="V47" s="19">
        <v>0</v>
      </c>
      <c r="W47" s="92" t="e">
        <f>LITI_Q1_HALF113193252[[#This Row],[Dimes]]/LITI_Q1_HALF113193252[[#This Row],[Turnovers]]</f>
        <v>#DIV/0!</v>
      </c>
    </row>
    <row r="48" spans="1:23" ht="16" thickBot="1" x14ac:dyDescent="0.25">
      <c r="A48" s="82" t="s">
        <v>76</v>
      </c>
      <c r="B48" s="100">
        <f>SUM(B43:B47)</f>
        <v>5</v>
      </c>
      <c r="C48" s="100">
        <f>SUM(C43:C47)</f>
        <v>21</v>
      </c>
      <c r="D48" s="101">
        <f>LITI_Q1_HALF113193252[[#This Row],[Total FGM]]/LITI_Q1_HALF113193252[[#This Row],[Total FGA]]</f>
        <v>0.23809523809523808</v>
      </c>
      <c r="E48" s="102">
        <f>SUM(E43:E47)</f>
        <v>2</v>
      </c>
      <c r="F48" s="103">
        <f>SUM(F43:F47)</f>
        <v>5</v>
      </c>
      <c r="G48" s="108">
        <f>LITI_Q1_HALF113193252[[#This Row],[2PT FGM]]/LITI_Q1_HALF113193252[[#This Row],[2PT FGA]]</f>
        <v>0.4</v>
      </c>
      <c r="H48" s="103">
        <f>SUM(H43:H47)</f>
        <v>3</v>
      </c>
      <c r="I48" s="103">
        <f>SUM(I43:I47)</f>
        <v>16</v>
      </c>
      <c r="J48" s="104">
        <f>LITI_Q1_HALF113193252[[#This Row],[3PT FGM]]/LITI_Q1_HALF113193252[[#This Row],[3PT FGA]]</f>
        <v>0.1875</v>
      </c>
      <c r="K48" s="103">
        <f>SUM(K43:K47)</f>
        <v>0</v>
      </c>
      <c r="L48" s="103">
        <f>SUM(L43:L47)</f>
        <v>0</v>
      </c>
      <c r="M48" s="105" t="e">
        <f>LITI_Q1_HALF113193252[[#This Row],[FTM]]/LITI_Q1_HALF113193252[[#This Row],[FTA]]</f>
        <v>#DIV/0!</v>
      </c>
      <c r="N48" s="62">
        <f>SUM(LITI_Q1_HALF113193252[[#This Row],[2PT FGM]]*2,LITI_Q1_HALF113193252[[#This Row],[3PT FGM]]*3,LITI_Q1_HALF113193252[[#This Row],[FTM]])</f>
        <v>13</v>
      </c>
      <c r="O48" s="106">
        <f>SUM(O43:O47)</f>
        <v>0</v>
      </c>
      <c r="P48" s="106">
        <f t="shared" ref="P48:V48" si="2">SUM(P43:P47)</f>
        <v>5</v>
      </c>
      <c r="Q48" s="106">
        <f t="shared" si="2"/>
        <v>3</v>
      </c>
      <c r="R48" s="106">
        <f t="shared" si="2"/>
        <v>8</v>
      </c>
      <c r="S48" s="106">
        <f t="shared" si="2"/>
        <v>4</v>
      </c>
      <c r="T48" s="106">
        <f t="shared" si="2"/>
        <v>2</v>
      </c>
      <c r="U48" s="106">
        <f t="shared" si="2"/>
        <v>2</v>
      </c>
      <c r="V48" s="106">
        <f t="shared" si="2"/>
        <v>1</v>
      </c>
      <c r="W48" s="107">
        <f>LITI_Q1_HALF113193252[[#This Row],[Dimes]]/LITI_Q1_HALF113193252[[#This Row],[Turnovers]]</f>
        <v>4</v>
      </c>
    </row>
    <row r="50" spans="1:23" ht="16" thickBot="1" x14ac:dyDescent="0.25">
      <c r="A50" s="223" t="s">
        <v>147</v>
      </c>
      <c r="B50" s="224"/>
      <c r="C50" s="224"/>
      <c r="D50" s="224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</row>
    <row r="51" spans="1:23" ht="32" x14ac:dyDescent="0.2">
      <c r="A51" s="166" t="s">
        <v>209</v>
      </c>
      <c r="B51" s="11" t="s">
        <v>0</v>
      </c>
      <c r="C51" s="11" t="s">
        <v>1</v>
      </c>
      <c r="D51" s="11" t="s">
        <v>2</v>
      </c>
      <c r="E51" s="95" t="s">
        <v>3</v>
      </c>
      <c r="F51" s="96" t="s">
        <v>4</v>
      </c>
      <c r="G51" s="96" t="s">
        <v>5</v>
      </c>
      <c r="H51" s="96" t="s">
        <v>6</v>
      </c>
      <c r="I51" s="96" t="s">
        <v>7</v>
      </c>
      <c r="J51" s="96" t="s">
        <v>8</v>
      </c>
      <c r="K51" s="96" t="s">
        <v>9</v>
      </c>
      <c r="L51" s="96" t="s">
        <v>10</v>
      </c>
      <c r="M51" s="97" t="s">
        <v>11</v>
      </c>
      <c r="N51" s="11" t="s">
        <v>12</v>
      </c>
      <c r="O51" s="10" t="s">
        <v>13</v>
      </c>
      <c r="P51" s="11" t="s">
        <v>14</v>
      </c>
      <c r="Q51" s="11" t="s">
        <v>15</v>
      </c>
      <c r="R51" s="11" t="s">
        <v>16</v>
      </c>
      <c r="S51" s="10" t="s">
        <v>17</v>
      </c>
      <c r="T51" s="10" t="s">
        <v>18</v>
      </c>
      <c r="U51" s="10" t="s">
        <v>19</v>
      </c>
      <c r="V51" s="10" t="s">
        <v>20</v>
      </c>
      <c r="W51" s="10" t="s">
        <v>21</v>
      </c>
    </row>
    <row r="52" spans="1:23" x14ac:dyDescent="0.2">
      <c r="A52" t="s">
        <v>264</v>
      </c>
      <c r="B52" s="90">
        <f>GN_Q1_HALF114203453[[#This Row],[2PT FGM]]+GN_Q1_HALF114203453[[#This Row],[3PT FGM]]</f>
        <v>0</v>
      </c>
      <c r="C52" s="90">
        <f>GN_Q1_HALF114203453[[#This Row],[2PT FGA]]+GN_Q1_HALF114203453[[#This Row],[3PT FGA]]</f>
        <v>0</v>
      </c>
      <c r="D52" s="91" t="e">
        <f>GN_Q1_HALF114203453[[#This Row],[Total FGM]]/GN_Q1_HALF114203453[[#This Row],[Total FGA]]</f>
        <v>#DIV/0!</v>
      </c>
      <c r="E52" s="98">
        <v>0</v>
      </c>
      <c r="F52" s="19">
        <v>0</v>
      </c>
      <c r="G52" s="91" t="e">
        <f>GN_Q1_HALF114203453[[#This Row],[2PT FGM]]/GN_Q1_HALF114203453[[#This Row],[2PT FGA]]</f>
        <v>#DIV/0!</v>
      </c>
      <c r="H52" s="19">
        <v>0</v>
      </c>
      <c r="I52" s="19">
        <v>0</v>
      </c>
      <c r="J52" s="91" t="e">
        <f>GN_Q1_HALF114203453[[#This Row],[3PT FGM]]/GN_Q1_HALF114203453[[#This Row],[3PT FGA]]</f>
        <v>#DIV/0!</v>
      </c>
      <c r="K52" s="19">
        <v>0</v>
      </c>
      <c r="L52" s="19">
        <v>0</v>
      </c>
      <c r="M52" s="99" t="e">
        <f>GN_Q1_HALF114203453[[#This Row],[FTM]]/GN_Q1_HALF114203453[[#This Row],[FTA]]</f>
        <v>#DIV/0!</v>
      </c>
      <c r="N52" s="19">
        <f>SUM(GN_Q1_HALF114203453[[#This Row],[2PT FGM]]*2,GN_Q1_HALF114203453[[#This Row],[3PT FGM]]*3,GN_Q1_HALF114203453[[#This Row],[FTM]])</f>
        <v>0</v>
      </c>
      <c r="O52" s="19">
        <v>0</v>
      </c>
      <c r="P52" s="19">
        <v>0</v>
      </c>
      <c r="Q52" s="19">
        <v>0</v>
      </c>
      <c r="R52" s="19">
        <f>GN_Q1_HALF114203453[[#This Row],[Off. Boards]]+GN_Q1_HALF114203453[[#This Row],[Def. Boards]]</f>
        <v>0</v>
      </c>
      <c r="S52" s="19">
        <v>0</v>
      </c>
      <c r="T52" s="19">
        <v>0</v>
      </c>
      <c r="U52" s="19">
        <v>0</v>
      </c>
      <c r="V52" s="19">
        <v>0</v>
      </c>
      <c r="W52" s="92" t="e">
        <f>GN_Q1_HALF114203453[[#This Row],[Dimes]]/GN_Q1_HALF114203453[[#This Row],[Turnovers]]</f>
        <v>#DIV/0!</v>
      </c>
    </row>
    <row r="53" spans="1:23" x14ac:dyDescent="0.2">
      <c r="A53" t="s">
        <v>135</v>
      </c>
      <c r="B53" s="90">
        <f>GN_Q1_HALF114203453[[#This Row],[2PT FGM]]+GN_Q1_HALF114203453[[#This Row],[3PT FGM]]</f>
        <v>5</v>
      </c>
      <c r="C53" s="90">
        <f>GN_Q1_HALF114203453[[#This Row],[2PT FGA]]+GN_Q1_HALF114203453[[#This Row],[3PT FGA]]</f>
        <v>8</v>
      </c>
      <c r="D53" s="91">
        <f>GN_Q1_HALF114203453[[#This Row],[Total FGM]]/GN_Q1_HALF114203453[[#This Row],[Total FGA]]</f>
        <v>0.625</v>
      </c>
      <c r="E53" s="98">
        <v>5</v>
      </c>
      <c r="F53" s="19">
        <v>8</v>
      </c>
      <c r="G53" s="91">
        <f>GN_Q1_HALF114203453[[#This Row],[2PT FGM]]/GN_Q1_HALF114203453[[#This Row],[2PT FGA]]</f>
        <v>0.625</v>
      </c>
      <c r="H53" s="19">
        <v>0</v>
      </c>
      <c r="I53" s="19">
        <v>0</v>
      </c>
      <c r="J53" s="91" t="e">
        <f>GN_Q1_HALF114203453[[#This Row],[3PT FGM]]/GN_Q1_HALF114203453[[#This Row],[3PT FGA]]</f>
        <v>#DIV/0!</v>
      </c>
      <c r="K53" s="19">
        <v>0</v>
      </c>
      <c r="L53" s="19">
        <v>0</v>
      </c>
      <c r="M53" s="99" t="e">
        <f>GN_Q1_HALF114203453[[#This Row],[FTM]]/GN_Q1_HALF114203453[[#This Row],[FTA]]</f>
        <v>#DIV/0!</v>
      </c>
      <c r="N53" s="19">
        <f>SUM(GN_Q1_HALF114203453[[#This Row],[2PT FGM]]*2,GN_Q1_HALF114203453[[#This Row],[3PT FGM]]*3,GN_Q1_HALF114203453[[#This Row],[FTM]])</f>
        <v>10</v>
      </c>
      <c r="O53" s="19">
        <v>5</v>
      </c>
      <c r="P53" s="19">
        <v>5</v>
      </c>
      <c r="Q53" s="19">
        <v>4</v>
      </c>
      <c r="R53" s="19">
        <f>GN_Q1_HALF114203453[[#This Row],[Off. Boards]]+GN_Q1_HALF114203453[[#This Row],[Def. Boards]]</f>
        <v>9</v>
      </c>
      <c r="S53" s="19">
        <v>0</v>
      </c>
      <c r="T53" s="19">
        <v>1</v>
      </c>
      <c r="U53" s="19">
        <v>0</v>
      </c>
      <c r="V53" s="19">
        <v>0</v>
      </c>
      <c r="W53" s="92" t="e">
        <f>GN_Q1_HALF114203453[[#This Row],[Dimes]]/GN_Q1_HALF114203453[[#This Row],[Turnovers]]</f>
        <v>#DIV/0!</v>
      </c>
    </row>
    <row r="54" spans="1:23" x14ac:dyDescent="0.2">
      <c r="A54" t="s">
        <v>103</v>
      </c>
      <c r="B54" s="90">
        <f>GN_Q1_HALF114203453[[#This Row],[2PT FGM]]+GN_Q1_HALF114203453[[#This Row],[3PT FGM]]</f>
        <v>1</v>
      </c>
      <c r="C54" s="90">
        <f>GN_Q1_HALF114203453[[#This Row],[2PT FGA]]+GN_Q1_HALF114203453[[#This Row],[3PT FGA]]</f>
        <v>4</v>
      </c>
      <c r="D54" s="91">
        <f>GN_Q1_HALF114203453[[#This Row],[Total FGM]]/GN_Q1_HALF114203453[[#This Row],[Total FGA]]</f>
        <v>0.25</v>
      </c>
      <c r="E54" s="98">
        <v>1</v>
      </c>
      <c r="F54" s="19">
        <v>1</v>
      </c>
      <c r="G54" s="91">
        <f>GN_Q1_HALF114203453[[#This Row],[2PT FGM]]/GN_Q1_HALF114203453[[#This Row],[2PT FGA]]</f>
        <v>1</v>
      </c>
      <c r="H54" s="19">
        <v>0</v>
      </c>
      <c r="I54" s="19">
        <v>3</v>
      </c>
      <c r="J54" s="91">
        <f>GN_Q1_HALF114203453[[#This Row],[3PT FGM]]/GN_Q1_HALF114203453[[#This Row],[3PT FGA]]</f>
        <v>0</v>
      </c>
      <c r="K54" s="19">
        <v>0</v>
      </c>
      <c r="L54" s="19">
        <v>0</v>
      </c>
      <c r="M54" s="99" t="e">
        <f>GN_Q1_HALF114203453[[#This Row],[FTM]]/GN_Q1_HALF114203453[[#This Row],[FTA]]</f>
        <v>#DIV/0!</v>
      </c>
      <c r="N54" s="19">
        <f>SUM(GN_Q1_HALF114203453[[#This Row],[2PT FGM]]*2,GN_Q1_HALF114203453[[#This Row],[3PT FGM]]*3,GN_Q1_HALF114203453[[#This Row],[FTM]])</f>
        <v>2</v>
      </c>
      <c r="O54" s="19">
        <v>0</v>
      </c>
      <c r="P54" s="19">
        <v>2</v>
      </c>
      <c r="Q54" s="19">
        <v>0</v>
      </c>
      <c r="R54" s="19">
        <f>GN_Q1_HALF114203453[[#This Row],[Off. Boards]]+GN_Q1_HALF114203453[[#This Row],[Def. Boards]]</f>
        <v>2</v>
      </c>
      <c r="S54" s="19">
        <v>4</v>
      </c>
      <c r="T54" s="19">
        <v>0</v>
      </c>
      <c r="U54" s="19">
        <v>0</v>
      </c>
      <c r="V54" s="19">
        <v>4</v>
      </c>
      <c r="W54" s="92">
        <f>GN_Q1_HALF114203453[[#This Row],[Dimes]]/GN_Q1_HALF114203453[[#This Row],[Turnovers]]</f>
        <v>1</v>
      </c>
    </row>
    <row r="55" spans="1:23" x14ac:dyDescent="0.2">
      <c r="A55" t="s">
        <v>100</v>
      </c>
      <c r="B55" s="90">
        <f>GN_Q1_HALF114203453[[#This Row],[2PT FGM]]+GN_Q1_HALF114203453[[#This Row],[3PT FGM]]</f>
        <v>1</v>
      </c>
      <c r="C55" s="90">
        <f>GN_Q1_HALF114203453[[#This Row],[2PT FGA]]+GN_Q1_HALF114203453[[#This Row],[3PT FGA]]</f>
        <v>5</v>
      </c>
      <c r="D55" s="91">
        <f>GN_Q1_HALF114203453[[#This Row],[Total FGM]]/GN_Q1_HALF114203453[[#This Row],[Total FGA]]</f>
        <v>0.2</v>
      </c>
      <c r="E55" s="98">
        <v>0</v>
      </c>
      <c r="F55" s="19">
        <v>2</v>
      </c>
      <c r="G55" s="91">
        <f>GN_Q1_HALF114203453[[#This Row],[2PT FGM]]/GN_Q1_HALF114203453[[#This Row],[2PT FGA]]</f>
        <v>0</v>
      </c>
      <c r="H55" s="19">
        <v>1</v>
      </c>
      <c r="I55" s="19">
        <v>3</v>
      </c>
      <c r="J55" s="91">
        <f>GN_Q1_HALF114203453[[#This Row],[3PT FGM]]/GN_Q1_HALF114203453[[#This Row],[3PT FGA]]</f>
        <v>0.33333333333333331</v>
      </c>
      <c r="K55" s="19">
        <v>0</v>
      </c>
      <c r="L55" s="19">
        <v>0</v>
      </c>
      <c r="M55" s="99" t="e">
        <f>GN_Q1_HALF114203453[[#This Row],[FTM]]/GN_Q1_HALF114203453[[#This Row],[FTA]]</f>
        <v>#DIV/0!</v>
      </c>
      <c r="N55" s="19">
        <f>SUM(GN_Q1_HALF114203453[[#This Row],[2PT FGM]]*2,GN_Q1_HALF114203453[[#This Row],[3PT FGM]]*3,GN_Q1_HALF114203453[[#This Row],[FTM]])</f>
        <v>3</v>
      </c>
      <c r="O55" s="19">
        <v>0</v>
      </c>
      <c r="P55" s="19">
        <v>2</v>
      </c>
      <c r="Q55" s="19">
        <v>0</v>
      </c>
      <c r="R55" s="19">
        <f>GN_Q1_HALF114203453[[#This Row],[Off. Boards]]+GN_Q1_HALF114203453[[#This Row],[Def. Boards]]</f>
        <v>2</v>
      </c>
      <c r="S55" s="19">
        <v>2</v>
      </c>
      <c r="T55" s="19">
        <v>0</v>
      </c>
      <c r="U55" s="19">
        <v>1</v>
      </c>
      <c r="V55" s="19">
        <v>0</v>
      </c>
      <c r="W55" s="92" t="e">
        <f>GN_Q1_HALF114203453[[#This Row],[Dimes]]/GN_Q1_HALF114203453[[#This Row],[Turnovers]]</f>
        <v>#DIV/0!</v>
      </c>
    </row>
    <row r="56" spans="1:23" x14ac:dyDescent="0.2">
      <c r="A56" t="s">
        <v>98</v>
      </c>
      <c r="B56" s="90">
        <f>GN_Q1_HALF114203453[[#This Row],[2PT FGM]]+GN_Q1_HALF114203453[[#This Row],[3PT FGM]]</f>
        <v>2</v>
      </c>
      <c r="C56" s="90">
        <f>GN_Q1_HALF114203453[[#This Row],[2PT FGA]]+GN_Q1_HALF114203453[[#This Row],[3PT FGA]]</f>
        <v>3</v>
      </c>
      <c r="D56" s="91">
        <f>GN_Q1_HALF114203453[[#This Row],[Total FGM]]/GN_Q1_HALF114203453[[#This Row],[Total FGA]]</f>
        <v>0.66666666666666663</v>
      </c>
      <c r="E56" s="98">
        <v>1</v>
      </c>
      <c r="F56" s="19">
        <v>1</v>
      </c>
      <c r="G56" s="91">
        <f>GN_Q1_HALF114203453[[#This Row],[2PT FGM]]/GN_Q1_HALF114203453[[#This Row],[2PT FGA]]</f>
        <v>1</v>
      </c>
      <c r="H56" s="19">
        <v>1</v>
      </c>
      <c r="I56" s="19">
        <v>2</v>
      </c>
      <c r="J56" s="91">
        <f>GN_Q1_HALF114203453[[#This Row],[3PT FGM]]/GN_Q1_HALF114203453[[#This Row],[3PT FGA]]</f>
        <v>0.5</v>
      </c>
      <c r="K56" s="19">
        <v>0</v>
      </c>
      <c r="L56" s="19">
        <v>0</v>
      </c>
      <c r="M56" s="99" t="e">
        <f>GN_Q1_HALF114203453[[#This Row],[FTM]]/GN_Q1_HALF114203453[[#This Row],[FTA]]</f>
        <v>#DIV/0!</v>
      </c>
      <c r="N56" s="19">
        <f>SUM(GN_Q1_HALF114203453[[#This Row],[2PT FGM]]*2,GN_Q1_HALF114203453[[#This Row],[3PT FGM]]*3,GN_Q1_HALF114203453[[#This Row],[FTM]])</f>
        <v>5</v>
      </c>
      <c r="O56" s="19">
        <v>0</v>
      </c>
      <c r="P56" s="19">
        <v>0</v>
      </c>
      <c r="Q56" s="19">
        <v>2</v>
      </c>
      <c r="R56" s="19">
        <f>GN_Q1_HALF114203453[[#This Row],[Off. Boards]]+GN_Q1_HALF114203453[[#This Row],[Def. Boards]]</f>
        <v>2</v>
      </c>
      <c r="S56" s="19">
        <v>0</v>
      </c>
      <c r="T56" s="19">
        <v>0</v>
      </c>
      <c r="U56" s="19">
        <v>0</v>
      </c>
      <c r="V56" s="19">
        <v>0</v>
      </c>
      <c r="W56" s="92" t="e">
        <f>GN_Q1_HALF114203453[[#This Row],[Dimes]]/GN_Q1_HALF114203453[[#This Row],[Turnovers]]</f>
        <v>#DIV/0!</v>
      </c>
    </row>
    <row r="57" spans="1:23" ht="16" thickBot="1" x14ac:dyDescent="0.25">
      <c r="A57" s="82" t="s">
        <v>76</v>
      </c>
      <c r="B57" s="100">
        <f>SUM(B52:B56)</f>
        <v>9</v>
      </c>
      <c r="C57" s="100">
        <f>SUM(C52:C56)</f>
        <v>20</v>
      </c>
      <c r="D57" s="101">
        <f>GN_Q1_HALF114203453[[#This Row],[Total FGM]]/GN_Q1_HALF114203453[[#This Row],[Total FGA]]</f>
        <v>0.45</v>
      </c>
      <c r="E57" s="102">
        <f>SUM(E52:E56)</f>
        <v>7</v>
      </c>
      <c r="F57" s="103">
        <f>SUM(F52:F56)</f>
        <v>12</v>
      </c>
      <c r="G57" s="104">
        <f>GN_Q1_HALF114203453[[#This Row],[2PT FGM]]/GN_Q1_HALF114203453[[#This Row],[2PT FGA]]</f>
        <v>0.58333333333333337</v>
      </c>
      <c r="H57" s="103">
        <f>SUM(H52:H56)</f>
        <v>2</v>
      </c>
      <c r="I57" s="103">
        <f>SUM(I52:I56)</f>
        <v>8</v>
      </c>
      <c r="J57" s="109">
        <f>GN_Q1_HALF114203453[[#This Row],[3PT FGM]]/GN_Q1_HALF114203453[[#This Row],[3PT FGA]]</f>
        <v>0.25</v>
      </c>
      <c r="K57" s="103">
        <f>SUM(K52:K56)</f>
        <v>0</v>
      </c>
      <c r="L57" s="103">
        <f>SUM(L52:L56)</f>
        <v>0</v>
      </c>
      <c r="M57" s="105" t="e">
        <f>GN_Q1_HALF114203453[[#This Row],[FTM]]/GN_Q1_HALF114203453[[#This Row],[FTA]]</f>
        <v>#DIV/0!</v>
      </c>
      <c r="N57" s="62">
        <f>SUM(GN_Q1_HALF114203453[[#This Row],[2PT FGM]]*2,GN_Q1_HALF114203453[[#This Row],[3PT FGM]]*3,GN_Q1_HALF114203453[[#This Row],[FTM]])</f>
        <v>20</v>
      </c>
      <c r="O57" s="100">
        <f>SUM(O52:O56)</f>
        <v>5</v>
      </c>
      <c r="P57" s="100">
        <f>SUM(P52:P56)</f>
        <v>9</v>
      </c>
      <c r="Q57" s="100">
        <f>SUM(Q52:Q56)</f>
        <v>6</v>
      </c>
      <c r="R57" s="106">
        <f>GN_Q1_HALF114203453[[#This Row],[Def. Boards]]+GN_Q1_HALF114203453[[#This Row],[Off. Boards]]</f>
        <v>15</v>
      </c>
      <c r="S57" s="100">
        <f>SUM(S52:S56)</f>
        <v>6</v>
      </c>
      <c r="T57" s="100">
        <f>SUM(T52:T56)</f>
        <v>1</v>
      </c>
      <c r="U57" s="100">
        <f>SUM(U52:U56)</f>
        <v>1</v>
      </c>
      <c r="V57" s="100">
        <f>SUM(V52:V56)</f>
        <v>4</v>
      </c>
      <c r="W57" s="107">
        <f>GN_Q1_HALF114203453[[#This Row],[Dimes]]/GN_Q1_HALF114203453[[#This Row],[Turnovers]]</f>
        <v>1.5</v>
      </c>
    </row>
  </sheetData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F23D6-1E90-4235-9031-95D1E1649B31}">
  <sheetPr>
    <tabColor theme="1"/>
  </sheetPr>
  <dimension ref="A1:Z71"/>
  <sheetViews>
    <sheetView showGridLines="0" zoomScale="85" zoomScaleNormal="85" workbookViewId="0">
      <selection activeCell="R85" sqref="R85"/>
    </sheetView>
  </sheetViews>
  <sheetFormatPr baseColWidth="10" defaultColWidth="8.83203125" defaultRowHeight="15" x14ac:dyDescent="0.2"/>
  <cols>
    <col min="1" max="1" width="18.33203125" bestFit="1" customWidth="1"/>
    <col min="2" max="2" width="21.5" customWidth="1"/>
    <col min="3" max="3" width="16.5" bestFit="1" customWidth="1"/>
    <col min="4" max="4" width="10.5" customWidth="1"/>
    <col min="5" max="5" width="13.6640625" customWidth="1"/>
    <col min="6" max="6" width="14" style="87" customWidth="1"/>
    <col min="7" max="7" width="11" customWidth="1"/>
    <col min="8" max="8" width="10.5" customWidth="1"/>
    <col min="9" max="9" width="10.6640625" style="87" customWidth="1"/>
    <col min="10" max="10" width="11" customWidth="1"/>
    <col min="11" max="11" width="10.5" customWidth="1"/>
    <col min="12" max="12" width="10.6640625" style="87" customWidth="1"/>
    <col min="15" max="15" width="9.1640625" style="87"/>
    <col min="16" max="16" width="15.6640625" customWidth="1"/>
    <col min="18" max="18" width="11.6640625" bestFit="1" customWidth="1"/>
    <col min="19" max="19" width="13" customWidth="1"/>
    <col min="20" max="20" width="14" customWidth="1"/>
    <col min="21" max="21" width="11.6640625" bestFit="1" customWidth="1"/>
    <col min="22" max="22" width="10.1640625" customWidth="1"/>
    <col min="23" max="23" width="10.6640625" bestFit="1" customWidth="1"/>
    <col min="24" max="24" width="12" customWidth="1"/>
    <col min="25" max="25" width="11.6640625" style="87" customWidth="1"/>
  </cols>
  <sheetData>
    <row r="1" spans="1:26" x14ac:dyDescent="0.2">
      <c r="A1" t="s">
        <v>152</v>
      </c>
      <c r="G1" s="87"/>
    </row>
    <row r="2" spans="1:26" ht="16" thickBot="1" x14ac:dyDescent="0.25">
      <c r="A2" s="118" t="s">
        <v>75</v>
      </c>
      <c r="B2" s="118"/>
      <c r="C2" s="118"/>
      <c r="D2" s="118"/>
      <c r="E2" s="118"/>
      <c r="F2" s="119"/>
      <c r="G2" s="118"/>
      <c r="H2" s="118"/>
      <c r="I2" s="119"/>
      <c r="J2" s="118"/>
      <c r="K2" s="118"/>
      <c r="L2" s="119"/>
      <c r="M2" s="118"/>
      <c r="N2" s="118"/>
      <c r="O2" s="119"/>
      <c r="P2" s="118"/>
      <c r="Q2" s="118"/>
      <c r="R2" s="118"/>
      <c r="S2" s="118"/>
      <c r="T2" s="118"/>
      <c r="U2" s="118"/>
      <c r="V2" s="118"/>
      <c r="W2" s="118"/>
      <c r="X2" s="118"/>
      <c r="Y2" s="119"/>
      <c r="Z2" s="118"/>
    </row>
    <row r="3" spans="1:26" ht="30" customHeight="1" x14ac:dyDescent="0.2">
      <c r="A3" s="55" t="s">
        <v>25</v>
      </c>
      <c r="B3" s="55" t="s">
        <v>22</v>
      </c>
      <c r="C3" s="55" t="s">
        <v>23</v>
      </c>
      <c r="D3" s="55" t="s">
        <v>138</v>
      </c>
      <c r="E3" s="54" t="s">
        <v>0</v>
      </c>
      <c r="F3" s="54" t="s">
        <v>1</v>
      </c>
      <c r="G3" s="88" t="s">
        <v>2</v>
      </c>
      <c r="H3" s="110" t="s">
        <v>3</v>
      </c>
      <c r="I3" s="111" t="s">
        <v>4</v>
      </c>
      <c r="J3" s="112" t="s">
        <v>5</v>
      </c>
      <c r="K3" s="111" t="s">
        <v>6</v>
      </c>
      <c r="L3" s="111" t="s">
        <v>7</v>
      </c>
      <c r="M3" s="112" t="s">
        <v>8</v>
      </c>
      <c r="N3" s="111" t="s">
        <v>9</v>
      </c>
      <c r="O3" s="111" t="s">
        <v>10</v>
      </c>
      <c r="P3" s="113" t="s">
        <v>11</v>
      </c>
      <c r="Q3" s="54" t="s">
        <v>12</v>
      </c>
      <c r="R3" s="54" t="s">
        <v>13</v>
      </c>
      <c r="S3" s="54" t="s">
        <v>14</v>
      </c>
      <c r="T3" s="54" t="s">
        <v>15</v>
      </c>
      <c r="U3" s="54" t="s">
        <v>16</v>
      </c>
      <c r="V3" s="54" t="s">
        <v>17</v>
      </c>
      <c r="W3" s="54" t="s">
        <v>18</v>
      </c>
      <c r="X3" s="54" t="s">
        <v>19</v>
      </c>
      <c r="Y3" s="54" t="s">
        <v>20</v>
      </c>
      <c r="Z3" s="88" t="s">
        <v>21</v>
      </c>
    </row>
    <row r="4" spans="1:26" x14ac:dyDescent="0.2">
      <c r="A4" s="14" t="s">
        <v>35</v>
      </c>
      <c r="B4" t="s">
        <v>98</v>
      </c>
      <c r="C4" t="s">
        <v>208</v>
      </c>
      <c r="D4" s="86">
        <f>SUMIF(RR_TOT[Baller],Overall_TOT[[#This Row],[Baller]],RR_TOT[Games Played])+SUMIF(PO_TOT[Baller],Overall_TOT[[#This Row],[Baller]],PO_TOT[Games Played])</f>
        <v>0</v>
      </c>
      <c r="E4" s="74">
        <f>SUMIF(RR_TOT[Baller],Overall_TOT[[#This Row],[Baller]],RR_TOT[Total FGM])+SUMIF(PO_TOT[Baller],Overall_TOT[[#This Row],[Baller]],PO_TOT[Total FGM])</f>
        <v>0</v>
      </c>
      <c r="F4" s="74">
        <f>SUMIF(RR_TOT[Baller],Overall_TOT[[#This Row],[Baller]],RR_TOT[Total FGA])+SUMIF(PO_TOT[Baller],Overall_TOT[[#This Row],[Baller]],PO_TOT[Total FGA])</f>
        <v>0</v>
      </c>
      <c r="G4" s="203" t="e">
        <f>Overall_TOT[[#This Row],[Total FGM]]/Overall_TOT[[#This Row],[Total FGA]]</f>
        <v>#DIV/0!</v>
      </c>
      <c r="H4" s="98">
        <f>SUMIF(RR_TOT[Baller],Overall_TOT[[#This Row],[Baller]],RR_TOT[2PT FGM])+SUMIF(PO_TOT[Baller],Overall_TOT[[#This Row],[Baller]],PO_TOT[2PT FGM])</f>
        <v>0</v>
      </c>
      <c r="I4" s="19">
        <f>SUMIF(RR_TOT[Baller],Overall_TOT[[#This Row],[Baller]],RR_TOT[2PT FGA])+SUMIF(PO_TOT[Baller],Overall_TOT[[#This Row],[Baller]],PO_TOT[2PT FGA])</f>
        <v>0</v>
      </c>
      <c r="J4" s="91" t="e">
        <f>Overall_TOT[[#This Row],[2PT FGM]]/Overall_TOT[[#This Row],[2PT FGA]]</f>
        <v>#DIV/0!</v>
      </c>
      <c r="K4" s="19">
        <f>SUMIF(RR_TOT[Baller],Overall_TOT[[#This Row],[Baller]],RR_TOT[3PT FGM])+SUMIF(PO_TOT[Baller],Overall_TOT[[#This Row],[Baller]],PO_TOT[3PT FGM])</f>
        <v>0</v>
      </c>
      <c r="L4" s="19">
        <f>SUMIF(RR_TOT[Baller],Overall_TOT[[#This Row],[Baller]],RR_TOT[3PT FGA])+SUMIF(PO_TOT[Baller],Overall_TOT[[#This Row],[Baller]],PO_TOT[3PT FGA])</f>
        <v>0</v>
      </c>
      <c r="M4" s="91" t="e">
        <f>Overall_TOT[[#This Row],[3PT FGM]]/Overall_TOT[[#This Row],[3PT FGA]]</f>
        <v>#DIV/0!</v>
      </c>
      <c r="N4" s="19">
        <f>SUMIF(RR_TOT[Baller],Overall_TOT[[#This Row],[Baller]],RR_TOT[FTM])+SUMIF(PO_TOT[Baller],Overall_TOT[[#This Row],[Baller]],PO_TOT[FTM])</f>
        <v>0</v>
      </c>
      <c r="O4" s="19">
        <f>SUMIF(RR_TOT[Baller],Overall_TOT[[#This Row],[Baller]],RR_TOT[FTA])+SUMIF(PO_TOT[Baller],Overall_TOT[[#This Row],[Baller]],PO_TOT[FTA])</f>
        <v>0</v>
      </c>
      <c r="P4" s="99" t="e">
        <f>Overall_TOT[[#This Row],[FTM]]/Overall_TOT[[#This Row],[FTA]]</f>
        <v>#DIV/0!</v>
      </c>
      <c r="Q4" s="74">
        <f>SUMIF(RR_TOT[Baller],Overall_TOT[[#This Row],[Baller]],RR_TOT[TOTAL POINTS])+SUMIF(PO_TOT[Baller],Overall_TOT[[#This Row],[Baller]],PO_TOT[TOTAL POINTS])</f>
        <v>0</v>
      </c>
      <c r="R4" s="74">
        <f>SUMIF(RR_TOT[Baller],Overall_TOT[[#This Row],[Baller]],RR_TOT[Dunks])+SUMIF(PO_TOT[Baller],Overall_TOT[[#This Row],[Baller]],PO_TOT[Dunks])</f>
        <v>0</v>
      </c>
      <c r="S4" s="74">
        <f>SUMIF(RR_TOT[Baller],Overall_TOT[[#This Row],[Baller]],RR_TOT[Def. Boards])+SUMIF(PO_TOT[Baller],Overall_TOT[[#This Row],[Baller]],PO_TOT[Def. Boards])</f>
        <v>0</v>
      </c>
      <c r="T4" s="74">
        <f>SUMIF(RR_TOT[Baller],Overall_TOT[[#This Row],[Baller]],RR_TOT[Off. Boards])+SUMIF(PO_TOT[Baller],Overall_TOT[[#This Row],[Baller]],PO_TOT[Off. Boards])</f>
        <v>0</v>
      </c>
      <c r="U4" s="74">
        <f>SUMIF(RR_TOT[Baller],Overall_TOT[[#This Row],[Baller]],RR_TOT[Total Boards])+SUMIF(PO_TOT[Baller],Overall_TOT[[#This Row],[Baller]],PO_TOT[Total Boards])</f>
        <v>0</v>
      </c>
      <c r="V4" s="74">
        <f>SUMIF(RR_TOT[Baller],Overall_TOT[[#This Row],[Baller]],RR_TOT[Dimes])+SUMIF(PO_TOT[Baller],Overall_TOT[[#This Row],[Baller]],PO_TOT[Dimes])</f>
        <v>0</v>
      </c>
      <c r="W4" s="74">
        <f>SUMIF(RR_TOT[Baller],Overall_TOT[[#This Row],[Baller]],RR_TOT[Cookies])+SUMIF(PO_TOT[Baller],Overall_TOT[[#This Row],[Baller]],PO_TOT[Cookies])</f>
        <v>0</v>
      </c>
      <c r="X4" s="74">
        <f>SUMIF(RR_TOT[Baller],Overall_TOT[[#This Row],[Baller]],RR_TOT[Swats])+SUMIF(PO_TOT[Baller],Overall_TOT[[#This Row],[Baller]],PO_TOT[Swats])</f>
        <v>0</v>
      </c>
      <c r="Y4" s="74">
        <f>SUMIF(RR_TOT[Baller],Overall_TOT[[#This Row],[Baller]],RR_TOT[Turnovers])+SUMIF(PO_TOT[Baller],Overall_TOT[[#This Row],[Baller]],PO_TOT[Turnovers])</f>
        <v>0</v>
      </c>
      <c r="Z4" s="204" t="e">
        <f>Overall_TOT[[#This Row],[Dimes]]/Overall_TOT[[#This Row],[Turnovers]]</f>
        <v>#DIV/0!</v>
      </c>
    </row>
    <row r="5" spans="1:26" x14ac:dyDescent="0.2">
      <c r="A5" s="14" t="s">
        <v>36</v>
      </c>
      <c r="B5" t="s">
        <v>88</v>
      </c>
      <c r="C5" t="s">
        <v>208</v>
      </c>
      <c r="D5" s="86">
        <f>SUMIF(RR_TOT[Baller],Overall_TOT[[#This Row],[Baller]],RR_TOT[Games Played])+SUMIF(PO_TOT[Baller],Overall_TOT[[#This Row],[Baller]],PO_TOT[Games Played])</f>
        <v>5</v>
      </c>
      <c r="E5" s="74">
        <f>SUMIF(RR_TOT[Baller],Overall_TOT[[#This Row],[Baller]],RR_TOT[Total FGM])+SUMIF(PO_TOT[Baller],Overall_TOT[[#This Row],[Baller]],PO_TOT[Total FGM])</f>
        <v>13</v>
      </c>
      <c r="F5" s="74">
        <f>SUMIF(RR_TOT[Baller],Overall_TOT[[#This Row],[Baller]],RR_TOT[Total FGA])+SUMIF(PO_TOT[Baller],Overall_TOT[[#This Row],[Baller]],PO_TOT[Total FGA])</f>
        <v>52</v>
      </c>
      <c r="G5" s="203">
        <f>Overall_TOT[[#This Row],[Total FGM]]/Overall_TOT[[#This Row],[Total FGA]]</f>
        <v>0.25</v>
      </c>
      <c r="H5" s="98">
        <f>SUMIF(RR_TOT[Baller],Overall_TOT[[#This Row],[Baller]],RR_TOT[2PT FGM])+SUMIF(PO_TOT[Baller],Overall_TOT[[#This Row],[Baller]],PO_TOT[2PT FGM])</f>
        <v>11</v>
      </c>
      <c r="I5" s="19">
        <f>SUMIF(RR_TOT[Baller],Overall_TOT[[#This Row],[Baller]],RR_TOT[2PT FGA])+SUMIF(PO_TOT[Baller],Overall_TOT[[#This Row],[Baller]],PO_TOT[2PT FGA])</f>
        <v>30</v>
      </c>
      <c r="J5" s="91">
        <f>Overall_TOT[[#This Row],[2PT FGM]]/Overall_TOT[[#This Row],[2PT FGA]]</f>
        <v>0.36666666666666664</v>
      </c>
      <c r="K5" s="19">
        <f>SUMIF(RR_TOT[Baller],Overall_TOT[[#This Row],[Baller]],RR_TOT[3PT FGM])+SUMIF(PO_TOT[Baller],Overall_TOT[[#This Row],[Baller]],PO_TOT[3PT FGM])</f>
        <v>2</v>
      </c>
      <c r="L5" s="19">
        <f>SUMIF(RR_TOT[Baller],Overall_TOT[[#This Row],[Baller]],RR_TOT[3PT FGA])+SUMIF(PO_TOT[Baller],Overall_TOT[[#This Row],[Baller]],PO_TOT[3PT FGA])</f>
        <v>22</v>
      </c>
      <c r="M5" s="91">
        <f>Overall_TOT[[#This Row],[3PT FGM]]/Overall_TOT[[#This Row],[3PT FGA]]</f>
        <v>9.0909090909090912E-2</v>
      </c>
      <c r="N5" s="19">
        <f>SUMIF(RR_TOT[Baller],Overall_TOT[[#This Row],[Baller]],RR_TOT[FTM])+SUMIF(PO_TOT[Baller],Overall_TOT[[#This Row],[Baller]],PO_TOT[FTM])</f>
        <v>0</v>
      </c>
      <c r="O5" s="19">
        <f>SUMIF(RR_TOT[Baller],Overall_TOT[[#This Row],[Baller]],RR_TOT[FTA])+SUMIF(PO_TOT[Baller],Overall_TOT[[#This Row],[Baller]],PO_TOT[FTA])</f>
        <v>0</v>
      </c>
      <c r="P5" s="99" t="e">
        <f>Overall_TOT[[#This Row],[FTM]]/Overall_TOT[[#This Row],[FTA]]</f>
        <v>#DIV/0!</v>
      </c>
      <c r="Q5" s="74">
        <f>SUMIF(RR_TOT[Baller],Overall_TOT[[#This Row],[Baller]],RR_TOT[TOTAL POINTS])+SUMIF(PO_TOT[Baller],Overall_TOT[[#This Row],[Baller]],PO_TOT[TOTAL POINTS])</f>
        <v>28</v>
      </c>
      <c r="R5" s="74">
        <f>SUMIF(RR_TOT[Baller],Overall_TOT[[#This Row],[Baller]],RR_TOT[Dunks])+SUMIF(PO_TOT[Baller],Overall_TOT[[#This Row],[Baller]],PO_TOT[Dunks])</f>
        <v>0</v>
      </c>
      <c r="S5" s="74">
        <f>SUMIF(RR_TOT[Baller],Overall_TOT[[#This Row],[Baller]],RR_TOT[Def. Boards])+SUMIF(PO_TOT[Baller],Overall_TOT[[#This Row],[Baller]],PO_TOT[Def. Boards])</f>
        <v>17</v>
      </c>
      <c r="T5" s="74">
        <f>SUMIF(RR_TOT[Baller],Overall_TOT[[#This Row],[Baller]],RR_TOT[Off. Boards])+SUMIF(PO_TOT[Baller],Overall_TOT[[#This Row],[Baller]],PO_TOT[Off. Boards])</f>
        <v>9</v>
      </c>
      <c r="U5" s="74">
        <f>SUMIF(RR_TOT[Baller],Overall_TOT[[#This Row],[Baller]],RR_TOT[Total Boards])+SUMIF(PO_TOT[Baller],Overall_TOT[[#This Row],[Baller]],PO_TOT[Total Boards])</f>
        <v>26</v>
      </c>
      <c r="V5" s="74">
        <f>SUMIF(RR_TOT[Baller],Overall_TOT[[#This Row],[Baller]],RR_TOT[Dimes])+SUMIF(PO_TOT[Baller],Overall_TOT[[#This Row],[Baller]],PO_TOT[Dimes])</f>
        <v>21</v>
      </c>
      <c r="W5" s="74">
        <f>SUMIF(RR_TOT[Baller],Overall_TOT[[#This Row],[Baller]],RR_TOT[Cookies])+SUMIF(PO_TOT[Baller],Overall_TOT[[#This Row],[Baller]],PO_TOT[Cookies])</f>
        <v>10</v>
      </c>
      <c r="X5" s="74">
        <f>SUMIF(RR_TOT[Baller],Overall_TOT[[#This Row],[Baller]],RR_TOT[Swats])+SUMIF(PO_TOT[Baller],Overall_TOT[[#This Row],[Baller]],PO_TOT[Swats])</f>
        <v>2</v>
      </c>
      <c r="Y5" s="74">
        <f>SUMIF(RR_TOT[Baller],Overall_TOT[[#This Row],[Baller]],RR_TOT[Turnovers])+SUMIF(PO_TOT[Baller],Overall_TOT[[#This Row],[Baller]],PO_TOT[Turnovers])</f>
        <v>14</v>
      </c>
      <c r="Z5" s="204">
        <f>Overall_TOT[[#This Row],[Dimes]]/Overall_TOT[[#This Row],[Turnovers]]</f>
        <v>1.5</v>
      </c>
    </row>
    <row r="6" spans="1:26" x14ac:dyDescent="0.2">
      <c r="A6" s="14" t="s">
        <v>40</v>
      </c>
      <c r="B6" t="s">
        <v>83</v>
      </c>
      <c r="C6" t="s">
        <v>208</v>
      </c>
      <c r="D6" s="86">
        <f>SUMIF(RR_TOT[Baller],Overall_TOT[[#This Row],[Baller]],RR_TOT[Games Played])+SUMIF(PO_TOT[Baller],Overall_TOT[[#This Row],[Baller]],PO_TOT[Games Played])</f>
        <v>5</v>
      </c>
      <c r="E6" s="74">
        <f>SUMIF(RR_TOT[Baller],Overall_TOT[[#This Row],[Baller]],RR_TOT[Total FGM])+SUMIF(PO_TOT[Baller],Overall_TOT[[#This Row],[Baller]],PO_TOT[Total FGM])</f>
        <v>12</v>
      </c>
      <c r="F6" s="74">
        <f>SUMIF(RR_TOT[Baller],Overall_TOT[[#This Row],[Baller]],RR_TOT[Total FGA])+SUMIF(PO_TOT[Baller],Overall_TOT[[#This Row],[Baller]],PO_TOT[Total FGA])</f>
        <v>25</v>
      </c>
      <c r="G6" s="203">
        <f>Overall_TOT[[#This Row],[Total FGM]]/Overall_TOT[[#This Row],[Total FGA]]</f>
        <v>0.48</v>
      </c>
      <c r="H6" s="98">
        <f>SUMIF(RR_TOT[Baller],Overall_TOT[[#This Row],[Baller]],RR_TOT[2PT FGM])+SUMIF(PO_TOT[Baller],Overall_TOT[[#This Row],[Baller]],PO_TOT[2PT FGM])</f>
        <v>4</v>
      </c>
      <c r="I6" s="19">
        <f>SUMIF(RR_TOT[Baller],Overall_TOT[[#This Row],[Baller]],RR_TOT[2PT FGA])+SUMIF(PO_TOT[Baller],Overall_TOT[[#This Row],[Baller]],PO_TOT[2PT FGA])</f>
        <v>9</v>
      </c>
      <c r="J6" s="91">
        <f>Overall_TOT[[#This Row],[2PT FGM]]/Overall_TOT[[#This Row],[2PT FGA]]</f>
        <v>0.44444444444444442</v>
      </c>
      <c r="K6" s="19">
        <f>SUMIF(RR_TOT[Baller],Overall_TOT[[#This Row],[Baller]],RR_TOT[3PT FGM])+SUMIF(PO_TOT[Baller],Overall_TOT[[#This Row],[Baller]],PO_TOT[3PT FGM])</f>
        <v>8</v>
      </c>
      <c r="L6" s="19">
        <f>SUMIF(RR_TOT[Baller],Overall_TOT[[#This Row],[Baller]],RR_TOT[3PT FGA])+SUMIF(PO_TOT[Baller],Overall_TOT[[#This Row],[Baller]],PO_TOT[3PT FGA])</f>
        <v>16</v>
      </c>
      <c r="M6" s="91">
        <f>Overall_TOT[[#This Row],[3PT FGM]]/Overall_TOT[[#This Row],[3PT FGA]]</f>
        <v>0.5</v>
      </c>
      <c r="N6" s="19">
        <f>SUMIF(RR_TOT[Baller],Overall_TOT[[#This Row],[Baller]],RR_TOT[FTM])+SUMIF(PO_TOT[Baller],Overall_TOT[[#This Row],[Baller]],PO_TOT[FTM])</f>
        <v>0</v>
      </c>
      <c r="O6" s="19">
        <f>SUMIF(RR_TOT[Baller],Overall_TOT[[#This Row],[Baller]],RR_TOT[FTA])+SUMIF(PO_TOT[Baller],Overall_TOT[[#This Row],[Baller]],PO_TOT[FTA])</f>
        <v>0</v>
      </c>
      <c r="P6" s="99" t="e">
        <f>Overall_TOT[[#This Row],[FTM]]/Overall_TOT[[#This Row],[FTA]]</f>
        <v>#DIV/0!</v>
      </c>
      <c r="Q6" s="74">
        <f>SUMIF(RR_TOT[Baller],Overall_TOT[[#This Row],[Baller]],RR_TOT[TOTAL POINTS])+SUMIF(PO_TOT[Baller],Overall_TOT[[#This Row],[Baller]],PO_TOT[TOTAL POINTS])</f>
        <v>32</v>
      </c>
      <c r="R6" s="74">
        <f>SUMIF(RR_TOT[Baller],Overall_TOT[[#This Row],[Baller]],RR_TOT[Dunks])+SUMIF(PO_TOT[Baller],Overall_TOT[[#This Row],[Baller]],PO_TOT[Dunks])</f>
        <v>0</v>
      </c>
      <c r="S6" s="74">
        <f>SUMIF(RR_TOT[Baller],Overall_TOT[[#This Row],[Baller]],RR_TOT[Def. Boards])+SUMIF(PO_TOT[Baller],Overall_TOT[[#This Row],[Baller]],PO_TOT[Def. Boards])</f>
        <v>3</v>
      </c>
      <c r="T6" s="74">
        <f>SUMIF(RR_TOT[Baller],Overall_TOT[[#This Row],[Baller]],RR_TOT[Off. Boards])+SUMIF(PO_TOT[Baller],Overall_TOT[[#This Row],[Baller]],PO_TOT[Off. Boards])</f>
        <v>1</v>
      </c>
      <c r="U6" s="74">
        <f>SUMIF(RR_TOT[Baller],Overall_TOT[[#This Row],[Baller]],RR_TOT[Total Boards])+SUMIF(PO_TOT[Baller],Overall_TOT[[#This Row],[Baller]],PO_TOT[Total Boards])</f>
        <v>4</v>
      </c>
      <c r="V6" s="74">
        <f>SUMIF(RR_TOT[Baller],Overall_TOT[[#This Row],[Baller]],RR_TOT[Dimes])+SUMIF(PO_TOT[Baller],Overall_TOT[[#This Row],[Baller]],PO_TOT[Dimes])</f>
        <v>3</v>
      </c>
      <c r="W6" s="74">
        <f>SUMIF(RR_TOT[Baller],Overall_TOT[[#This Row],[Baller]],RR_TOT[Cookies])+SUMIF(PO_TOT[Baller],Overall_TOT[[#This Row],[Baller]],PO_TOT[Cookies])</f>
        <v>3</v>
      </c>
      <c r="X6" s="74">
        <f>SUMIF(RR_TOT[Baller],Overall_TOT[[#This Row],[Baller]],RR_TOT[Swats])+SUMIF(PO_TOT[Baller],Overall_TOT[[#This Row],[Baller]],PO_TOT[Swats])</f>
        <v>0</v>
      </c>
      <c r="Y6" s="74">
        <f>SUMIF(RR_TOT[Baller],Overall_TOT[[#This Row],[Baller]],RR_TOT[Turnovers])+SUMIF(PO_TOT[Baller],Overall_TOT[[#This Row],[Baller]],PO_TOT[Turnovers])</f>
        <v>2</v>
      </c>
      <c r="Z6" s="204">
        <f>Overall_TOT[[#This Row],[Dimes]]/Overall_TOT[[#This Row],[Turnovers]]</f>
        <v>1.5</v>
      </c>
    </row>
    <row r="7" spans="1:26" x14ac:dyDescent="0.2">
      <c r="A7" s="14" t="s">
        <v>30</v>
      </c>
      <c r="B7" t="s">
        <v>96</v>
      </c>
      <c r="C7" t="s">
        <v>208</v>
      </c>
      <c r="D7" s="86">
        <f>SUMIF(RR_TOT[Baller],Overall_TOT[[#This Row],[Baller]],RR_TOT[Games Played])+SUMIF(PO_TOT[Baller],Overall_TOT[[#This Row],[Baller]],PO_TOT[Games Played])</f>
        <v>5</v>
      </c>
      <c r="E7" s="74">
        <f>SUMIF(RR_TOT[Baller],Overall_TOT[[#This Row],[Baller]],RR_TOT[Total FGM])+SUMIF(PO_TOT[Baller],Overall_TOT[[#This Row],[Baller]],PO_TOT[Total FGM])</f>
        <v>18</v>
      </c>
      <c r="F7" s="74">
        <f>SUMIF(RR_TOT[Baller],Overall_TOT[[#This Row],[Baller]],RR_TOT[Total FGA])+SUMIF(PO_TOT[Baller],Overall_TOT[[#This Row],[Baller]],PO_TOT[Total FGA])</f>
        <v>49</v>
      </c>
      <c r="G7" s="203">
        <f>Overall_TOT[[#This Row],[Total FGM]]/Overall_TOT[[#This Row],[Total FGA]]</f>
        <v>0.36734693877551022</v>
      </c>
      <c r="H7" s="98">
        <f>SUMIF(RR_TOT[Baller],Overall_TOT[[#This Row],[Baller]],RR_TOT[2PT FGM])+SUMIF(PO_TOT[Baller],Overall_TOT[[#This Row],[Baller]],PO_TOT[2PT FGM])</f>
        <v>7</v>
      </c>
      <c r="I7" s="19">
        <f>SUMIF(RR_TOT[Baller],Overall_TOT[[#This Row],[Baller]],RR_TOT[2PT FGA])+SUMIF(PO_TOT[Baller],Overall_TOT[[#This Row],[Baller]],PO_TOT[2PT FGA])</f>
        <v>15</v>
      </c>
      <c r="J7" s="91">
        <f>Overall_TOT[[#This Row],[2PT FGM]]/Overall_TOT[[#This Row],[2PT FGA]]</f>
        <v>0.46666666666666667</v>
      </c>
      <c r="K7" s="19">
        <f>SUMIF(RR_TOT[Baller],Overall_TOT[[#This Row],[Baller]],RR_TOT[3PT FGM])+SUMIF(PO_TOT[Baller],Overall_TOT[[#This Row],[Baller]],PO_TOT[3PT FGM])</f>
        <v>11</v>
      </c>
      <c r="L7" s="19">
        <f>SUMIF(RR_TOT[Baller],Overall_TOT[[#This Row],[Baller]],RR_TOT[3PT FGA])+SUMIF(PO_TOT[Baller],Overall_TOT[[#This Row],[Baller]],PO_TOT[3PT FGA])</f>
        <v>34</v>
      </c>
      <c r="M7" s="91">
        <f>Overall_TOT[[#This Row],[3PT FGM]]/Overall_TOT[[#This Row],[3PT FGA]]</f>
        <v>0.3235294117647059</v>
      </c>
      <c r="N7" s="19">
        <f>SUMIF(RR_TOT[Baller],Overall_TOT[[#This Row],[Baller]],RR_TOT[FTM])+SUMIF(PO_TOT[Baller],Overall_TOT[[#This Row],[Baller]],PO_TOT[FTM])</f>
        <v>2</v>
      </c>
      <c r="O7" s="19">
        <f>SUMIF(RR_TOT[Baller],Overall_TOT[[#This Row],[Baller]],RR_TOT[FTA])+SUMIF(PO_TOT[Baller],Overall_TOT[[#This Row],[Baller]],PO_TOT[FTA])</f>
        <v>2</v>
      </c>
      <c r="P7" s="99">
        <f>Overall_TOT[[#This Row],[FTM]]/Overall_TOT[[#This Row],[FTA]]</f>
        <v>1</v>
      </c>
      <c r="Q7" s="74">
        <f>SUMIF(RR_TOT[Baller],Overall_TOT[[#This Row],[Baller]],RR_TOT[TOTAL POINTS])+SUMIF(PO_TOT[Baller],Overall_TOT[[#This Row],[Baller]],PO_TOT[TOTAL POINTS])</f>
        <v>49</v>
      </c>
      <c r="R7" s="74">
        <f>SUMIF(RR_TOT[Baller],Overall_TOT[[#This Row],[Baller]],RR_TOT[Dunks])+SUMIF(PO_TOT[Baller],Overall_TOT[[#This Row],[Baller]],PO_TOT[Dunks])</f>
        <v>2</v>
      </c>
      <c r="S7" s="74">
        <f>SUMIF(RR_TOT[Baller],Overall_TOT[[#This Row],[Baller]],RR_TOT[Def. Boards])+SUMIF(PO_TOT[Baller],Overall_TOT[[#This Row],[Baller]],PO_TOT[Def. Boards])</f>
        <v>18</v>
      </c>
      <c r="T7" s="74">
        <f>SUMIF(RR_TOT[Baller],Overall_TOT[[#This Row],[Baller]],RR_TOT[Off. Boards])+SUMIF(PO_TOT[Baller],Overall_TOT[[#This Row],[Baller]],PO_TOT[Off. Boards])</f>
        <v>7</v>
      </c>
      <c r="U7" s="74">
        <f>SUMIF(RR_TOT[Baller],Overall_TOT[[#This Row],[Baller]],RR_TOT[Total Boards])+SUMIF(PO_TOT[Baller],Overall_TOT[[#This Row],[Baller]],PO_TOT[Total Boards])</f>
        <v>25</v>
      </c>
      <c r="V7" s="74">
        <f>SUMIF(RR_TOT[Baller],Overall_TOT[[#This Row],[Baller]],RR_TOT[Dimes])+SUMIF(PO_TOT[Baller],Overall_TOT[[#This Row],[Baller]],PO_TOT[Dimes])</f>
        <v>11</v>
      </c>
      <c r="W7" s="74">
        <f>SUMIF(RR_TOT[Baller],Overall_TOT[[#This Row],[Baller]],RR_TOT[Cookies])+SUMIF(PO_TOT[Baller],Overall_TOT[[#This Row],[Baller]],PO_TOT[Cookies])</f>
        <v>6</v>
      </c>
      <c r="X7" s="74">
        <f>SUMIF(RR_TOT[Baller],Overall_TOT[[#This Row],[Baller]],RR_TOT[Swats])+SUMIF(PO_TOT[Baller],Overall_TOT[[#This Row],[Baller]],PO_TOT[Swats])</f>
        <v>2</v>
      </c>
      <c r="Y7" s="74">
        <f>SUMIF(RR_TOT[Baller],Overall_TOT[[#This Row],[Baller]],RR_TOT[Turnovers])+SUMIF(PO_TOT[Baller],Overall_TOT[[#This Row],[Baller]],PO_TOT[Turnovers])</f>
        <v>8</v>
      </c>
      <c r="Z7" s="204">
        <f>Overall_TOT[[#This Row],[Dimes]]/Overall_TOT[[#This Row],[Turnovers]]</f>
        <v>1.375</v>
      </c>
    </row>
    <row r="8" spans="1:26" x14ac:dyDescent="0.2">
      <c r="A8" s="14" t="s">
        <v>206</v>
      </c>
      <c r="B8" t="s">
        <v>207</v>
      </c>
      <c r="C8" t="s">
        <v>208</v>
      </c>
      <c r="D8" s="86">
        <f>SUMIF(RR_TOT[Baller],Overall_TOT[[#This Row],[Baller]],RR_TOT[Games Played])+SUMIF(PO_TOT[Baller],Overall_TOT[[#This Row],[Baller]],PO_TOT[Games Played])</f>
        <v>5</v>
      </c>
      <c r="E8" s="205">
        <f>SUMIF(RR_TOT[Baller],Overall_TOT[[#This Row],[Baller]],RR_TOT[Total FGM])+SUMIF(PO_TOT[Baller],Overall_TOT[[#This Row],[Baller]],PO_TOT[Total FGM])</f>
        <v>18</v>
      </c>
      <c r="F8" s="205">
        <f>SUMIF(RR_TOT[Baller],Overall_TOT[[#This Row],[Baller]],RR_TOT[Total FGA])+SUMIF(PO_TOT[Baller],Overall_TOT[[#This Row],[Baller]],PO_TOT[Total FGA])</f>
        <v>38</v>
      </c>
      <c r="G8" s="206">
        <f>Overall_TOT[[#This Row],[Total FGM]]/Overall_TOT[[#This Row],[Total FGA]]</f>
        <v>0.47368421052631576</v>
      </c>
      <c r="H8" s="207">
        <f>SUMIF(RR_TOT[Baller],Overall_TOT[[#This Row],[Baller]],RR_TOT[2PT FGM])+SUMIF(PO_TOT[Baller],Overall_TOT[[#This Row],[Baller]],PO_TOT[2PT FGM])</f>
        <v>14</v>
      </c>
      <c r="I8" s="208">
        <f>SUMIF(RR_TOT[Baller],Overall_TOT[[#This Row],[Baller]],RR_TOT[2PT FGA])+SUMIF(PO_TOT[Baller],Overall_TOT[[#This Row],[Baller]],PO_TOT[2PT FGA])</f>
        <v>22</v>
      </c>
      <c r="J8" s="209">
        <f>Overall_TOT[[#This Row],[2PT FGM]]/Overall_TOT[[#This Row],[2PT FGA]]</f>
        <v>0.63636363636363635</v>
      </c>
      <c r="K8" s="208">
        <f>SUMIF(RR_TOT[Baller],Overall_TOT[[#This Row],[Baller]],RR_TOT[3PT FGM])+SUMIF(PO_TOT[Baller],Overall_TOT[[#This Row],[Baller]],PO_TOT[3PT FGM])</f>
        <v>4</v>
      </c>
      <c r="L8" s="208">
        <f>SUMIF(RR_TOT[Baller],Overall_TOT[[#This Row],[Baller]],RR_TOT[3PT FGA])+SUMIF(PO_TOT[Baller],Overall_TOT[[#This Row],[Baller]],PO_TOT[3PT FGA])</f>
        <v>16</v>
      </c>
      <c r="M8" s="209">
        <f>Overall_TOT[[#This Row],[3PT FGM]]/Overall_TOT[[#This Row],[3PT FGA]]</f>
        <v>0.25</v>
      </c>
      <c r="N8" s="208">
        <f>SUMIF(RR_TOT[Baller],Overall_TOT[[#This Row],[Baller]],RR_TOT[FTM])+SUMIF(PO_TOT[Baller],Overall_TOT[[#This Row],[Baller]],PO_TOT[FTM])</f>
        <v>0</v>
      </c>
      <c r="O8" s="208">
        <f>SUMIF(RR_TOT[Baller],Overall_TOT[[#This Row],[Baller]],RR_TOT[FTA])+SUMIF(PO_TOT[Baller],Overall_TOT[[#This Row],[Baller]],PO_TOT[FTA])</f>
        <v>0</v>
      </c>
      <c r="P8" s="210" t="e">
        <f>Overall_TOT[[#This Row],[FTM]]/Overall_TOT[[#This Row],[FTA]]</f>
        <v>#DIV/0!</v>
      </c>
      <c r="Q8" s="205">
        <f>SUMIF(RR_TOT[Baller],Overall_TOT[[#This Row],[Baller]],RR_TOT[TOTAL POINTS])+SUMIF(PO_TOT[Baller],Overall_TOT[[#This Row],[Baller]],PO_TOT[TOTAL POINTS])</f>
        <v>40</v>
      </c>
      <c r="R8" s="205">
        <f>SUMIF(RR_TOT[Baller],Overall_TOT[[#This Row],[Baller]],RR_TOT[Dunks])+SUMIF(PO_TOT[Baller],Overall_TOT[[#This Row],[Baller]],PO_TOT[Dunks])</f>
        <v>10</v>
      </c>
      <c r="S8" s="205">
        <f>SUMIF(RR_TOT[Baller],Overall_TOT[[#This Row],[Baller]],RR_TOT[Def. Boards])+SUMIF(PO_TOT[Baller],Overall_TOT[[#This Row],[Baller]],PO_TOT[Def. Boards])</f>
        <v>12</v>
      </c>
      <c r="T8" s="205">
        <f>SUMIF(RR_TOT[Baller],Overall_TOT[[#This Row],[Baller]],RR_TOT[Off. Boards])+SUMIF(PO_TOT[Baller],Overall_TOT[[#This Row],[Baller]],PO_TOT[Off. Boards])</f>
        <v>9</v>
      </c>
      <c r="U8" s="205">
        <f>SUMIF(RR_TOT[Baller],Overall_TOT[[#This Row],[Baller]],RR_TOT[Total Boards])+SUMIF(PO_TOT[Baller],Overall_TOT[[#This Row],[Baller]],PO_TOT[Total Boards])</f>
        <v>21</v>
      </c>
      <c r="V8" s="205">
        <f>SUMIF(RR_TOT[Baller],Overall_TOT[[#This Row],[Baller]],RR_TOT[Dimes])+SUMIF(PO_TOT[Baller],Overall_TOT[[#This Row],[Baller]],PO_TOT[Dimes])</f>
        <v>3</v>
      </c>
      <c r="W8" s="205">
        <f>SUMIF(RR_TOT[Baller],Overall_TOT[[#This Row],[Baller]],RR_TOT[Cookies])+SUMIF(PO_TOT[Baller],Overall_TOT[[#This Row],[Baller]],PO_TOT[Cookies])</f>
        <v>2</v>
      </c>
      <c r="X8" s="205">
        <f>SUMIF(RR_TOT[Baller],Overall_TOT[[#This Row],[Baller]],RR_TOT[Swats])+SUMIF(PO_TOT[Baller],Overall_TOT[[#This Row],[Baller]],PO_TOT[Swats])</f>
        <v>1</v>
      </c>
      <c r="Y8" s="205">
        <f>SUMIF(RR_TOT[Baller],Overall_TOT[[#This Row],[Baller]],RR_TOT[Turnovers])+SUMIF(PO_TOT[Baller],Overall_TOT[[#This Row],[Baller]],PO_TOT[Turnovers])</f>
        <v>5</v>
      </c>
      <c r="Z8" s="206">
        <f>Overall_TOT[[#This Row],[Dimes]]/Overall_TOT[[#This Row],[Turnovers]]</f>
        <v>0.6</v>
      </c>
    </row>
    <row r="9" spans="1:26" hidden="1" x14ac:dyDescent="0.2">
      <c r="A9" s="14" t="s">
        <v>44</v>
      </c>
      <c r="B9" t="s">
        <v>80</v>
      </c>
      <c r="C9" t="s">
        <v>132</v>
      </c>
      <c r="D9" s="86">
        <f>SUMIF(RR_TOT[Baller],Overall_TOT[[#This Row],[Baller]],RR_TOT[Games Played])+SUMIF(PO_TOT[Baller],Overall_TOT[[#This Row],[Baller]],PO_TOT[Games Played])</f>
        <v>0</v>
      </c>
      <c r="E9" s="74">
        <f>SUMIF(RR_TOT[Baller],Overall_TOT[[#This Row],[Baller]],RR_TOT[Total FGM])+SUMIF(PO_TOT[Baller],Overall_TOT[[#This Row],[Baller]],PO_TOT[Total FGM])</f>
        <v>0</v>
      </c>
      <c r="F9" s="74">
        <f>SUMIF(RR_TOT[Baller],Overall_TOT[[#This Row],[Baller]],RR_TOT[Total FGA])+SUMIF(PO_TOT[Baller],Overall_TOT[[#This Row],[Baller]],PO_TOT[Total FGA])</f>
        <v>0</v>
      </c>
      <c r="G9" s="203" t="e">
        <f>Overall_TOT[[#This Row],[Total FGM]]/Overall_TOT[[#This Row],[Total FGA]]</f>
        <v>#DIV/0!</v>
      </c>
      <c r="H9" s="98">
        <f>SUMIF(RR_TOT[Baller],Overall_TOT[[#This Row],[Baller]],RR_TOT[2PT FGM])+SUMIF(PO_TOT[Baller],Overall_TOT[[#This Row],[Baller]],PO_TOT[2PT FGM])</f>
        <v>0</v>
      </c>
      <c r="I9" s="19">
        <f>SUMIF(RR_TOT[Baller],Overall_TOT[[#This Row],[Baller]],RR_TOT[2PT FGA])+SUMIF(PO_TOT[Baller],Overall_TOT[[#This Row],[Baller]],PO_TOT[2PT FGA])</f>
        <v>0</v>
      </c>
      <c r="J9" s="91" t="e">
        <f>Overall_TOT[[#This Row],[2PT FGM]]/Overall_TOT[[#This Row],[2PT FGA]]</f>
        <v>#DIV/0!</v>
      </c>
      <c r="K9" s="19">
        <f>SUMIF(RR_TOT[Baller],Overall_TOT[[#This Row],[Baller]],RR_TOT[3PT FGM])+SUMIF(PO_TOT[Baller],Overall_TOT[[#This Row],[Baller]],PO_TOT[3PT FGM])</f>
        <v>0</v>
      </c>
      <c r="L9" s="19">
        <f>SUMIF(RR_TOT[Baller],Overall_TOT[[#This Row],[Baller]],RR_TOT[3PT FGA])+SUMIF(PO_TOT[Baller],Overall_TOT[[#This Row],[Baller]],PO_TOT[3PT FGA])</f>
        <v>0</v>
      </c>
      <c r="M9" s="209" t="e">
        <f>Overall_TOT[[#This Row],[3PT FGM]]/Overall_TOT[[#This Row],[3PT FGA]]</f>
        <v>#DIV/0!</v>
      </c>
      <c r="N9" s="19">
        <f>SUMIF(RR_TOT[Baller],Overall_TOT[[#This Row],[Baller]],RR_TOT[FTM])+SUMIF(PO_TOT[Baller],Overall_TOT[[#This Row],[Baller]],PO_TOT[FTM])</f>
        <v>0</v>
      </c>
      <c r="O9" s="19">
        <f>SUMIF(RR_TOT[Baller],Overall_TOT[[#This Row],[Baller]],RR_TOT[FTA])+SUMIF(PO_TOT[Baller],Overall_TOT[[#This Row],[Baller]],PO_TOT[FTA])</f>
        <v>0</v>
      </c>
      <c r="P9" s="99" t="e">
        <f>Overall_TOT[[#This Row],[FTM]]/Overall_TOT[[#This Row],[FTA]]</f>
        <v>#DIV/0!</v>
      </c>
      <c r="Q9" s="74">
        <f>SUMIF(RR_TOT[Baller],Overall_TOT[[#This Row],[Baller]],RR_TOT[TOTAL POINTS])+SUMIF(PO_TOT[Baller],Overall_TOT[[#This Row],[Baller]],PO_TOT[TOTAL POINTS])</f>
        <v>0</v>
      </c>
      <c r="R9" s="74">
        <f>SUMIF(RR_TOT[Baller],Overall_TOT[[#This Row],[Baller]],RR_TOT[Dunks])+SUMIF(PO_TOT[Baller],Overall_TOT[[#This Row],[Baller]],PO_TOT[Dunks])</f>
        <v>0</v>
      </c>
      <c r="S9" s="74">
        <f>SUMIF(RR_TOT[Baller],Overall_TOT[[#This Row],[Baller]],RR_TOT[Def. Boards])+SUMIF(PO_TOT[Baller],Overall_TOT[[#This Row],[Baller]],PO_TOT[Def. Boards])</f>
        <v>0</v>
      </c>
      <c r="T9" s="74">
        <f>SUMIF(RR_TOT[Baller],Overall_TOT[[#This Row],[Baller]],RR_TOT[Off. Boards])+SUMIF(PO_TOT[Baller],Overall_TOT[[#This Row],[Baller]],PO_TOT[Off. Boards])</f>
        <v>0</v>
      </c>
      <c r="U9" s="74">
        <f>SUMIF(RR_TOT[Baller],Overall_TOT[[#This Row],[Baller]],RR_TOT[Total Boards])+SUMIF(PO_TOT[Baller],Overall_TOT[[#This Row],[Baller]],PO_TOT[Total Boards])</f>
        <v>0</v>
      </c>
      <c r="V9" s="74">
        <f>SUMIF(RR_TOT[Baller],Overall_TOT[[#This Row],[Baller]],RR_TOT[Dimes])+SUMIF(PO_TOT[Baller],Overall_TOT[[#This Row],[Baller]],PO_TOT[Dimes])</f>
        <v>0</v>
      </c>
      <c r="W9" s="74">
        <f>SUMIF(RR_TOT[Baller],Overall_TOT[[#This Row],[Baller]],RR_TOT[Cookies])+SUMIF(PO_TOT[Baller],Overall_TOT[[#This Row],[Baller]],PO_TOT[Cookies])</f>
        <v>0</v>
      </c>
      <c r="X9" s="74">
        <f>SUMIF(RR_TOT[Baller],Overall_TOT[[#This Row],[Baller]],RR_TOT[Swats])+SUMIF(PO_TOT[Baller],Overall_TOT[[#This Row],[Baller]],PO_TOT[Swats])</f>
        <v>0</v>
      </c>
      <c r="Y9" s="74">
        <f>SUMIF(RR_TOT[Baller],Overall_TOT[[#This Row],[Baller]],RR_TOT[Turnovers])+SUMIF(PO_TOT[Baller],Overall_TOT[[#This Row],[Baller]],PO_TOT[Turnovers])</f>
        <v>0</v>
      </c>
      <c r="Z9" s="204" t="e">
        <f>Overall_TOT[[#This Row],[Dimes]]/Overall_TOT[[#This Row],[Turnovers]]</f>
        <v>#DIV/0!</v>
      </c>
    </row>
    <row r="10" spans="1:26" hidden="1" x14ac:dyDescent="0.2">
      <c r="A10" s="14" t="s">
        <v>52</v>
      </c>
      <c r="B10" t="s">
        <v>91</v>
      </c>
      <c r="C10" t="s">
        <v>132</v>
      </c>
      <c r="D10" s="86">
        <f>SUMIF(RR_TOT[Baller],Overall_TOT[[#This Row],[Baller]],RR_TOT[Games Played])+SUMIF(PO_TOT[Baller],Overall_TOT[[#This Row],[Baller]],PO_TOT[Games Played])</f>
        <v>0</v>
      </c>
      <c r="E10" s="74">
        <f>SUMIF(RR_TOT[Baller],Overall_TOT[[#This Row],[Baller]],RR_TOT[Total FGM])+SUMIF(PO_TOT[Baller],Overall_TOT[[#This Row],[Baller]],PO_TOT[Total FGM])</f>
        <v>0</v>
      </c>
      <c r="F10" s="74">
        <f>SUMIF(RR_TOT[Baller],Overall_TOT[[#This Row],[Baller]],RR_TOT[Total FGA])+SUMIF(PO_TOT[Baller],Overall_TOT[[#This Row],[Baller]],PO_TOT[Total FGA])</f>
        <v>0</v>
      </c>
      <c r="G10" s="203" t="e">
        <f>Overall_TOT[[#This Row],[Total FGM]]/Overall_TOT[[#This Row],[Total FGA]]</f>
        <v>#DIV/0!</v>
      </c>
      <c r="H10" s="98">
        <f>SUMIF(RR_TOT[Baller],Overall_TOT[[#This Row],[Baller]],RR_TOT[2PT FGM])+SUMIF(PO_TOT[Baller],Overall_TOT[[#This Row],[Baller]],PO_TOT[2PT FGM])</f>
        <v>0</v>
      </c>
      <c r="I10" s="19">
        <f>SUMIF(RR_TOT[Baller],Overall_TOT[[#This Row],[Baller]],RR_TOT[2PT FGA])+SUMIF(PO_TOT[Baller],Overall_TOT[[#This Row],[Baller]],PO_TOT[2PT FGA])</f>
        <v>0</v>
      </c>
      <c r="J10" s="91" t="e">
        <f>Overall_TOT[[#This Row],[2PT FGM]]/Overall_TOT[[#This Row],[2PT FGA]]</f>
        <v>#DIV/0!</v>
      </c>
      <c r="K10" s="19">
        <f>SUMIF(RR_TOT[Baller],Overall_TOT[[#This Row],[Baller]],RR_TOT[3PT FGM])+SUMIF(PO_TOT[Baller],Overall_TOT[[#This Row],[Baller]],PO_TOT[3PT FGM])</f>
        <v>0</v>
      </c>
      <c r="L10" s="19">
        <f>SUMIF(RR_TOT[Baller],Overall_TOT[[#This Row],[Baller]],RR_TOT[3PT FGA])+SUMIF(PO_TOT[Baller],Overall_TOT[[#This Row],[Baller]],PO_TOT[3PT FGA])</f>
        <v>0</v>
      </c>
      <c r="M10" s="91" t="e">
        <f>Overall_TOT[[#This Row],[3PT FGM]]/Overall_TOT[[#This Row],[3PT FGA]]</f>
        <v>#DIV/0!</v>
      </c>
      <c r="N10" s="19">
        <f>SUMIF(RR_TOT[Baller],Overall_TOT[[#This Row],[Baller]],RR_TOT[FTM])+SUMIF(PO_TOT[Baller],Overall_TOT[[#This Row],[Baller]],PO_TOT[FTM])</f>
        <v>0</v>
      </c>
      <c r="O10" s="19">
        <f>SUMIF(RR_TOT[Baller],Overall_TOT[[#This Row],[Baller]],RR_TOT[FTA])+SUMIF(PO_TOT[Baller],Overall_TOT[[#This Row],[Baller]],PO_TOT[FTA])</f>
        <v>0</v>
      </c>
      <c r="P10" s="99" t="e">
        <f>Overall_TOT[[#This Row],[FTM]]/Overall_TOT[[#This Row],[FTA]]</f>
        <v>#DIV/0!</v>
      </c>
      <c r="Q10" s="74">
        <f>SUMIF(RR_TOT[Baller],Overall_TOT[[#This Row],[Baller]],RR_TOT[TOTAL POINTS])+SUMIF(PO_TOT[Baller],Overall_TOT[[#This Row],[Baller]],PO_TOT[TOTAL POINTS])</f>
        <v>0</v>
      </c>
      <c r="R10" s="74">
        <f>SUMIF(RR_TOT[Baller],Overall_TOT[[#This Row],[Baller]],RR_TOT[Dunks])+SUMIF(PO_TOT[Baller],Overall_TOT[[#This Row],[Baller]],PO_TOT[Dunks])</f>
        <v>0</v>
      </c>
      <c r="S10" s="74">
        <f>SUMIF(RR_TOT[Baller],Overall_TOT[[#This Row],[Baller]],RR_TOT[Def. Boards])+SUMIF(PO_TOT[Baller],Overall_TOT[[#This Row],[Baller]],PO_TOT[Def. Boards])</f>
        <v>0</v>
      </c>
      <c r="T10" s="74">
        <f>SUMIF(RR_TOT[Baller],Overall_TOT[[#This Row],[Baller]],RR_TOT[Off. Boards])+SUMIF(PO_TOT[Baller],Overall_TOT[[#This Row],[Baller]],PO_TOT[Off. Boards])</f>
        <v>0</v>
      </c>
      <c r="U10" s="74">
        <f>SUMIF(RR_TOT[Baller],Overall_TOT[[#This Row],[Baller]],RR_TOT[Total Boards])+SUMIF(PO_TOT[Baller],Overall_TOT[[#This Row],[Baller]],PO_TOT[Total Boards])</f>
        <v>0</v>
      </c>
      <c r="V10" s="74">
        <f>SUMIF(RR_TOT[Baller],Overall_TOT[[#This Row],[Baller]],RR_TOT[Dimes])+SUMIF(PO_TOT[Baller],Overall_TOT[[#This Row],[Baller]],PO_TOT[Dimes])</f>
        <v>0</v>
      </c>
      <c r="W10" s="74">
        <f>SUMIF(RR_TOT[Baller],Overall_TOT[[#This Row],[Baller]],RR_TOT[Cookies])+SUMIF(PO_TOT[Baller],Overall_TOT[[#This Row],[Baller]],PO_TOT[Cookies])</f>
        <v>0</v>
      </c>
      <c r="X10" s="74">
        <f>SUMIF(RR_TOT[Baller],Overall_TOT[[#This Row],[Baller]],RR_TOT[Swats])+SUMIF(PO_TOT[Baller],Overall_TOT[[#This Row],[Baller]],PO_TOT[Swats])</f>
        <v>0</v>
      </c>
      <c r="Y10" s="74">
        <f>SUMIF(RR_TOT[Baller],Overall_TOT[[#This Row],[Baller]],RR_TOT[Turnovers])+SUMIF(PO_TOT[Baller],Overall_TOT[[#This Row],[Baller]],PO_TOT[Turnovers])</f>
        <v>0</v>
      </c>
      <c r="Z10" s="204" t="e">
        <f>Overall_TOT[[#This Row],[Dimes]]/Overall_TOT[[#This Row],[Turnovers]]</f>
        <v>#DIV/0!</v>
      </c>
    </row>
    <row r="11" spans="1:26" hidden="1" x14ac:dyDescent="0.2">
      <c r="A11" s="14" t="s">
        <v>53</v>
      </c>
      <c r="B11" t="s">
        <v>77</v>
      </c>
      <c r="C11" t="s">
        <v>132</v>
      </c>
      <c r="D11" s="86">
        <f>SUMIF(RR_TOT[Baller],Overall_TOT[[#This Row],[Baller]],RR_TOT[Games Played])+SUMIF(PO_TOT[Baller],Overall_TOT[[#This Row],[Baller]],PO_TOT[Games Played])</f>
        <v>0</v>
      </c>
      <c r="E11" s="74">
        <f>SUMIF(RR_TOT[Baller],Overall_TOT[[#This Row],[Baller]],RR_TOT[Total FGM])+SUMIF(PO_TOT[Baller],Overall_TOT[[#This Row],[Baller]],PO_TOT[Total FGM])</f>
        <v>0</v>
      </c>
      <c r="F11" s="74">
        <f>SUMIF(RR_TOT[Baller],Overall_TOT[[#This Row],[Baller]],RR_TOT[Total FGA])+SUMIF(PO_TOT[Baller],Overall_TOT[[#This Row],[Baller]],PO_TOT[Total FGA])</f>
        <v>0</v>
      </c>
      <c r="G11" s="203" t="e">
        <f>Overall_TOT[[#This Row],[Total FGM]]/Overall_TOT[[#This Row],[Total FGA]]</f>
        <v>#DIV/0!</v>
      </c>
      <c r="H11" s="98">
        <f>SUMIF(RR_TOT[Baller],Overall_TOT[[#This Row],[Baller]],RR_TOT[2PT FGM])+SUMIF(PO_TOT[Baller],Overall_TOT[[#This Row],[Baller]],PO_TOT[2PT FGM])</f>
        <v>0</v>
      </c>
      <c r="I11" s="19">
        <f>SUMIF(RR_TOT[Baller],Overall_TOT[[#This Row],[Baller]],RR_TOT[2PT FGA])+SUMIF(PO_TOT[Baller],Overall_TOT[[#This Row],[Baller]],PO_TOT[2PT FGA])</f>
        <v>0</v>
      </c>
      <c r="J11" s="91" t="e">
        <f>Overall_TOT[[#This Row],[2PT FGM]]/Overall_TOT[[#This Row],[2PT FGA]]</f>
        <v>#DIV/0!</v>
      </c>
      <c r="K11" s="19">
        <f>SUMIF(RR_TOT[Baller],Overall_TOT[[#This Row],[Baller]],RR_TOT[3PT FGM])+SUMIF(PO_TOT[Baller],Overall_TOT[[#This Row],[Baller]],PO_TOT[3PT FGM])</f>
        <v>0</v>
      </c>
      <c r="L11" s="19">
        <f>SUMIF(RR_TOT[Baller],Overall_TOT[[#This Row],[Baller]],RR_TOT[3PT FGA])+SUMIF(PO_TOT[Baller],Overall_TOT[[#This Row],[Baller]],PO_TOT[3PT FGA])</f>
        <v>0</v>
      </c>
      <c r="M11" s="209" t="e">
        <f>Overall_TOT[[#This Row],[3PT FGM]]/Overall_TOT[[#This Row],[3PT FGA]]</f>
        <v>#DIV/0!</v>
      </c>
      <c r="N11" s="19">
        <f>SUMIF(RR_TOT[Baller],Overall_TOT[[#This Row],[Baller]],RR_TOT[FTM])+SUMIF(PO_TOT[Baller],Overall_TOT[[#This Row],[Baller]],PO_TOT[FTM])</f>
        <v>0</v>
      </c>
      <c r="O11" s="19">
        <f>SUMIF(RR_TOT[Baller],Overall_TOT[[#This Row],[Baller]],RR_TOT[FTA])+SUMIF(PO_TOT[Baller],Overall_TOT[[#This Row],[Baller]],PO_TOT[FTA])</f>
        <v>0</v>
      </c>
      <c r="P11" s="99" t="e">
        <f>Overall_TOT[[#This Row],[FTM]]/Overall_TOT[[#This Row],[FTA]]</f>
        <v>#DIV/0!</v>
      </c>
      <c r="Q11" s="74">
        <f>SUMIF(RR_TOT[Baller],Overall_TOT[[#This Row],[Baller]],RR_TOT[TOTAL POINTS])+SUMIF(PO_TOT[Baller],Overall_TOT[[#This Row],[Baller]],PO_TOT[TOTAL POINTS])</f>
        <v>0</v>
      </c>
      <c r="R11" s="74">
        <f>SUMIF(RR_TOT[Baller],Overall_TOT[[#This Row],[Baller]],RR_TOT[Dunks])+SUMIF(PO_TOT[Baller],Overall_TOT[[#This Row],[Baller]],PO_TOT[Dunks])</f>
        <v>0</v>
      </c>
      <c r="S11" s="74">
        <f>SUMIF(RR_TOT[Baller],Overall_TOT[[#This Row],[Baller]],RR_TOT[Def. Boards])+SUMIF(PO_TOT[Baller],Overall_TOT[[#This Row],[Baller]],PO_TOT[Def. Boards])</f>
        <v>0</v>
      </c>
      <c r="T11" s="74">
        <f>SUMIF(RR_TOT[Baller],Overall_TOT[[#This Row],[Baller]],RR_TOT[Off. Boards])+SUMIF(PO_TOT[Baller],Overall_TOT[[#This Row],[Baller]],PO_TOT[Off. Boards])</f>
        <v>0</v>
      </c>
      <c r="U11" s="74">
        <f>SUMIF(RR_TOT[Baller],Overall_TOT[[#This Row],[Baller]],RR_TOT[Total Boards])+SUMIF(PO_TOT[Baller],Overall_TOT[[#This Row],[Baller]],PO_TOT[Total Boards])</f>
        <v>0</v>
      </c>
      <c r="V11" s="74">
        <f>SUMIF(RR_TOT[Baller],Overall_TOT[[#This Row],[Baller]],RR_TOT[Dimes])+SUMIF(PO_TOT[Baller],Overall_TOT[[#This Row],[Baller]],PO_TOT[Dimes])</f>
        <v>0</v>
      </c>
      <c r="W11" s="74">
        <f>SUMIF(RR_TOT[Baller],Overall_TOT[[#This Row],[Baller]],RR_TOT[Cookies])+SUMIF(PO_TOT[Baller],Overall_TOT[[#This Row],[Baller]],PO_TOT[Cookies])</f>
        <v>0</v>
      </c>
      <c r="X11" s="74">
        <f>SUMIF(RR_TOT[Baller],Overall_TOT[[#This Row],[Baller]],RR_TOT[Swats])+SUMIF(PO_TOT[Baller],Overall_TOT[[#This Row],[Baller]],PO_TOT[Swats])</f>
        <v>0</v>
      </c>
      <c r="Y11" s="74">
        <f>SUMIF(RR_TOT[Baller],Overall_TOT[[#This Row],[Baller]],RR_TOT[Turnovers])+SUMIF(PO_TOT[Baller],Overall_TOT[[#This Row],[Baller]],PO_TOT[Turnovers])</f>
        <v>0</v>
      </c>
      <c r="Z11" s="204" t="e">
        <f>Overall_TOT[[#This Row],[Dimes]]/Overall_TOT[[#This Row],[Turnovers]]</f>
        <v>#DIV/0!</v>
      </c>
    </row>
    <row r="12" spans="1:26" hidden="1" x14ac:dyDescent="0.2">
      <c r="A12" s="16" t="s">
        <v>56</v>
      </c>
      <c r="B12" t="s">
        <v>95</v>
      </c>
      <c r="C12" t="s">
        <v>132</v>
      </c>
      <c r="D12" s="86">
        <f>SUMIF(RR_TOT[Baller],Overall_TOT[[#This Row],[Baller]],RR_TOT[Games Played])+SUMIF(PO_TOT[Baller],Overall_TOT[[#This Row],[Baller]],PO_TOT[Games Played])</f>
        <v>0</v>
      </c>
      <c r="E12" s="74">
        <f>SUMIF(RR_TOT[Baller],Overall_TOT[[#This Row],[Baller]],RR_TOT[Total FGM])+SUMIF(PO_TOT[Baller],Overall_TOT[[#This Row],[Baller]],PO_TOT[Total FGM])</f>
        <v>0</v>
      </c>
      <c r="F12" s="74">
        <f>SUMIF(RR_TOT[Baller],Overall_TOT[[#This Row],[Baller]],RR_TOT[Total FGA])+SUMIF(PO_TOT[Baller],Overall_TOT[[#This Row],[Baller]],PO_TOT[Total FGA])</f>
        <v>0</v>
      </c>
      <c r="G12" s="203" t="e">
        <f>Overall_TOT[[#This Row],[Total FGM]]/Overall_TOT[[#This Row],[Total FGA]]</f>
        <v>#DIV/0!</v>
      </c>
      <c r="H12" s="98">
        <f>SUMIF(RR_TOT[Baller],Overall_TOT[[#This Row],[Baller]],RR_TOT[2PT FGM])+SUMIF(PO_TOT[Baller],Overall_TOT[[#This Row],[Baller]],PO_TOT[2PT FGM])</f>
        <v>0</v>
      </c>
      <c r="I12" s="19">
        <f>SUMIF(RR_TOT[Baller],Overall_TOT[[#This Row],[Baller]],RR_TOT[2PT FGA])+SUMIF(PO_TOT[Baller],Overall_TOT[[#This Row],[Baller]],PO_TOT[2PT FGA])</f>
        <v>0</v>
      </c>
      <c r="J12" s="91" t="e">
        <f>Overall_TOT[[#This Row],[2PT FGM]]/Overall_TOT[[#This Row],[2PT FGA]]</f>
        <v>#DIV/0!</v>
      </c>
      <c r="K12" s="19">
        <f>SUMIF(RR_TOT[Baller],Overall_TOT[[#This Row],[Baller]],RR_TOT[3PT FGM])+SUMIF(PO_TOT[Baller],Overall_TOT[[#This Row],[Baller]],PO_TOT[3PT FGM])</f>
        <v>0</v>
      </c>
      <c r="L12" s="19">
        <f>SUMIF(RR_TOT[Baller],Overall_TOT[[#This Row],[Baller]],RR_TOT[3PT FGA])+SUMIF(PO_TOT[Baller],Overall_TOT[[#This Row],[Baller]],PO_TOT[3PT FGA])</f>
        <v>0</v>
      </c>
      <c r="M12" s="91" t="e">
        <f>Overall_TOT[[#This Row],[3PT FGM]]/Overall_TOT[[#This Row],[3PT FGA]]</f>
        <v>#DIV/0!</v>
      </c>
      <c r="N12" s="19">
        <f>SUMIF(RR_TOT[Baller],Overall_TOT[[#This Row],[Baller]],RR_TOT[FTM])+SUMIF(PO_TOT[Baller],Overall_TOT[[#This Row],[Baller]],PO_TOT[FTM])</f>
        <v>0</v>
      </c>
      <c r="O12" s="19">
        <f>SUMIF(RR_TOT[Baller],Overall_TOT[[#This Row],[Baller]],RR_TOT[FTA])+SUMIF(PO_TOT[Baller],Overall_TOT[[#This Row],[Baller]],PO_TOT[FTA])</f>
        <v>0</v>
      </c>
      <c r="P12" s="99" t="e">
        <f>Overall_TOT[[#This Row],[FTM]]/Overall_TOT[[#This Row],[FTA]]</f>
        <v>#DIV/0!</v>
      </c>
      <c r="Q12" s="74">
        <f>SUMIF(RR_TOT[Baller],Overall_TOT[[#This Row],[Baller]],RR_TOT[TOTAL POINTS])+SUMIF(PO_TOT[Baller],Overall_TOT[[#This Row],[Baller]],PO_TOT[TOTAL POINTS])</f>
        <v>0</v>
      </c>
      <c r="R12" s="74">
        <f>SUMIF(RR_TOT[Baller],Overall_TOT[[#This Row],[Baller]],RR_TOT[Dunks])+SUMIF(PO_TOT[Baller],Overall_TOT[[#This Row],[Baller]],PO_TOT[Dunks])</f>
        <v>0</v>
      </c>
      <c r="S12" s="74">
        <f>SUMIF(RR_TOT[Baller],Overall_TOT[[#This Row],[Baller]],RR_TOT[Def. Boards])+SUMIF(PO_TOT[Baller],Overall_TOT[[#This Row],[Baller]],PO_TOT[Def. Boards])</f>
        <v>0</v>
      </c>
      <c r="T12" s="74">
        <f>SUMIF(RR_TOT[Baller],Overall_TOT[[#This Row],[Baller]],RR_TOT[Off. Boards])+SUMIF(PO_TOT[Baller],Overall_TOT[[#This Row],[Baller]],PO_TOT[Off. Boards])</f>
        <v>0</v>
      </c>
      <c r="U12" s="74">
        <f>SUMIF(RR_TOT[Baller],Overall_TOT[[#This Row],[Baller]],RR_TOT[Total Boards])+SUMIF(PO_TOT[Baller],Overall_TOT[[#This Row],[Baller]],PO_TOT[Total Boards])</f>
        <v>0</v>
      </c>
      <c r="V12" s="74">
        <f>SUMIF(RR_TOT[Baller],Overall_TOT[[#This Row],[Baller]],RR_TOT[Dimes])+SUMIF(PO_TOT[Baller],Overall_TOT[[#This Row],[Baller]],PO_TOT[Dimes])</f>
        <v>0</v>
      </c>
      <c r="W12" s="74">
        <f>SUMIF(RR_TOT[Baller],Overall_TOT[[#This Row],[Baller]],RR_TOT[Cookies])+SUMIF(PO_TOT[Baller],Overall_TOT[[#This Row],[Baller]],PO_TOT[Cookies])</f>
        <v>0</v>
      </c>
      <c r="X12" s="74">
        <f>SUMIF(RR_TOT[Baller],Overall_TOT[[#This Row],[Baller]],RR_TOT[Swats])+SUMIF(PO_TOT[Baller],Overall_TOT[[#This Row],[Baller]],PO_TOT[Swats])</f>
        <v>0</v>
      </c>
      <c r="Y12" s="74">
        <f>SUMIF(RR_TOT[Baller],Overall_TOT[[#This Row],[Baller]],RR_TOT[Turnovers])+SUMIF(PO_TOT[Baller],Overall_TOT[[#This Row],[Baller]],PO_TOT[Turnovers])</f>
        <v>0</v>
      </c>
      <c r="Z12" s="204" t="e">
        <f>Overall_TOT[[#This Row],[Dimes]]/Overall_TOT[[#This Row],[Turnovers]]</f>
        <v>#DIV/0!</v>
      </c>
    </row>
    <row r="13" spans="1:26" hidden="1" x14ac:dyDescent="0.2">
      <c r="A13" s="14" t="s">
        <v>34</v>
      </c>
      <c r="B13" t="s">
        <v>78</v>
      </c>
      <c r="C13" t="s">
        <v>132</v>
      </c>
      <c r="D13" s="86">
        <f>SUMIF(RR_TOT[Baller],Overall_TOT[[#This Row],[Baller]],RR_TOT[Games Played])+SUMIF(PO_TOT[Baller],Overall_TOT[[#This Row],[Baller]],PO_TOT[Games Played])</f>
        <v>0</v>
      </c>
      <c r="E13" s="74">
        <f>SUMIF(RR_TOT[Baller],Overall_TOT[[#This Row],[Baller]],RR_TOT[Total FGM])+SUMIF(PO_TOT[Baller],Overall_TOT[[#This Row],[Baller]],PO_TOT[Total FGM])</f>
        <v>0</v>
      </c>
      <c r="F13" s="74">
        <f>SUMIF(RR_TOT[Baller],Overall_TOT[[#This Row],[Baller]],RR_TOT[Total FGA])+SUMIF(PO_TOT[Baller],Overall_TOT[[#This Row],[Baller]],PO_TOT[Total FGA])</f>
        <v>0</v>
      </c>
      <c r="G13" s="203" t="e">
        <f>Overall_TOT[[#This Row],[Total FGM]]/Overall_TOT[[#This Row],[Total FGA]]</f>
        <v>#DIV/0!</v>
      </c>
      <c r="H13" s="98">
        <f>SUMIF(RR_TOT[Baller],Overall_TOT[[#This Row],[Baller]],RR_TOT[2PT FGM])+SUMIF(PO_TOT[Baller],Overall_TOT[[#This Row],[Baller]],PO_TOT[2PT FGM])</f>
        <v>0</v>
      </c>
      <c r="I13" s="19">
        <f>SUMIF(RR_TOT[Baller],Overall_TOT[[#This Row],[Baller]],RR_TOT[2PT FGA])+SUMIF(PO_TOT[Baller],Overall_TOT[[#This Row],[Baller]],PO_TOT[2PT FGA])</f>
        <v>0</v>
      </c>
      <c r="J13" s="91" t="e">
        <f>Overall_TOT[[#This Row],[2PT FGM]]/Overall_TOT[[#This Row],[2PT FGA]]</f>
        <v>#DIV/0!</v>
      </c>
      <c r="K13" s="19">
        <f>SUMIF(RR_TOT[Baller],Overall_TOT[[#This Row],[Baller]],RR_TOT[3PT FGM])+SUMIF(PO_TOT[Baller],Overall_TOT[[#This Row],[Baller]],PO_TOT[3PT FGM])</f>
        <v>0</v>
      </c>
      <c r="L13" s="19">
        <f>SUMIF(RR_TOT[Baller],Overall_TOT[[#This Row],[Baller]],RR_TOT[3PT FGA])+SUMIF(PO_TOT[Baller],Overall_TOT[[#This Row],[Baller]],PO_TOT[3PT FGA])</f>
        <v>0</v>
      </c>
      <c r="M13" s="91" t="e">
        <f>Overall_TOT[[#This Row],[3PT FGM]]/Overall_TOT[[#This Row],[3PT FGA]]</f>
        <v>#DIV/0!</v>
      </c>
      <c r="N13" s="19">
        <f>SUMIF(RR_TOT[Baller],Overall_TOT[[#This Row],[Baller]],RR_TOT[FTM])+SUMIF(PO_TOT[Baller],Overall_TOT[[#This Row],[Baller]],PO_TOT[FTM])</f>
        <v>0</v>
      </c>
      <c r="O13" s="19">
        <f>SUMIF(RR_TOT[Baller],Overall_TOT[[#This Row],[Baller]],RR_TOT[FTA])+SUMIF(PO_TOT[Baller],Overall_TOT[[#This Row],[Baller]],PO_TOT[FTA])</f>
        <v>0</v>
      </c>
      <c r="P13" s="99" t="e">
        <f>Overall_TOT[[#This Row],[FTM]]/Overall_TOT[[#This Row],[FTA]]</f>
        <v>#DIV/0!</v>
      </c>
      <c r="Q13" s="74">
        <f>SUMIF(RR_TOT[Baller],Overall_TOT[[#This Row],[Baller]],RR_TOT[TOTAL POINTS])+SUMIF(PO_TOT[Baller],Overall_TOT[[#This Row],[Baller]],PO_TOT[TOTAL POINTS])</f>
        <v>0</v>
      </c>
      <c r="R13" s="74">
        <f>SUMIF(RR_TOT[Baller],Overall_TOT[[#This Row],[Baller]],RR_TOT[Dunks])+SUMIF(PO_TOT[Baller],Overall_TOT[[#This Row],[Baller]],PO_TOT[Dunks])</f>
        <v>0</v>
      </c>
      <c r="S13" s="74">
        <f>SUMIF(RR_TOT[Baller],Overall_TOT[[#This Row],[Baller]],RR_TOT[Def. Boards])+SUMIF(PO_TOT[Baller],Overall_TOT[[#This Row],[Baller]],PO_TOT[Def. Boards])</f>
        <v>0</v>
      </c>
      <c r="T13" s="74">
        <f>SUMIF(RR_TOT[Baller],Overall_TOT[[#This Row],[Baller]],RR_TOT[Off. Boards])+SUMIF(PO_TOT[Baller],Overall_TOT[[#This Row],[Baller]],PO_TOT[Off. Boards])</f>
        <v>0</v>
      </c>
      <c r="U13" s="74">
        <f>SUMIF(RR_TOT[Baller],Overall_TOT[[#This Row],[Baller]],RR_TOT[Total Boards])+SUMIF(PO_TOT[Baller],Overall_TOT[[#This Row],[Baller]],PO_TOT[Total Boards])</f>
        <v>0</v>
      </c>
      <c r="V13" s="74">
        <f>SUMIF(RR_TOT[Baller],Overall_TOT[[#This Row],[Baller]],RR_TOT[Dimes])+SUMIF(PO_TOT[Baller],Overall_TOT[[#This Row],[Baller]],PO_TOT[Dimes])</f>
        <v>0</v>
      </c>
      <c r="W13" s="74">
        <f>SUMIF(RR_TOT[Baller],Overall_TOT[[#This Row],[Baller]],RR_TOT[Cookies])+SUMIF(PO_TOT[Baller],Overall_TOT[[#This Row],[Baller]],PO_TOT[Cookies])</f>
        <v>0</v>
      </c>
      <c r="X13" s="74">
        <f>SUMIF(RR_TOT[Baller],Overall_TOT[[#This Row],[Baller]],RR_TOT[Swats])+SUMIF(PO_TOT[Baller],Overall_TOT[[#This Row],[Baller]],PO_TOT[Swats])</f>
        <v>0</v>
      </c>
      <c r="Y13" s="74">
        <f>SUMIF(RR_TOT[Baller],Overall_TOT[[#This Row],[Baller]],RR_TOT[Turnovers])+SUMIF(PO_TOT[Baller],Overall_TOT[[#This Row],[Baller]],PO_TOT[Turnovers])</f>
        <v>0</v>
      </c>
      <c r="Z13" s="204" t="e">
        <f>Overall_TOT[[#This Row],[Dimes]]/Overall_TOT[[#This Row],[Turnovers]]</f>
        <v>#DIV/0!</v>
      </c>
    </row>
    <row r="14" spans="1:26" hidden="1" x14ac:dyDescent="0.2">
      <c r="A14" s="14" t="s">
        <v>41</v>
      </c>
      <c r="B14" t="s">
        <v>79</v>
      </c>
      <c r="C14" t="s">
        <v>132</v>
      </c>
      <c r="D14" s="86">
        <f>SUMIF(RR_TOT[Baller],Overall_TOT[[#This Row],[Baller]],RR_TOT[Games Played])+SUMIF(PO_TOT[Baller],Overall_TOT[[#This Row],[Baller]],PO_TOT[Games Played])</f>
        <v>0</v>
      </c>
      <c r="E14" s="74">
        <f>SUMIF(RR_TOT[Baller],Overall_TOT[[#This Row],[Baller]],RR_TOT[Total FGM])+SUMIF(PO_TOT[Baller],Overall_TOT[[#This Row],[Baller]],PO_TOT[Total FGM])</f>
        <v>0</v>
      </c>
      <c r="F14" s="74">
        <f>SUMIF(RR_TOT[Baller],Overall_TOT[[#This Row],[Baller]],RR_TOT[Total FGA])+SUMIF(PO_TOT[Baller],Overall_TOT[[#This Row],[Baller]],PO_TOT[Total FGA])</f>
        <v>0</v>
      </c>
      <c r="G14" s="203" t="e">
        <f>Overall_TOT[[#This Row],[Total FGM]]/Overall_TOT[[#This Row],[Total FGA]]</f>
        <v>#DIV/0!</v>
      </c>
      <c r="H14" s="98">
        <f>SUMIF(RR_TOT[Baller],Overall_TOT[[#This Row],[Baller]],RR_TOT[2PT FGM])+SUMIF(PO_TOT[Baller],Overall_TOT[[#This Row],[Baller]],PO_TOT[2PT FGM])</f>
        <v>0</v>
      </c>
      <c r="I14" s="19">
        <f>SUMIF(RR_TOT[Baller],Overall_TOT[[#This Row],[Baller]],RR_TOT[2PT FGA])+SUMIF(PO_TOT[Baller],Overall_TOT[[#This Row],[Baller]],PO_TOT[2PT FGA])</f>
        <v>0</v>
      </c>
      <c r="J14" s="91" t="e">
        <f>Overall_TOT[[#This Row],[2PT FGM]]/Overall_TOT[[#This Row],[2PT FGA]]</f>
        <v>#DIV/0!</v>
      </c>
      <c r="K14" s="19">
        <f>SUMIF(RR_TOT[Baller],Overall_TOT[[#This Row],[Baller]],RR_TOT[3PT FGM])+SUMIF(PO_TOT[Baller],Overall_TOT[[#This Row],[Baller]],PO_TOT[3PT FGM])</f>
        <v>0</v>
      </c>
      <c r="L14" s="19">
        <f>SUMIF(RR_TOT[Baller],Overall_TOT[[#This Row],[Baller]],RR_TOT[3PT FGA])+SUMIF(PO_TOT[Baller],Overall_TOT[[#This Row],[Baller]],PO_TOT[3PT FGA])</f>
        <v>0</v>
      </c>
      <c r="M14" s="91" t="e">
        <f>Overall_TOT[[#This Row],[3PT FGM]]/Overall_TOT[[#This Row],[3PT FGA]]</f>
        <v>#DIV/0!</v>
      </c>
      <c r="N14" s="19">
        <f>SUMIF(RR_TOT[Baller],Overall_TOT[[#This Row],[Baller]],RR_TOT[FTM])+SUMIF(PO_TOT[Baller],Overall_TOT[[#This Row],[Baller]],PO_TOT[FTM])</f>
        <v>0</v>
      </c>
      <c r="O14" s="19">
        <f>SUMIF(RR_TOT[Baller],Overall_TOT[[#This Row],[Baller]],RR_TOT[FTA])+SUMIF(PO_TOT[Baller],Overall_TOT[[#This Row],[Baller]],PO_TOT[FTA])</f>
        <v>0</v>
      </c>
      <c r="P14" s="99" t="e">
        <f>Overall_TOT[[#This Row],[FTM]]/Overall_TOT[[#This Row],[FTA]]</f>
        <v>#DIV/0!</v>
      </c>
      <c r="Q14" s="74">
        <f>SUMIF(RR_TOT[Baller],Overall_TOT[[#This Row],[Baller]],RR_TOT[TOTAL POINTS])+SUMIF(PO_TOT[Baller],Overall_TOT[[#This Row],[Baller]],PO_TOT[TOTAL POINTS])</f>
        <v>0</v>
      </c>
      <c r="R14" s="74">
        <f>SUMIF(RR_TOT[Baller],Overall_TOT[[#This Row],[Baller]],RR_TOT[Dunks])+SUMIF(PO_TOT[Baller],Overall_TOT[[#This Row],[Baller]],PO_TOT[Dunks])</f>
        <v>0</v>
      </c>
      <c r="S14" s="74">
        <f>SUMIF(RR_TOT[Baller],Overall_TOT[[#This Row],[Baller]],RR_TOT[Def. Boards])+SUMIF(PO_TOT[Baller],Overall_TOT[[#This Row],[Baller]],PO_TOT[Def. Boards])</f>
        <v>0</v>
      </c>
      <c r="T14" s="74">
        <f>SUMIF(RR_TOT[Baller],Overall_TOT[[#This Row],[Baller]],RR_TOT[Off. Boards])+SUMIF(PO_TOT[Baller],Overall_TOT[[#This Row],[Baller]],PO_TOT[Off. Boards])</f>
        <v>0</v>
      </c>
      <c r="U14" s="74">
        <f>SUMIF(RR_TOT[Baller],Overall_TOT[[#This Row],[Baller]],RR_TOT[Total Boards])+SUMIF(PO_TOT[Baller],Overall_TOT[[#This Row],[Baller]],PO_TOT[Total Boards])</f>
        <v>0</v>
      </c>
      <c r="V14" s="74">
        <f>SUMIF(RR_TOT[Baller],Overall_TOT[[#This Row],[Baller]],RR_TOT[Dimes])+SUMIF(PO_TOT[Baller],Overall_TOT[[#This Row],[Baller]],PO_TOT[Dimes])</f>
        <v>0</v>
      </c>
      <c r="W14" s="74">
        <f>SUMIF(RR_TOT[Baller],Overall_TOT[[#This Row],[Baller]],RR_TOT[Cookies])+SUMIF(PO_TOT[Baller],Overall_TOT[[#This Row],[Baller]],PO_TOT[Cookies])</f>
        <v>0</v>
      </c>
      <c r="X14" s="74">
        <f>SUMIF(RR_TOT[Baller],Overall_TOT[[#This Row],[Baller]],RR_TOT[Swats])+SUMIF(PO_TOT[Baller],Overall_TOT[[#This Row],[Baller]],PO_TOT[Swats])</f>
        <v>0</v>
      </c>
      <c r="Y14" s="74">
        <f>SUMIF(RR_TOT[Baller],Overall_TOT[[#This Row],[Baller]],RR_TOT[Turnovers])+SUMIF(PO_TOT[Baller],Overall_TOT[[#This Row],[Baller]],PO_TOT[Turnovers])</f>
        <v>0</v>
      </c>
      <c r="Z14" s="204" t="e">
        <f>Overall_TOT[[#This Row],[Dimes]]/Overall_TOT[[#This Row],[Turnovers]]</f>
        <v>#DIV/0!</v>
      </c>
    </row>
    <row r="15" spans="1:26" hidden="1" x14ac:dyDescent="0.2">
      <c r="A15" s="14" t="s">
        <v>46</v>
      </c>
      <c r="B15" t="s">
        <v>81</v>
      </c>
      <c r="C15" t="s">
        <v>132</v>
      </c>
      <c r="D15" s="86">
        <f>SUMIF(RR_TOT[Baller],Overall_TOT[[#This Row],[Baller]],RR_TOT[Games Played])+SUMIF(PO_TOT[Baller],Overall_TOT[[#This Row],[Baller]],PO_TOT[Games Played])</f>
        <v>0</v>
      </c>
      <c r="E15" s="74">
        <f>SUMIF(RR_TOT[Baller],Overall_TOT[[#This Row],[Baller]],RR_TOT[Total FGM])+SUMIF(PO_TOT[Baller],Overall_TOT[[#This Row],[Baller]],PO_TOT[Total FGM])</f>
        <v>0</v>
      </c>
      <c r="F15" s="74">
        <f>SUMIF(RR_TOT[Baller],Overall_TOT[[#This Row],[Baller]],RR_TOT[Total FGA])+SUMIF(PO_TOT[Baller],Overall_TOT[[#This Row],[Baller]],PO_TOT[Total FGA])</f>
        <v>0</v>
      </c>
      <c r="G15" s="203" t="e">
        <f>Overall_TOT[[#This Row],[Total FGM]]/Overall_TOT[[#This Row],[Total FGA]]</f>
        <v>#DIV/0!</v>
      </c>
      <c r="H15" s="98">
        <f>SUMIF(RR_TOT[Baller],Overall_TOT[[#This Row],[Baller]],RR_TOT[2PT FGM])+SUMIF(PO_TOT[Baller],Overall_TOT[[#This Row],[Baller]],PO_TOT[2PT FGM])</f>
        <v>0</v>
      </c>
      <c r="I15" s="19">
        <f>SUMIF(RR_TOT[Baller],Overall_TOT[[#This Row],[Baller]],RR_TOT[2PT FGA])+SUMIF(PO_TOT[Baller],Overall_TOT[[#This Row],[Baller]],PO_TOT[2PT FGA])</f>
        <v>0</v>
      </c>
      <c r="J15" s="91" t="e">
        <f>Overall_TOT[[#This Row],[2PT FGM]]/Overall_TOT[[#This Row],[2PT FGA]]</f>
        <v>#DIV/0!</v>
      </c>
      <c r="K15" s="19">
        <f>SUMIF(RR_TOT[Baller],Overall_TOT[[#This Row],[Baller]],RR_TOT[3PT FGM])+SUMIF(PO_TOT[Baller],Overall_TOT[[#This Row],[Baller]],PO_TOT[3PT FGM])</f>
        <v>0</v>
      </c>
      <c r="L15" s="19">
        <f>SUMIF(RR_TOT[Baller],Overall_TOT[[#This Row],[Baller]],RR_TOT[3PT FGA])+SUMIF(PO_TOT[Baller],Overall_TOT[[#This Row],[Baller]],PO_TOT[3PT FGA])</f>
        <v>0</v>
      </c>
      <c r="M15" s="91" t="e">
        <f>Overall_TOT[[#This Row],[3PT FGM]]/Overall_TOT[[#This Row],[3PT FGA]]</f>
        <v>#DIV/0!</v>
      </c>
      <c r="N15" s="19">
        <f>SUMIF(RR_TOT[Baller],Overall_TOT[[#This Row],[Baller]],RR_TOT[FTM])+SUMIF(PO_TOT[Baller],Overall_TOT[[#This Row],[Baller]],PO_TOT[FTM])</f>
        <v>0</v>
      </c>
      <c r="O15" s="19">
        <f>SUMIF(RR_TOT[Baller],Overall_TOT[[#This Row],[Baller]],RR_TOT[FTA])+SUMIF(PO_TOT[Baller],Overall_TOT[[#This Row],[Baller]],PO_TOT[FTA])</f>
        <v>0</v>
      </c>
      <c r="P15" s="99" t="e">
        <f>Overall_TOT[[#This Row],[FTM]]/Overall_TOT[[#This Row],[FTA]]</f>
        <v>#DIV/0!</v>
      </c>
      <c r="Q15" s="74">
        <f>SUMIF(RR_TOT[Baller],Overall_TOT[[#This Row],[Baller]],RR_TOT[TOTAL POINTS])+SUMIF(PO_TOT[Baller],Overall_TOT[[#This Row],[Baller]],PO_TOT[TOTAL POINTS])</f>
        <v>0</v>
      </c>
      <c r="R15" s="74">
        <f>SUMIF(RR_TOT[Baller],Overall_TOT[[#This Row],[Baller]],RR_TOT[Dunks])+SUMIF(PO_TOT[Baller],Overall_TOT[[#This Row],[Baller]],PO_TOT[Dunks])</f>
        <v>0</v>
      </c>
      <c r="S15" s="74">
        <f>SUMIF(RR_TOT[Baller],Overall_TOT[[#This Row],[Baller]],RR_TOT[Def. Boards])+SUMIF(PO_TOT[Baller],Overall_TOT[[#This Row],[Baller]],PO_TOT[Def. Boards])</f>
        <v>0</v>
      </c>
      <c r="T15" s="74">
        <f>SUMIF(RR_TOT[Baller],Overall_TOT[[#This Row],[Baller]],RR_TOT[Off. Boards])+SUMIF(PO_TOT[Baller],Overall_TOT[[#This Row],[Baller]],PO_TOT[Off. Boards])</f>
        <v>0</v>
      </c>
      <c r="U15" s="74">
        <f>SUMIF(RR_TOT[Baller],Overall_TOT[[#This Row],[Baller]],RR_TOT[Total Boards])+SUMIF(PO_TOT[Baller],Overall_TOT[[#This Row],[Baller]],PO_TOT[Total Boards])</f>
        <v>0</v>
      </c>
      <c r="V15" s="74">
        <f>SUMIF(RR_TOT[Baller],Overall_TOT[[#This Row],[Baller]],RR_TOT[Dimes])+SUMIF(PO_TOT[Baller],Overall_TOT[[#This Row],[Baller]],PO_TOT[Dimes])</f>
        <v>0</v>
      </c>
      <c r="W15" s="74">
        <f>SUMIF(RR_TOT[Baller],Overall_TOT[[#This Row],[Baller]],RR_TOT[Cookies])+SUMIF(PO_TOT[Baller],Overall_TOT[[#This Row],[Baller]],PO_TOT[Cookies])</f>
        <v>0</v>
      </c>
      <c r="X15" s="74">
        <f>SUMIF(RR_TOT[Baller],Overall_TOT[[#This Row],[Baller]],RR_TOT[Swats])+SUMIF(PO_TOT[Baller],Overall_TOT[[#This Row],[Baller]],PO_TOT[Swats])</f>
        <v>0</v>
      </c>
      <c r="Y15" s="74">
        <f>SUMIF(RR_TOT[Baller],Overall_TOT[[#This Row],[Baller]],RR_TOT[Turnovers])+SUMIF(PO_TOT[Baller],Overall_TOT[[#This Row],[Baller]],PO_TOT[Turnovers])</f>
        <v>0</v>
      </c>
      <c r="Z15" s="204" t="e">
        <f>Overall_TOT[[#This Row],[Dimes]]/Overall_TOT[[#This Row],[Turnovers]]</f>
        <v>#DIV/0!</v>
      </c>
    </row>
    <row r="16" spans="1:26" hidden="1" x14ac:dyDescent="0.2">
      <c r="A16" s="16" t="s">
        <v>38</v>
      </c>
      <c r="B16" t="s">
        <v>82</v>
      </c>
      <c r="C16" t="s">
        <v>132</v>
      </c>
      <c r="D16" s="86">
        <f>SUMIF(RR_TOT[Baller],Overall_TOT[[#This Row],[Baller]],RR_TOT[Games Played])+SUMIF(PO_TOT[Baller],Overall_TOT[[#This Row],[Baller]],PO_TOT[Games Played])</f>
        <v>0</v>
      </c>
      <c r="E16" s="74">
        <f>SUMIF(RR_TOT[Baller],Overall_TOT[[#This Row],[Baller]],RR_TOT[Total FGM])+SUMIF(PO_TOT[Baller],Overall_TOT[[#This Row],[Baller]],PO_TOT[Total FGM])</f>
        <v>0</v>
      </c>
      <c r="F16" s="74">
        <f>SUMIF(RR_TOT[Baller],Overall_TOT[[#This Row],[Baller]],RR_TOT[Total FGA])+SUMIF(PO_TOT[Baller],Overall_TOT[[#This Row],[Baller]],PO_TOT[Total FGA])</f>
        <v>0</v>
      </c>
      <c r="G16" s="203" t="e">
        <f>Overall_TOT[[#This Row],[Total FGM]]/Overall_TOT[[#This Row],[Total FGA]]</f>
        <v>#DIV/0!</v>
      </c>
      <c r="H16" s="98">
        <f>SUMIF(RR_TOT[Baller],Overall_TOT[[#This Row],[Baller]],RR_TOT[2PT FGM])+SUMIF(PO_TOT[Baller],Overall_TOT[[#This Row],[Baller]],PO_TOT[2PT FGM])</f>
        <v>0</v>
      </c>
      <c r="I16" s="19">
        <f>SUMIF(RR_TOT[Baller],Overall_TOT[[#This Row],[Baller]],RR_TOT[2PT FGA])+SUMIF(PO_TOT[Baller],Overall_TOT[[#This Row],[Baller]],PO_TOT[2PT FGA])</f>
        <v>0</v>
      </c>
      <c r="J16" s="91" t="e">
        <f>Overall_TOT[[#This Row],[2PT FGM]]/Overall_TOT[[#This Row],[2PT FGA]]</f>
        <v>#DIV/0!</v>
      </c>
      <c r="K16" s="19">
        <f>SUMIF(RR_TOT[Baller],Overall_TOT[[#This Row],[Baller]],RR_TOT[3PT FGM])+SUMIF(PO_TOT[Baller],Overall_TOT[[#This Row],[Baller]],PO_TOT[3PT FGM])</f>
        <v>0</v>
      </c>
      <c r="L16" s="19">
        <f>SUMIF(RR_TOT[Baller],Overall_TOT[[#This Row],[Baller]],RR_TOT[3PT FGA])+SUMIF(PO_TOT[Baller],Overall_TOT[[#This Row],[Baller]],PO_TOT[3PT FGA])</f>
        <v>0</v>
      </c>
      <c r="M16" s="91" t="e">
        <f>Overall_TOT[[#This Row],[3PT FGM]]/Overall_TOT[[#This Row],[3PT FGA]]</f>
        <v>#DIV/0!</v>
      </c>
      <c r="N16" s="19">
        <f>SUMIF(RR_TOT[Baller],Overall_TOT[[#This Row],[Baller]],RR_TOT[FTM])+SUMIF(PO_TOT[Baller],Overall_TOT[[#This Row],[Baller]],PO_TOT[FTM])</f>
        <v>0</v>
      </c>
      <c r="O16" s="19">
        <f>SUMIF(RR_TOT[Baller],Overall_TOT[[#This Row],[Baller]],RR_TOT[FTA])+SUMIF(PO_TOT[Baller],Overall_TOT[[#This Row],[Baller]],PO_TOT[FTA])</f>
        <v>0</v>
      </c>
      <c r="P16" s="99" t="e">
        <f>Overall_TOT[[#This Row],[FTM]]/Overall_TOT[[#This Row],[FTA]]</f>
        <v>#DIV/0!</v>
      </c>
      <c r="Q16" s="74">
        <f>SUMIF(RR_TOT[Baller],Overall_TOT[[#This Row],[Baller]],RR_TOT[TOTAL POINTS])+SUMIF(PO_TOT[Baller],Overall_TOT[[#This Row],[Baller]],PO_TOT[TOTAL POINTS])</f>
        <v>0</v>
      </c>
      <c r="R16" s="74">
        <f>SUMIF(RR_TOT[Baller],Overall_TOT[[#This Row],[Baller]],RR_TOT[Dunks])+SUMIF(PO_TOT[Baller],Overall_TOT[[#This Row],[Baller]],PO_TOT[Dunks])</f>
        <v>0</v>
      </c>
      <c r="S16" s="74">
        <f>SUMIF(RR_TOT[Baller],Overall_TOT[[#This Row],[Baller]],RR_TOT[Def. Boards])+SUMIF(PO_TOT[Baller],Overall_TOT[[#This Row],[Baller]],PO_TOT[Def. Boards])</f>
        <v>0</v>
      </c>
      <c r="T16" s="74">
        <f>SUMIF(RR_TOT[Baller],Overall_TOT[[#This Row],[Baller]],RR_TOT[Off. Boards])+SUMIF(PO_TOT[Baller],Overall_TOT[[#This Row],[Baller]],PO_TOT[Off. Boards])</f>
        <v>0</v>
      </c>
      <c r="U16" s="74">
        <f>SUMIF(RR_TOT[Baller],Overall_TOT[[#This Row],[Baller]],RR_TOT[Total Boards])+SUMIF(PO_TOT[Baller],Overall_TOT[[#This Row],[Baller]],PO_TOT[Total Boards])</f>
        <v>0</v>
      </c>
      <c r="V16" s="74">
        <f>SUMIF(RR_TOT[Baller],Overall_TOT[[#This Row],[Baller]],RR_TOT[Dimes])+SUMIF(PO_TOT[Baller],Overall_TOT[[#This Row],[Baller]],PO_TOT[Dimes])</f>
        <v>0</v>
      </c>
      <c r="W16" s="74">
        <f>SUMIF(RR_TOT[Baller],Overall_TOT[[#This Row],[Baller]],RR_TOT[Cookies])+SUMIF(PO_TOT[Baller],Overall_TOT[[#This Row],[Baller]],PO_TOT[Cookies])</f>
        <v>0</v>
      </c>
      <c r="X16" s="74">
        <f>SUMIF(RR_TOT[Baller],Overall_TOT[[#This Row],[Baller]],RR_TOT[Swats])+SUMIF(PO_TOT[Baller],Overall_TOT[[#This Row],[Baller]],PO_TOT[Swats])</f>
        <v>0</v>
      </c>
      <c r="Y16" s="74">
        <f>SUMIF(RR_TOT[Baller],Overall_TOT[[#This Row],[Baller]],RR_TOT[Turnovers])+SUMIF(PO_TOT[Baller],Overall_TOT[[#This Row],[Baller]],PO_TOT[Turnovers])</f>
        <v>0</v>
      </c>
      <c r="Z16" s="204" t="e">
        <f>Overall_TOT[[#This Row],[Dimes]]/Overall_TOT[[#This Row],[Turnovers]]</f>
        <v>#DIV/0!</v>
      </c>
    </row>
    <row r="17" spans="1:26" hidden="1" x14ac:dyDescent="0.2">
      <c r="A17" s="14" t="s">
        <v>31</v>
      </c>
      <c r="B17" t="s">
        <v>84</v>
      </c>
      <c r="C17" t="s">
        <v>132</v>
      </c>
      <c r="D17" s="86">
        <f>SUMIF(RR_TOT[Baller],Overall_TOT[[#This Row],[Baller]],RR_TOT[Games Played])+SUMIF(PO_TOT[Baller],Overall_TOT[[#This Row],[Baller]],PO_TOT[Games Played])</f>
        <v>0</v>
      </c>
      <c r="E17" s="74">
        <f>SUMIF(RR_TOT[Baller],Overall_TOT[[#This Row],[Baller]],RR_TOT[Total FGM])+SUMIF(PO_TOT[Baller],Overall_TOT[[#This Row],[Baller]],PO_TOT[Total FGM])</f>
        <v>0</v>
      </c>
      <c r="F17" s="74">
        <f>SUMIF(RR_TOT[Baller],Overall_TOT[[#This Row],[Baller]],RR_TOT[Total FGA])+SUMIF(PO_TOT[Baller],Overall_TOT[[#This Row],[Baller]],PO_TOT[Total FGA])</f>
        <v>0</v>
      </c>
      <c r="G17" s="203" t="e">
        <f>Overall_TOT[[#This Row],[Total FGM]]/Overall_TOT[[#This Row],[Total FGA]]</f>
        <v>#DIV/0!</v>
      </c>
      <c r="H17" s="98">
        <f>SUMIF(RR_TOT[Baller],Overall_TOT[[#This Row],[Baller]],RR_TOT[2PT FGM])+SUMIF(PO_TOT[Baller],Overall_TOT[[#This Row],[Baller]],PO_TOT[2PT FGM])</f>
        <v>0</v>
      </c>
      <c r="I17" s="19">
        <f>SUMIF(RR_TOT[Baller],Overall_TOT[[#This Row],[Baller]],RR_TOT[2PT FGA])+SUMIF(PO_TOT[Baller],Overall_TOT[[#This Row],[Baller]],PO_TOT[2PT FGA])</f>
        <v>0</v>
      </c>
      <c r="J17" s="91" t="e">
        <f>Overall_TOT[[#This Row],[2PT FGM]]/Overall_TOT[[#This Row],[2PT FGA]]</f>
        <v>#DIV/0!</v>
      </c>
      <c r="K17" s="19">
        <f>SUMIF(RR_TOT[Baller],Overall_TOT[[#This Row],[Baller]],RR_TOT[3PT FGM])+SUMIF(PO_TOT[Baller],Overall_TOT[[#This Row],[Baller]],PO_TOT[3PT FGM])</f>
        <v>0</v>
      </c>
      <c r="L17" s="19">
        <f>SUMIF(RR_TOT[Baller],Overall_TOT[[#This Row],[Baller]],RR_TOT[3PT FGA])+SUMIF(PO_TOT[Baller],Overall_TOT[[#This Row],[Baller]],PO_TOT[3PT FGA])</f>
        <v>0</v>
      </c>
      <c r="M17" s="91" t="e">
        <f>Overall_TOT[[#This Row],[3PT FGM]]/Overall_TOT[[#This Row],[3PT FGA]]</f>
        <v>#DIV/0!</v>
      </c>
      <c r="N17" s="19">
        <f>SUMIF(RR_TOT[Baller],Overall_TOT[[#This Row],[Baller]],RR_TOT[FTM])+SUMIF(PO_TOT[Baller],Overall_TOT[[#This Row],[Baller]],PO_TOT[FTM])</f>
        <v>0</v>
      </c>
      <c r="O17" s="19">
        <f>SUMIF(RR_TOT[Baller],Overall_TOT[[#This Row],[Baller]],RR_TOT[FTA])+SUMIF(PO_TOT[Baller],Overall_TOT[[#This Row],[Baller]],PO_TOT[FTA])</f>
        <v>0</v>
      </c>
      <c r="P17" s="99" t="e">
        <f>Overall_TOT[[#This Row],[FTM]]/Overall_TOT[[#This Row],[FTA]]</f>
        <v>#DIV/0!</v>
      </c>
      <c r="Q17" s="74">
        <f>SUMIF(RR_TOT[Baller],Overall_TOT[[#This Row],[Baller]],RR_TOT[TOTAL POINTS])+SUMIF(PO_TOT[Baller],Overall_TOT[[#This Row],[Baller]],PO_TOT[TOTAL POINTS])</f>
        <v>0</v>
      </c>
      <c r="R17" s="74">
        <f>SUMIF(RR_TOT[Baller],Overall_TOT[[#This Row],[Baller]],RR_TOT[Dunks])+SUMIF(PO_TOT[Baller],Overall_TOT[[#This Row],[Baller]],PO_TOT[Dunks])</f>
        <v>0</v>
      </c>
      <c r="S17" s="74">
        <f>SUMIF(RR_TOT[Baller],Overall_TOT[[#This Row],[Baller]],RR_TOT[Def. Boards])+SUMIF(PO_TOT[Baller],Overall_TOT[[#This Row],[Baller]],PO_TOT[Def. Boards])</f>
        <v>0</v>
      </c>
      <c r="T17" s="74">
        <f>SUMIF(RR_TOT[Baller],Overall_TOT[[#This Row],[Baller]],RR_TOT[Off. Boards])+SUMIF(PO_TOT[Baller],Overall_TOT[[#This Row],[Baller]],PO_TOT[Off. Boards])</f>
        <v>0</v>
      </c>
      <c r="U17" s="74">
        <f>SUMIF(RR_TOT[Baller],Overall_TOT[[#This Row],[Baller]],RR_TOT[Total Boards])+SUMIF(PO_TOT[Baller],Overall_TOT[[#This Row],[Baller]],PO_TOT[Total Boards])</f>
        <v>0</v>
      </c>
      <c r="V17" s="74">
        <f>SUMIF(RR_TOT[Baller],Overall_TOT[[#This Row],[Baller]],RR_TOT[Dimes])+SUMIF(PO_TOT[Baller],Overall_TOT[[#This Row],[Baller]],PO_TOT[Dimes])</f>
        <v>0</v>
      </c>
      <c r="W17" s="74">
        <f>SUMIF(RR_TOT[Baller],Overall_TOT[[#This Row],[Baller]],RR_TOT[Cookies])+SUMIF(PO_TOT[Baller],Overall_TOT[[#This Row],[Baller]],PO_TOT[Cookies])</f>
        <v>0</v>
      </c>
      <c r="X17" s="74">
        <f>SUMIF(RR_TOT[Baller],Overall_TOT[[#This Row],[Baller]],RR_TOT[Swats])+SUMIF(PO_TOT[Baller],Overall_TOT[[#This Row],[Baller]],PO_TOT[Swats])</f>
        <v>0</v>
      </c>
      <c r="Y17" s="74">
        <f>SUMIF(RR_TOT[Baller],Overall_TOT[[#This Row],[Baller]],RR_TOT[Turnovers])+SUMIF(PO_TOT[Baller],Overall_TOT[[#This Row],[Baller]],PO_TOT[Turnovers])</f>
        <v>0</v>
      </c>
      <c r="Z17" s="204" t="e">
        <f>Overall_TOT[[#This Row],[Dimes]]/Overall_TOT[[#This Row],[Turnovers]]</f>
        <v>#DIV/0!</v>
      </c>
    </row>
    <row r="18" spans="1:26" hidden="1" x14ac:dyDescent="0.2">
      <c r="A18" s="14" t="s">
        <v>57</v>
      </c>
      <c r="B18" t="s">
        <v>86</v>
      </c>
      <c r="C18" t="s">
        <v>132</v>
      </c>
      <c r="D18" s="86">
        <f>SUMIF(RR_TOT[Baller],Overall_TOT[[#This Row],[Baller]],RR_TOT[Games Played])+SUMIF(PO_TOT[Baller],Overall_TOT[[#This Row],[Baller]],PO_TOT[Games Played])</f>
        <v>0</v>
      </c>
      <c r="E18" s="74">
        <f>SUMIF(RR_TOT[Baller],Overall_TOT[[#This Row],[Baller]],RR_TOT[Total FGM])+SUMIF(PO_TOT[Baller],Overall_TOT[[#This Row],[Baller]],PO_TOT[Total FGM])</f>
        <v>0</v>
      </c>
      <c r="F18" s="74">
        <f>SUMIF(RR_TOT[Baller],Overall_TOT[[#This Row],[Baller]],RR_TOT[Total FGA])+SUMIF(PO_TOT[Baller],Overall_TOT[[#This Row],[Baller]],PO_TOT[Total FGA])</f>
        <v>0</v>
      </c>
      <c r="G18" s="203" t="e">
        <f>Overall_TOT[[#This Row],[Total FGM]]/Overall_TOT[[#This Row],[Total FGA]]</f>
        <v>#DIV/0!</v>
      </c>
      <c r="H18" s="98">
        <f>SUMIF(RR_TOT[Baller],Overall_TOT[[#This Row],[Baller]],RR_TOT[2PT FGM])+SUMIF(PO_TOT[Baller],Overall_TOT[[#This Row],[Baller]],PO_TOT[2PT FGM])</f>
        <v>0</v>
      </c>
      <c r="I18" s="19">
        <f>SUMIF(RR_TOT[Baller],Overall_TOT[[#This Row],[Baller]],RR_TOT[2PT FGA])+SUMIF(PO_TOT[Baller],Overall_TOT[[#This Row],[Baller]],PO_TOT[2PT FGA])</f>
        <v>0</v>
      </c>
      <c r="J18" s="91" t="e">
        <f>Overall_TOT[[#This Row],[2PT FGM]]/Overall_TOT[[#This Row],[2PT FGA]]</f>
        <v>#DIV/0!</v>
      </c>
      <c r="K18" s="19">
        <f>SUMIF(RR_TOT[Baller],Overall_TOT[[#This Row],[Baller]],RR_TOT[3PT FGM])+SUMIF(PO_TOT[Baller],Overall_TOT[[#This Row],[Baller]],PO_TOT[3PT FGM])</f>
        <v>0</v>
      </c>
      <c r="L18" s="19">
        <f>SUMIF(RR_TOT[Baller],Overall_TOT[[#This Row],[Baller]],RR_TOT[3PT FGA])+SUMIF(PO_TOT[Baller],Overall_TOT[[#This Row],[Baller]],PO_TOT[3PT FGA])</f>
        <v>0</v>
      </c>
      <c r="M18" s="91" t="e">
        <f>Overall_TOT[[#This Row],[3PT FGM]]/Overall_TOT[[#This Row],[3PT FGA]]</f>
        <v>#DIV/0!</v>
      </c>
      <c r="N18" s="19">
        <f>SUMIF(RR_TOT[Baller],Overall_TOT[[#This Row],[Baller]],RR_TOT[FTM])+SUMIF(PO_TOT[Baller],Overall_TOT[[#This Row],[Baller]],PO_TOT[FTM])</f>
        <v>0</v>
      </c>
      <c r="O18" s="19">
        <f>SUMIF(RR_TOT[Baller],Overall_TOT[[#This Row],[Baller]],RR_TOT[FTA])+SUMIF(PO_TOT[Baller],Overall_TOT[[#This Row],[Baller]],PO_TOT[FTA])</f>
        <v>0</v>
      </c>
      <c r="P18" s="99" t="e">
        <f>Overall_TOT[[#This Row],[FTM]]/Overall_TOT[[#This Row],[FTA]]</f>
        <v>#DIV/0!</v>
      </c>
      <c r="Q18" s="74">
        <f>SUMIF(RR_TOT[Baller],Overall_TOT[[#This Row],[Baller]],RR_TOT[TOTAL POINTS])+SUMIF(PO_TOT[Baller],Overall_TOT[[#This Row],[Baller]],PO_TOT[TOTAL POINTS])</f>
        <v>0</v>
      </c>
      <c r="R18" s="74">
        <f>SUMIF(RR_TOT[Baller],Overall_TOT[[#This Row],[Baller]],RR_TOT[Dunks])+SUMIF(PO_TOT[Baller],Overall_TOT[[#This Row],[Baller]],PO_TOT[Dunks])</f>
        <v>0</v>
      </c>
      <c r="S18" s="74">
        <f>SUMIF(RR_TOT[Baller],Overall_TOT[[#This Row],[Baller]],RR_TOT[Def. Boards])+SUMIF(PO_TOT[Baller],Overall_TOT[[#This Row],[Baller]],PO_TOT[Def. Boards])</f>
        <v>0</v>
      </c>
      <c r="T18" s="74">
        <f>SUMIF(RR_TOT[Baller],Overall_TOT[[#This Row],[Baller]],RR_TOT[Off. Boards])+SUMIF(PO_TOT[Baller],Overall_TOT[[#This Row],[Baller]],PO_TOT[Off. Boards])</f>
        <v>0</v>
      </c>
      <c r="U18" s="74">
        <f>SUMIF(RR_TOT[Baller],Overall_TOT[[#This Row],[Baller]],RR_TOT[Total Boards])+SUMIF(PO_TOT[Baller],Overall_TOT[[#This Row],[Baller]],PO_TOT[Total Boards])</f>
        <v>0</v>
      </c>
      <c r="V18" s="74">
        <f>SUMIF(RR_TOT[Baller],Overall_TOT[[#This Row],[Baller]],RR_TOT[Dimes])+SUMIF(PO_TOT[Baller],Overall_TOT[[#This Row],[Baller]],PO_TOT[Dimes])</f>
        <v>0</v>
      </c>
      <c r="W18" s="74">
        <f>SUMIF(RR_TOT[Baller],Overall_TOT[[#This Row],[Baller]],RR_TOT[Cookies])+SUMIF(PO_TOT[Baller],Overall_TOT[[#This Row],[Baller]],PO_TOT[Cookies])</f>
        <v>0</v>
      </c>
      <c r="X18" s="74">
        <f>SUMIF(RR_TOT[Baller],Overall_TOT[[#This Row],[Baller]],RR_TOT[Swats])+SUMIF(PO_TOT[Baller],Overall_TOT[[#This Row],[Baller]],PO_TOT[Swats])</f>
        <v>0</v>
      </c>
      <c r="Y18" s="74">
        <f>SUMIF(RR_TOT[Baller],Overall_TOT[[#This Row],[Baller]],RR_TOT[Turnovers])+SUMIF(PO_TOT[Baller],Overall_TOT[[#This Row],[Baller]],PO_TOT[Turnovers])</f>
        <v>0</v>
      </c>
      <c r="Z18" s="204" t="e">
        <f>Overall_TOT[[#This Row],[Dimes]]/Overall_TOT[[#This Row],[Turnovers]]</f>
        <v>#DIV/0!</v>
      </c>
    </row>
    <row r="19" spans="1:26" hidden="1" x14ac:dyDescent="0.2">
      <c r="A19" s="14" t="s">
        <v>54</v>
      </c>
      <c r="B19" t="s">
        <v>87</v>
      </c>
      <c r="C19" t="s">
        <v>132</v>
      </c>
      <c r="D19" s="86">
        <f>SUMIF(RR_TOT[Baller],Overall_TOT[[#This Row],[Baller]],RR_TOT[Games Played])+SUMIF(PO_TOT[Baller],Overall_TOT[[#This Row],[Baller]],PO_TOT[Games Played])</f>
        <v>0</v>
      </c>
      <c r="E19" s="74">
        <f>SUMIF(RR_TOT[Baller],Overall_TOT[[#This Row],[Baller]],RR_TOT[Total FGM])+SUMIF(PO_TOT[Baller],Overall_TOT[[#This Row],[Baller]],PO_TOT[Total FGM])</f>
        <v>0</v>
      </c>
      <c r="F19" s="74">
        <f>SUMIF(RR_TOT[Baller],Overall_TOT[[#This Row],[Baller]],RR_TOT[Total FGA])+SUMIF(PO_TOT[Baller],Overall_TOT[[#This Row],[Baller]],PO_TOT[Total FGA])</f>
        <v>0</v>
      </c>
      <c r="G19" s="203" t="e">
        <f>Overall_TOT[[#This Row],[Total FGM]]/Overall_TOT[[#This Row],[Total FGA]]</f>
        <v>#DIV/0!</v>
      </c>
      <c r="H19" s="98">
        <f>SUMIF(RR_TOT[Baller],Overall_TOT[[#This Row],[Baller]],RR_TOT[2PT FGM])+SUMIF(PO_TOT[Baller],Overall_TOT[[#This Row],[Baller]],PO_TOT[2PT FGM])</f>
        <v>0</v>
      </c>
      <c r="I19" s="19">
        <f>SUMIF(RR_TOT[Baller],Overall_TOT[[#This Row],[Baller]],RR_TOT[2PT FGA])+SUMIF(PO_TOT[Baller],Overall_TOT[[#This Row],[Baller]],PO_TOT[2PT FGA])</f>
        <v>0</v>
      </c>
      <c r="J19" s="91" t="e">
        <f>Overall_TOT[[#This Row],[2PT FGM]]/Overall_TOT[[#This Row],[2PT FGA]]</f>
        <v>#DIV/0!</v>
      </c>
      <c r="K19" s="19">
        <f>SUMIF(RR_TOT[Baller],Overall_TOT[[#This Row],[Baller]],RR_TOT[3PT FGM])+SUMIF(PO_TOT[Baller],Overall_TOT[[#This Row],[Baller]],PO_TOT[3PT FGM])</f>
        <v>0</v>
      </c>
      <c r="L19" s="19">
        <f>SUMIF(RR_TOT[Baller],Overall_TOT[[#This Row],[Baller]],RR_TOT[3PT FGA])+SUMIF(PO_TOT[Baller],Overall_TOT[[#This Row],[Baller]],PO_TOT[3PT FGA])</f>
        <v>0</v>
      </c>
      <c r="M19" s="91" t="e">
        <f>Overall_TOT[[#This Row],[3PT FGM]]/Overall_TOT[[#This Row],[3PT FGA]]</f>
        <v>#DIV/0!</v>
      </c>
      <c r="N19" s="19">
        <f>SUMIF(RR_TOT[Baller],Overall_TOT[[#This Row],[Baller]],RR_TOT[FTM])+SUMIF(PO_TOT[Baller],Overall_TOT[[#This Row],[Baller]],PO_TOT[FTM])</f>
        <v>0</v>
      </c>
      <c r="O19" s="19">
        <f>SUMIF(RR_TOT[Baller],Overall_TOT[[#This Row],[Baller]],RR_TOT[FTA])+SUMIF(PO_TOT[Baller],Overall_TOT[[#This Row],[Baller]],PO_TOT[FTA])</f>
        <v>0</v>
      </c>
      <c r="P19" s="99" t="e">
        <f>Overall_TOT[[#This Row],[FTM]]/Overall_TOT[[#This Row],[FTA]]</f>
        <v>#DIV/0!</v>
      </c>
      <c r="Q19" s="74">
        <f>SUMIF(RR_TOT[Baller],Overall_TOT[[#This Row],[Baller]],RR_TOT[TOTAL POINTS])+SUMIF(PO_TOT[Baller],Overall_TOT[[#This Row],[Baller]],PO_TOT[TOTAL POINTS])</f>
        <v>0</v>
      </c>
      <c r="R19" s="74">
        <f>SUMIF(RR_TOT[Baller],Overall_TOT[[#This Row],[Baller]],RR_TOT[Dunks])+SUMIF(PO_TOT[Baller],Overall_TOT[[#This Row],[Baller]],PO_TOT[Dunks])</f>
        <v>0</v>
      </c>
      <c r="S19" s="74">
        <f>SUMIF(RR_TOT[Baller],Overall_TOT[[#This Row],[Baller]],RR_TOT[Def. Boards])+SUMIF(PO_TOT[Baller],Overall_TOT[[#This Row],[Baller]],PO_TOT[Def. Boards])</f>
        <v>0</v>
      </c>
      <c r="T19" s="74">
        <f>SUMIF(RR_TOT[Baller],Overall_TOT[[#This Row],[Baller]],RR_TOT[Off. Boards])+SUMIF(PO_TOT[Baller],Overall_TOT[[#This Row],[Baller]],PO_TOT[Off. Boards])</f>
        <v>0</v>
      </c>
      <c r="U19" s="74">
        <f>SUMIF(RR_TOT[Baller],Overall_TOT[[#This Row],[Baller]],RR_TOT[Total Boards])+SUMIF(PO_TOT[Baller],Overall_TOT[[#This Row],[Baller]],PO_TOT[Total Boards])</f>
        <v>0</v>
      </c>
      <c r="V19" s="74">
        <f>SUMIF(RR_TOT[Baller],Overall_TOT[[#This Row],[Baller]],RR_TOT[Dimes])+SUMIF(PO_TOT[Baller],Overall_TOT[[#This Row],[Baller]],PO_TOT[Dimes])</f>
        <v>0</v>
      </c>
      <c r="W19" s="74">
        <f>SUMIF(RR_TOT[Baller],Overall_TOT[[#This Row],[Baller]],RR_TOT[Cookies])+SUMIF(PO_TOT[Baller],Overall_TOT[[#This Row],[Baller]],PO_TOT[Cookies])</f>
        <v>0</v>
      </c>
      <c r="X19" s="74">
        <f>SUMIF(RR_TOT[Baller],Overall_TOT[[#This Row],[Baller]],RR_TOT[Swats])+SUMIF(PO_TOT[Baller],Overall_TOT[[#This Row],[Baller]],PO_TOT[Swats])</f>
        <v>0</v>
      </c>
      <c r="Y19" s="74">
        <f>SUMIF(RR_TOT[Baller],Overall_TOT[[#This Row],[Baller]],RR_TOT[Turnovers])+SUMIF(PO_TOT[Baller],Overall_TOT[[#This Row],[Baller]],PO_TOT[Turnovers])</f>
        <v>0</v>
      </c>
      <c r="Z19" s="204" t="e">
        <f>Overall_TOT[[#This Row],[Dimes]]/Overall_TOT[[#This Row],[Turnovers]]</f>
        <v>#DIV/0!</v>
      </c>
    </row>
    <row r="20" spans="1:26" hidden="1" x14ac:dyDescent="0.2">
      <c r="A20" s="14" t="s">
        <v>39</v>
      </c>
      <c r="B20" t="s">
        <v>89</v>
      </c>
      <c r="C20" t="s">
        <v>132</v>
      </c>
      <c r="D20" s="86">
        <f>SUMIF(RR_TOT[Baller],Overall_TOT[[#This Row],[Baller]],RR_TOT[Games Played])+SUMIF(PO_TOT[Baller],Overall_TOT[[#This Row],[Baller]],PO_TOT[Games Played])</f>
        <v>0</v>
      </c>
      <c r="E20" s="74">
        <f>SUMIF(RR_TOT[Baller],Overall_TOT[[#This Row],[Baller]],RR_TOT[Total FGM])+SUMIF(PO_TOT[Baller],Overall_TOT[[#This Row],[Baller]],PO_TOT[Total FGM])</f>
        <v>0</v>
      </c>
      <c r="F20" s="74">
        <f>SUMIF(RR_TOT[Baller],Overall_TOT[[#This Row],[Baller]],RR_TOT[Total FGA])+SUMIF(PO_TOT[Baller],Overall_TOT[[#This Row],[Baller]],PO_TOT[Total FGA])</f>
        <v>0</v>
      </c>
      <c r="G20" s="203" t="e">
        <f>Overall_TOT[[#This Row],[Total FGM]]/Overall_TOT[[#This Row],[Total FGA]]</f>
        <v>#DIV/0!</v>
      </c>
      <c r="H20" s="98">
        <f>SUMIF(RR_TOT[Baller],Overall_TOT[[#This Row],[Baller]],RR_TOT[2PT FGM])+SUMIF(PO_TOT[Baller],Overall_TOT[[#This Row],[Baller]],PO_TOT[2PT FGM])</f>
        <v>0</v>
      </c>
      <c r="I20" s="19">
        <f>SUMIF(RR_TOT[Baller],Overall_TOT[[#This Row],[Baller]],RR_TOT[2PT FGA])+SUMIF(PO_TOT[Baller],Overall_TOT[[#This Row],[Baller]],PO_TOT[2PT FGA])</f>
        <v>0</v>
      </c>
      <c r="J20" s="91" t="e">
        <f>Overall_TOT[[#This Row],[2PT FGM]]/Overall_TOT[[#This Row],[2PT FGA]]</f>
        <v>#DIV/0!</v>
      </c>
      <c r="K20" s="19">
        <f>SUMIF(RR_TOT[Baller],Overall_TOT[[#This Row],[Baller]],RR_TOT[3PT FGM])+SUMIF(PO_TOT[Baller],Overall_TOT[[#This Row],[Baller]],PO_TOT[3PT FGM])</f>
        <v>0</v>
      </c>
      <c r="L20" s="19">
        <f>SUMIF(RR_TOT[Baller],Overall_TOT[[#This Row],[Baller]],RR_TOT[3PT FGA])+SUMIF(PO_TOT[Baller],Overall_TOT[[#This Row],[Baller]],PO_TOT[3PT FGA])</f>
        <v>0</v>
      </c>
      <c r="M20" s="91" t="e">
        <f>Overall_TOT[[#This Row],[3PT FGM]]/Overall_TOT[[#This Row],[3PT FGA]]</f>
        <v>#DIV/0!</v>
      </c>
      <c r="N20" s="19">
        <f>SUMIF(RR_TOT[Baller],Overall_TOT[[#This Row],[Baller]],RR_TOT[FTM])+SUMIF(PO_TOT[Baller],Overall_TOT[[#This Row],[Baller]],PO_TOT[FTM])</f>
        <v>0</v>
      </c>
      <c r="O20" s="19">
        <f>SUMIF(RR_TOT[Baller],Overall_TOT[[#This Row],[Baller]],RR_TOT[FTA])+SUMIF(PO_TOT[Baller],Overall_TOT[[#This Row],[Baller]],PO_TOT[FTA])</f>
        <v>0</v>
      </c>
      <c r="P20" s="99" t="e">
        <f>Overall_TOT[[#This Row],[FTM]]/Overall_TOT[[#This Row],[FTA]]</f>
        <v>#DIV/0!</v>
      </c>
      <c r="Q20" s="74">
        <f>SUMIF(RR_TOT[Baller],Overall_TOT[[#This Row],[Baller]],RR_TOT[TOTAL POINTS])+SUMIF(PO_TOT[Baller],Overall_TOT[[#This Row],[Baller]],PO_TOT[TOTAL POINTS])</f>
        <v>0</v>
      </c>
      <c r="R20" s="74">
        <f>SUMIF(RR_TOT[Baller],Overall_TOT[[#This Row],[Baller]],RR_TOT[Dunks])+SUMIF(PO_TOT[Baller],Overall_TOT[[#This Row],[Baller]],PO_TOT[Dunks])</f>
        <v>0</v>
      </c>
      <c r="S20" s="74">
        <f>SUMIF(RR_TOT[Baller],Overall_TOT[[#This Row],[Baller]],RR_TOT[Def. Boards])+SUMIF(PO_TOT[Baller],Overall_TOT[[#This Row],[Baller]],PO_TOT[Def. Boards])</f>
        <v>0</v>
      </c>
      <c r="T20" s="74">
        <f>SUMIF(RR_TOT[Baller],Overall_TOT[[#This Row],[Baller]],RR_TOT[Off. Boards])+SUMIF(PO_TOT[Baller],Overall_TOT[[#This Row],[Baller]],PO_TOT[Off. Boards])</f>
        <v>0</v>
      </c>
      <c r="U20" s="74">
        <f>SUMIF(RR_TOT[Baller],Overall_TOT[[#This Row],[Baller]],RR_TOT[Total Boards])+SUMIF(PO_TOT[Baller],Overall_TOT[[#This Row],[Baller]],PO_TOT[Total Boards])</f>
        <v>0</v>
      </c>
      <c r="V20" s="74">
        <f>SUMIF(RR_TOT[Baller],Overall_TOT[[#This Row],[Baller]],RR_TOT[Dimes])+SUMIF(PO_TOT[Baller],Overall_TOT[[#This Row],[Baller]],PO_TOT[Dimes])</f>
        <v>0</v>
      </c>
      <c r="W20" s="74">
        <f>SUMIF(RR_TOT[Baller],Overall_TOT[[#This Row],[Baller]],RR_TOT[Cookies])+SUMIF(PO_TOT[Baller],Overall_TOT[[#This Row],[Baller]],PO_TOT[Cookies])</f>
        <v>0</v>
      </c>
      <c r="X20" s="74">
        <f>SUMIF(RR_TOT[Baller],Overall_TOT[[#This Row],[Baller]],RR_TOT[Swats])+SUMIF(PO_TOT[Baller],Overall_TOT[[#This Row],[Baller]],PO_TOT[Swats])</f>
        <v>0</v>
      </c>
      <c r="Y20" s="74">
        <f>SUMIF(RR_TOT[Baller],Overall_TOT[[#This Row],[Baller]],RR_TOT[Turnovers])+SUMIF(PO_TOT[Baller],Overall_TOT[[#This Row],[Baller]],PO_TOT[Turnovers])</f>
        <v>0</v>
      </c>
      <c r="Z20" s="204" t="e">
        <f>Overall_TOT[[#This Row],[Dimes]]/Overall_TOT[[#This Row],[Turnovers]]</f>
        <v>#DIV/0!</v>
      </c>
    </row>
    <row r="21" spans="1:26" hidden="1" x14ac:dyDescent="0.2">
      <c r="A21" s="14" t="s">
        <v>28</v>
      </c>
      <c r="B21" t="s">
        <v>92</v>
      </c>
      <c r="C21" t="s">
        <v>132</v>
      </c>
      <c r="D21" s="86">
        <f>SUMIF(RR_TOT[Baller],Overall_TOT[[#This Row],[Baller]],RR_TOT[Games Played])+SUMIF(PO_TOT[Baller],Overall_TOT[[#This Row],[Baller]],PO_TOT[Games Played])</f>
        <v>0</v>
      </c>
      <c r="E21" s="74">
        <f>SUMIF(RR_TOT[Baller],Overall_TOT[[#This Row],[Baller]],RR_TOT[Total FGM])+SUMIF(PO_TOT[Baller],Overall_TOT[[#This Row],[Baller]],PO_TOT[Total FGM])</f>
        <v>0</v>
      </c>
      <c r="F21" s="74">
        <f>SUMIF(RR_TOT[Baller],Overall_TOT[[#This Row],[Baller]],RR_TOT[Total FGA])+SUMIF(PO_TOT[Baller],Overall_TOT[[#This Row],[Baller]],PO_TOT[Total FGA])</f>
        <v>0</v>
      </c>
      <c r="G21" s="203" t="e">
        <f>Overall_TOT[[#This Row],[Total FGM]]/Overall_TOT[[#This Row],[Total FGA]]</f>
        <v>#DIV/0!</v>
      </c>
      <c r="H21" s="98">
        <f>SUMIF(RR_TOT[Baller],Overall_TOT[[#This Row],[Baller]],RR_TOT[2PT FGM])+SUMIF(PO_TOT[Baller],Overall_TOT[[#This Row],[Baller]],PO_TOT[2PT FGM])</f>
        <v>0</v>
      </c>
      <c r="I21" s="19">
        <f>SUMIF(RR_TOT[Baller],Overall_TOT[[#This Row],[Baller]],RR_TOT[2PT FGA])+SUMIF(PO_TOT[Baller],Overall_TOT[[#This Row],[Baller]],PO_TOT[2PT FGA])</f>
        <v>0</v>
      </c>
      <c r="J21" s="91" t="e">
        <f>Overall_TOT[[#This Row],[2PT FGM]]/Overall_TOT[[#This Row],[2PT FGA]]</f>
        <v>#DIV/0!</v>
      </c>
      <c r="K21" s="19">
        <f>SUMIF(RR_TOT[Baller],Overall_TOT[[#This Row],[Baller]],RR_TOT[3PT FGM])+SUMIF(PO_TOT[Baller],Overall_TOT[[#This Row],[Baller]],PO_TOT[3PT FGM])</f>
        <v>0</v>
      </c>
      <c r="L21" s="19">
        <f>SUMIF(RR_TOT[Baller],Overall_TOT[[#This Row],[Baller]],RR_TOT[3PT FGA])+SUMIF(PO_TOT[Baller],Overall_TOT[[#This Row],[Baller]],PO_TOT[3PT FGA])</f>
        <v>0</v>
      </c>
      <c r="M21" s="91" t="e">
        <f>Overall_TOT[[#This Row],[3PT FGM]]/Overall_TOT[[#This Row],[3PT FGA]]</f>
        <v>#DIV/0!</v>
      </c>
      <c r="N21" s="19">
        <f>SUMIF(RR_TOT[Baller],Overall_TOT[[#This Row],[Baller]],RR_TOT[FTM])+SUMIF(PO_TOT[Baller],Overall_TOT[[#This Row],[Baller]],PO_TOT[FTM])</f>
        <v>0</v>
      </c>
      <c r="O21" s="19">
        <f>SUMIF(RR_TOT[Baller],Overall_TOT[[#This Row],[Baller]],RR_TOT[FTA])+SUMIF(PO_TOT[Baller],Overall_TOT[[#This Row],[Baller]],PO_TOT[FTA])</f>
        <v>0</v>
      </c>
      <c r="P21" s="99" t="e">
        <f>Overall_TOT[[#This Row],[FTM]]/Overall_TOT[[#This Row],[FTA]]</f>
        <v>#DIV/0!</v>
      </c>
      <c r="Q21" s="74">
        <f>SUMIF(RR_TOT[Baller],Overall_TOT[[#This Row],[Baller]],RR_TOT[TOTAL POINTS])+SUMIF(PO_TOT[Baller],Overall_TOT[[#This Row],[Baller]],PO_TOT[TOTAL POINTS])</f>
        <v>0</v>
      </c>
      <c r="R21" s="74">
        <f>SUMIF(RR_TOT[Baller],Overall_TOT[[#This Row],[Baller]],RR_TOT[Dunks])+SUMIF(PO_TOT[Baller],Overall_TOT[[#This Row],[Baller]],PO_TOT[Dunks])</f>
        <v>0</v>
      </c>
      <c r="S21" s="74">
        <f>SUMIF(RR_TOT[Baller],Overall_TOT[[#This Row],[Baller]],RR_TOT[Def. Boards])+SUMIF(PO_TOT[Baller],Overall_TOT[[#This Row],[Baller]],PO_TOT[Def. Boards])</f>
        <v>0</v>
      </c>
      <c r="T21" s="74">
        <f>SUMIF(RR_TOT[Baller],Overall_TOT[[#This Row],[Baller]],RR_TOT[Off. Boards])+SUMIF(PO_TOT[Baller],Overall_TOT[[#This Row],[Baller]],PO_TOT[Off. Boards])</f>
        <v>0</v>
      </c>
      <c r="U21" s="74">
        <f>SUMIF(RR_TOT[Baller],Overall_TOT[[#This Row],[Baller]],RR_TOT[Total Boards])+SUMIF(PO_TOT[Baller],Overall_TOT[[#This Row],[Baller]],PO_TOT[Total Boards])</f>
        <v>0</v>
      </c>
      <c r="V21" s="74">
        <f>SUMIF(RR_TOT[Baller],Overall_TOT[[#This Row],[Baller]],RR_TOT[Dimes])+SUMIF(PO_TOT[Baller],Overall_TOT[[#This Row],[Baller]],PO_TOT[Dimes])</f>
        <v>0</v>
      </c>
      <c r="W21" s="74">
        <f>SUMIF(RR_TOT[Baller],Overall_TOT[[#This Row],[Baller]],RR_TOT[Cookies])+SUMIF(PO_TOT[Baller],Overall_TOT[[#This Row],[Baller]],PO_TOT[Cookies])</f>
        <v>0</v>
      </c>
      <c r="X21" s="74">
        <f>SUMIF(RR_TOT[Baller],Overall_TOT[[#This Row],[Baller]],RR_TOT[Swats])+SUMIF(PO_TOT[Baller],Overall_TOT[[#This Row],[Baller]],PO_TOT[Swats])</f>
        <v>0</v>
      </c>
      <c r="Y21" s="74">
        <f>SUMIF(RR_TOT[Baller],Overall_TOT[[#This Row],[Baller]],RR_TOT[Turnovers])+SUMIF(PO_TOT[Baller],Overall_TOT[[#This Row],[Baller]],PO_TOT[Turnovers])</f>
        <v>0</v>
      </c>
      <c r="Z21" s="204" t="e">
        <f>Overall_TOT[[#This Row],[Dimes]]/Overall_TOT[[#This Row],[Turnovers]]</f>
        <v>#DIV/0!</v>
      </c>
    </row>
    <row r="22" spans="1:26" hidden="1" x14ac:dyDescent="0.2">
      <c r="A22" s="14" t="s">
        <v>50</v>
      </c>
      <c r="B22" t="s">
        <v>93</v>
      </c>
      <c r="C22" t="s">
        <v>132</v>
      </c>
      <c r="D22" s="86">
        <f>SUMIF(RR_TOT[Baller],Overall_TOT[[#This Row],[Baller]],RR_TOT[Games Played])+SUMIF(PO_TOT[Baller],Overall_TOT[[#This Row],[Baller]],PO_TOT[Games Played])</f>
        <v>0</v>
      </c>
      <c r="E22" s="74">
        <f>SUMIF(RR_TOT[Baller],Overall_TOT[[#This Row],[Baller]],RR_TOT[Total FGM])+SUMIF(PO_TOT[Baller],Overall_TOT[[#This Row],[Baller]],PO_TOT[Total FGM])</f>
        <v>0</v>
      </c>
      <c r="F22" s="74">
        <f>SUMIF(RR_TOT[Baller],Overall_TOT[[#This Row],[Baller]],RR_TOT[Total FGA])+SUMIF(PO_TOT[Baller],Overall_TOT[[#This Row],[Baller]],PO_TOT[Total FGA])</f>
        <v>0</v>
      </c>
      <c r="G22" s="203" t="e">
        <f>Overall_TOT[[#This Row],[Total FGM]]/Overall_TOT[[#This Row],[Total FGA]]</f>
        <v>#DIV/0!</v>
      </c>
      <c r="H22" s="98">
        <f>SUMIF(RR_TOT[Baller],Overall_TOT[[#This Row],[Baller]],RR_TOT[2PT FGM])+SUMIF(PO_TOT[Baller],Overall_TOT[[#This Row],[Baller]],PO_TOT[2PT FGM])</f>
        <v>0</v>
      </c>
      <c r="I22" s="19">
        <f>SUMIF(RR_TOT[Baller],Overall_TOT[[#This Row],[Baller]],RR_TOT[2PT FGA])+SUMIF(PO_TOT[Baller],Overall_TOT[[#This Row],[Baller]],PO_TOT[2PT FGA])</f>
        <v>0</v>
      </c>
      <c r="J22" s="91" t="e">
        <f>Overall_TOT[[#This Row],[2PT FGM]]/Overall_TOT[[#This Row],[2PT FGA]]</f>
        <v>#DIV/0!</v>
      </c>
      <c r="K22" s="19">
        <f>SUMIF(RR_TOT[Baller],Overall_TOT[[#This Row],[Baller]],RR_TOT[3PT FGM])+SUMIF(PO_TOT[Baller],Overall_TOT[[#This Row],[Baller]],PO_TOT[3PT FGM])</f>
        <v>0</v>
      </c>
      <c r="L22" s="19">
        <f>SUMIF(RR_TOT[Baller],Overall_TOT[[#This Row],[Baller]],RR_TOT[3PT FGA])+SUMIF(PO_TOT[Baller],Overall_TOT[[#This Row],[Baller]],PO_TOT[3PT FGA])</f>
        <v>0</v>
      </c>
      <c r="M22" s="91" t="e">
        <f>Overall_TOT[[#This Row],[3PT FGM]]/Overall_TOT[[#This Row],[3PT FGA]]</f>
        <v>#DIV/0!</v>
      </c>
      <c r="N22" s="19">
        <f>SUMIF(RR_TOT[Baller],Overall_TOT[[#This Row],[Baller]],RR_TOT[FTM])+SUMIF(PO_TOT[Baller],Overall_TOT[[#This Row],[Baller]],PO_TOT[FTM])</f>
        <v>0</v>
      </c>
      <c r="O22" s="19">
        <f>SUMIF(RR_TOT[Baller],Overall_TOT[[#This Row],[Baller]],RR_TOT[FTA])+SUMIF(PO_TOT[Baller],Overall_TOT[[#This Row],[Baller]],PO_TOT[FTA])</f>
        <v>0</v>
      </c>
      <c r="P22" s="99" t="e">
        <f>Overall_TOT[[#This Row],[FTM]]/Overall_TOT[[#This Row],[FTA]]</f>
        <v>#DIV/0!</v>
      </c>
      <c r="Q22" s="74">
        <f>SUMIF(RR_TOT[Baller],Overall_TOT[[#This Row],[Baller]],RR_TOT[TOTAL POINTS])+SUMIF(PO_TOT[Baller],Overall_TOT[[#This Row],[Baller]],PO_TOT[TOTAL POINTS])</f>
        <v>0</v>
      </c>
      <c r="R22" s="74">
        <f>SUMIF(RR_TOT[Baller],Overall_TOT[[#This Row],[Baller]],RR_TOT[Dunks])+SUMIF(PO_TOT[Baller],Overall_TOT[[#This Row],[Baller]],PO_TOT[Dunks])</f>
        <v>0</v>
      </c>
      <c r="S22" s="74">
        <f>SUMIF(RR_TOT[Baller],Overall_TOT[[#This Row],[Baller]],RR_TOT[Def. Boards])+SUMIF(PO_TOT[Baller],Overall_TOT[[#This Row],[Baller]],PO_TOT[Def. Boards])</f>
        <v>0</v>
      </c>
      <c r="T22" s="74">
        <f>SUMIF(RR_TOT[Baller],Overall_TOT[[#This Row],[Baller]],RR_TOT[Off. Boards])+SUMIF(PO_TOT[Baller],Overall_TOT[[#This Row],[Baller]],PO_TOT[Off. Boards])</f>
        <v>0</v>
      </c>
      <c r="U22" s="74">
        <f>SUMIF(RR_TOT[Baller],Overall_TOT[[#This Row],[Baller]],RR_TOT[Total Boards])+SUMIF(PO_TOT[Baller],Overall_TOT[[#This Row],[Baller]],PO_TOT[Total Boards])</f>
        <v>0</v>
      </c>
      <c r="V22" s="74">
        <f>SUMIF(RR_TOT[Baller],Overall_TOT[[#This Row],[Baller]],RR_TOT[Dimes])+SUMIF(PO_TOT[Baller],Overall_TOT[[#This Row],[Baller]],PO_TOT[Dimes])</f>
        <v>0</v>
      </c>
      <c r="W22" s="74">
        <f>SUMIF(RR_TOT[Baller],Overall_TOT[[#This Row],[Baller]],RR_TOT[Cookies])+SUMIF(PO_TOT[Baller],Overall_TOT[[#This Row],[Baller]],PO_TOT[Cookies])</f>
        <v>0</v>
      </c>
      <c r="X22" s="74">
        <f>SUMIF(RR_TOT[Baller],Overall_TOT[[#This Row],[Baller]],RR_TOT[Swats])+SUMIF(PO_TOT[Baller],Overall_TOT[[#This Row],[Baller]],PO_TOT[Swats])</f>
        <v>0</v>
      </c>
      <c r="Y22" s="74">
        <f>SUMIF(RR_TOT[Baller],Overall_TOT[[#This Row],[Baller]],RR_TOT[Turnovers])+SUMIF(PO_TOT[Baller],Overall_TOT[[#This Row],[Baller]],PO_TOT[Turnovers])</f>
        <v>0</v>
      </c>
      <c r="Z22" s="204" t="e">
        <f>Overall_TOT[[#This Row],[Dimes]]/Overall_TOT[[#This Row],[Turnovers]]</f>
        <v>#DIV/0!</v>
      </c>
    </row>
    <row r="23" spans="1:26" hidden="1" x14ac:dyDescent="0.2">
      <c r="A23" s="14" t="s">
        <v>49</v>
      </c>
      <c r="B23" t="s">
        <v>94</v>
      </c>
      <c r="C23" t="s">
        <v>132</v>
      </c>
      <c r="D23" s="86">
        <f>SUMIF(RR_TOT[Baller],Overall_TOT[[#This Row],[Baller]],RR_TOT[Games Played])+SUMIF(PO_TOT[Baller],Overall_TOT[[#This Row],[Baller]],PO_TOT[Games Played])</f>
        <v>0</v>
      </c>
      <c r="E23" s="74">
        <f>SUMIF(RR_TOT[Baller],Overall_TOT[[#This Row],[Baller]],RR_TOT[Total FGM])+SUMIF(PO_TOT[Baller],Overall_TOT[[#This Row],[Baller]],PO_TOT[Total FGM])</f>
        <v>0</v>
      </c>
      <c r="F23" s="74">
        <f>SUMIF(RR_TOT[Baller],Overall_TOT[[#This Row],[Baller]],RR_TOT[Total FGA])+SUMIF(PO_TOT[Baller],Overall_TOT[[#This Row],[Baller]],PO_TOT[Total FGA])</f>
        <v>0</v>
      </c>
      <c r="G23" s="203" t="e">
        <f>Overall_TOT[[#This Row],[Total FGM]]/Overall_TOT[[#This Row],[Total FGA]]</f>
        <v>#DIV/0!</v>
      </c>
      <c r="H23" s="98">
        <f>SUMIF(RR_TOT[Baller],Overall_TOT[[#This Row],[Baller]],RR_TOT[2PT FGM])+SUMIF(PO_TOT[Baller],Overall_TOT[[#This Row],[Baller]],PO_TOT[2PT FGM])</f>
        <v>0</v>
      </c>
      <c r="I23" s="19">
        <f>SUMIF(RR_TOT[Baller],Overall_TOT[[#This Row],[Baller]],RR_TOT[2PT FGA])+SUMIF(PO_TOT[Baller],Overall_TOT[[#This Row],[Baller]],PO_TOT[2PT FGA])</f>
        <v>0</v>
      </c>
      <c r="J23" s="91" t="e">
        <f>Overall_TOT[[#This Row],[2PT FGM]]/Overall_TOT[[#This Row],[2PT FGA]]</f>
        <v>#DIV/0!</v>
      </c>
      <c r="K23" s="19">
        <f>SUMIF(RR_TOT[Baller],Overall_TOT[[#This Row],[Baller]],RR_TOT[3PT FGM])+SUMIF(PO_TOT[Baller],Overall_TOT[[#This Row],[Baller]],PO_TOT[3PT FGM])</f>
        <v>0</v>
      </c>
      <c r="L23" s="19">
        <f>SUMIF(RR_TOT[Baller],Overall_TOT[[#This Row],[Baller]],RR_TOT[3PT FGA])+SUMIF(PO_TOT[Baller],Overall_TOT[[#This Row],[Baller]],PO_TOT[3PT FGA])</f>
        <v>0</v>
      </c>
      <c r="M23" s="91" t="e">
        <f>Overall_TOT[[#This Row],[3PT FGM]]/Overall_TOT[[#This Row],[3PT FGA]]</f>
        <v>#DIV/0!</v>
      </c>
      <c r="N23" s="19">
        <f>SUMIF(RR_TOT[Baller],Overall_TOT[[#This Row],[Baller]],RR_TOT[FTM])+SUMIF(PO_TOT[Baller],Overall_TOT[[#This Row],[Baller]],PO_TOT[FTM])</f>
        <v>0</v>
      </c>
      <c r="O23" s="19">
        <f>SUMIF(RR_TOT[Baller],Overall_TOT[[#This Row],[Baller]],RR_TOT[FTA])+SUMIF(PO_TOT[Baller],Overall_TOT[[#This Row],[Baller]],PO_TOT[FTA])</f>
        <v>0</v>
      </c>
      <c r="P23" s="99" t="e">
        <f>Overall_TOT[[#This Row],[FTM]]/Overall_TOT[[#This Row],[FTA]]</f>
        <v>#DIV/0!</v>
      </c>
      <c r="Q23" s="74">
        <f>SUMIF(RR_TOT[Baller],Overall_TOT[[#This Row],[Baller]],RR_TOT[TOTAL POINTS])+SUMIF(PO_TOT[Baller],Overall_TOT[[#This Row],[Baller]],PO_TOT[TOTAL POINTS])</f>
        <v>0</v>
      </c>
      <c r="R23" s="74">
        <f>SUMIF(RR_TOT[Baller],Overall_TOT[[#This Row],[Baller]],RR_TOT[Dunks])+SUMIF(PO_TOT[Baller],Overall_TOT[[#This Row],[Baller]],PO_TOT[Dunks])</f>
        <v>0</v>
      </c>
      <c r="S23" s="74">
        <f>SUMIF(RR_TOT[Baller],Overall_TOT[[#This Row],[Baller]],RR_TOT[Def. Boards])+SUMIF(PO_TOT[Baller],Overall_TOT[[#This Row],[Baller]],PO_TOT[Def. Boards])</f>
        <v>0</v>
      </c>
      <c r="T23" s="74">
        <f>SUMIF(RR_TOT[Baller],Overall_TOT[[#This Row],[Baller]],RR_TOT[Off. Boards])+SUMIF(PO_TOT[Baller],Overall_TOT[[#This Row],[Baller]],PO_TOT[Off. Boards])</f>
        <v>0</v>
      </c>
      <c r="U23" s="74">
        <f>SUMIF(RR_TOT[Baller],Overall_TOT[[#This Row],[Baller]],RR_TOT[Total Boards])+SUMIF(PO_TOT[Baller],Overall_TOT[[#This Row],[Baller]],PO_TOT[Total Boards])</f>
        <v>0</v>
      </c>
      <c r="V23" s="74">
        <f>SUMIF(RR_TOT[Baller],Overall_TOT[[#This Row],[Baller]],RR_TOT[Dimes])+SUMIF(PO_TOT[Baller],Overall_TOT[[#This Row],[Baller]],PO_TOT[Dimes])</f>
        <v>0</v>
      </c>
      <c r="W23" s="74">
        <f>SUMIF(RR_TOT[Baller],Overall_TOT[[#This Row],[Baller]],RR_TOT[Cookies])+SUMIF(PO_TOT[Baller],Overall_TOT[[#This Row],[Baller]],PO_TOT[Cookies])</f>
        <v>0</v>
      </c>
      <c r="X23" s="74">
        <f>SUMIF(RR_TOT[Baller],Overall_TOT[[#This Row],[Baller]],RR_TOT[Swats])+SUMIF(PO_TOT[Baller],Overall_TOT[[#This Row],[Baller]],PO_TOT[Swats])</f>
        <v>0</v>
      </c>
      <c r="Y23" s="74">
        <f>SUMIF(RR_TOT[Baller],Overall_TOT[[#This Row],[Baller]],RR_TOT[Turnovers])+SUMIF(PO_TOT[Baller],Overall_TOT[[#This Row],[Baller]],PO_TOT[Turnovers])</f>
        <v>0</v>
      </c>
      <c r="Z23" s="204" t="e">
        <f>Overall_TOT[[#This Row],[Dimes]]/Overall_TOT[[#This Row],[Turnovers]]</f>
        <v>#DIV/0!</v>
      </c>
    </row>
    <row r="24" spans="1:26" hidden="1" x14ac:dyDescent="0.2">
      <c r="A24" s="14" t="s">
        <v>47</v>
      </c>
      <c r="B24" t="s">
        <v>97</v>
      </c>
      <c r="C24" t="s">
        <v>132</v>
      </c>
      <c r="D24" s="86">
        <f>SUMIF(RR_TOT[Baller],Overall_TOT[[#This Row],[Baller]],RR_TOT[Games Played])+SUMIF(PO_TOT[Baller],Overall_TOT[[#This Row],[Baller]],PO_TOT[Games Played])</f>
        <v>0</v>
      </c>
      <c r="E24" s="74">
        <f>SUMIF(RR_TOT[Baller],Overall_TOT[[#This Row],[Baller]],RR_TOT[Total FGM])+SUMIF(PO_TOT[Baller],Overall_TOT[[#This Row],[Baller]],PO_TOT[Total FGM])</f>
        <v>0</v>
      </c>
      <c r="F24" s="74">
        <f>SUMIF(RR_TOT[Baller],Overall_TOT[[#This Row],[Baller]],RR_TOT[Total FGA])+SUMIF(PO_TOT[Baller],Overall_TOT[[#This Row],[Baller]],PO_TOT[Total FGA])</f>
        <v>0</v>
      </c>
      <c r="G24" s="203" t="e">
        <f>Overall_TOT[[#This Row],[Total FGM]]/Overall_TOT[[#This Row],[Total FGA]]</f>
        <v>#DIV/0!</v>
      </c>
      <c r="H24" s="98">
        <f>SUMIF(RR_TOT[Baller],Overall_TOT[[#This Row],[Baller]],RR_TOT[2PT FGM])+SUMIF(PO_TOT[Baller],Overall_TOT[[#This Row],[Baller]],PO_TOT[2PT FGM])</f>
        <v>0</v>
      </c>
      <c r="I24" s="19">
        <f>SUMIF(RR_TOT[Baller],Overall_TOT[[#This Row],[Baller]],RR_TOT[2PT FGA])+SUMIF(PO_TOT[Baller],Overall_TOT[[#This Row],[Baller]],PO_TOT[2PT FGA])</f>
        <v>0</v>
      </c>
      <c r="J24" s="91" t="e">
        <f>Overall_TOT[[#This Row],[2PT FGM]]/Overall_TOT[[#This Row],[2PT FGA]]</f>
        <v>#DIV/0!</v>
      </c>
      <c r="K24" s="19">
        <f>SUMIF(RR_TOT[Baller],Overall_TOT[[#This Row],[Baller]],RR_TOT[3PT FGM])+SUMIF(PO_TOT[Baller],Overall_TOT[[#This Row],[Baller]],PO_TOT[3PT FGM])</f>
        <v>0</v>
      </c>
      <c r="L24" s="19">
        <f>SUMIF(RR_TOT[Baller],Overall_TOT[[#This Row],[Baller]],RR_TOT[3PT FGA])+SUMIF(PO_TOT[Baller],Overall_TOT[[#This Row],[Baller]],PO_TOT[3PT FGA])</f>
        <v>0</v>
      </c>
      <c r="M24" s="91" t="e">
        <f>Overall_TOT[[#This Row],[3PT FGM]]/Overall_TOT[[#This Row],[3PT FGA]]</f>
        <v>#DIV/0!</v>
      </c>
      <c r="N24" s="19">
        <f>SUMIF(RR_TOT[Baller],Overall_TOT[[#This Row],[Baller]],RR_TOT[FTM])+SUMIF(PO_TOT[Baller],Overall_TOT[[#This Row],[Baller]],PO_TOT[FTM])</f>
        <v>0</v>
      </c>
      <c r="O24" s="19">
        <f>SUMIF(RR_TOT[Baller],Overall_TOT[[#This Row],[Baller]],RR_TOT[FTA])+SUMIF(PO_TOT[Baller],Overall_TOT[[#This Row],[Baller]],PO_TOT[FTA])</f>
        <v>0</v>
      </c>
      <c r="P24" s="99" t="e">
        <f>Overall_TOT[[#This Row],[FTM]]/Overall_TOT[[#This Row],[FTA]]</f>
        <v>#DIV/0!</v>
      </c>
      <c r="Q24" s="74">
        <f>SUMIF(RR_TOT[Baller],Overall_TOT[[#This Row],[Baller]],RR_TOT[TOTAL POINTS])+SUMIF(PO_TOT[Baller],Overall_TOT[[#This Row],[Baller]],PO_TOT[TOTAL POINTS])</f>
        <v>0</v>
      </c>
      <c r="R24" s="74">
        <f>SUMIF(RR_TOT[Baller],Overall_TOT[[#This Row],[Baller]],RR_TOT[Dunks])+SUMIF(PO_TOT[Baller],Overall_TOT[[#This Row],[Baller]],PO_TOT[Dunks])</f>
        <v>0</v>
      </c>
      <c r="S24" s="74">
        <f>SUMIF(RR_TOT[Baller],Overall_TOT[[#This Row],[Baller]],RR_TOT[Def. Boards])+SUMIF(PO_TOT[Baller],Overall_TOT[[#This Row],[Baller]],PO_TOT[Def. Boards])</f>
        <v>0</v>
      </c>
      <c r="T24" s="74">
        <f>SUMIF(RR_TOT[Baller],Overall_TOT[[#This Row],[Baller]],RR_TOT[Off. Boards])+SUMIF(PO_TOT[Baller],Overall_TOT[[#This Row],[Baller]],PO_TOT[Off. Boards])</f>
        <v>0</v>
      </c>
      <c r="U24" s="74">
        <f>SUMIF(RR_TOT[Baller],Overall_TOT[[#This Row],[Baller]],RR_TOT[Total Boards])+SUMIF(PO_TOT[Baller],Overall_TOT[[#This Row],[Baller]],PO_TOT[Total Boards])</f>
        <v>0</v>
      </c>
      <c r="V24" s="74">
        <f>SUMIF(RR_TOT[Baller],Overall_TOT[[#This Row],[Baller]],RR_TOT[Dimes])+SUMIF(PO_TOT[Baller],Overall_TOT[[#This Row],[Baller]],PO_TOT[Dimes])</f>
        <v>0</v>
      </c>
      <c r="W24" s="74">
        <f>SUMIF(RR_TOT[Baller],Overall_TOT[[#This Row],[Baller]],RR_TOT[Cookies])+SUMIF(PO_TOT[Baller],Overall_TOT[[#This Row],[Baller]],PO_TOT[Cookies])</f>
        <v>0</v>
      </c>
      <c r="X24" s="74">
        <f>SUMIF(RR_TOT[Baller],Overall_TOT[[#This Row],[Baller]],RR_TOT[Swats])+SUMIF(PO_TOT[Baller],Overall_TOT[[#This Row],[Baller]],PO_TOT[Swats])</f>
        <v>0</v>
      </c>
      <c r="Y24" s="74">
        <f>SUMIF(RR_TOT[Baller],Overall_TOT[[#This Row],[Baller]],RR_TOT[Turnovers])+SUMIF(PO_TOT[Baller],Overall_TOT[[#This Row],[Baller]],PO_TOT[Turnovers])</f>
        <v>0</v>
      </c>
      <c r="Z24" s="204" t="e">
        <f>Overall_TOT[[#This Row],[Dimes]]/Overall_TOT[[#This Row],[Turnovers]]</f>
        <v>#DIV/0!</v>
      </c>
    </row>
    <row r="25" spans="1:26" hidden="1" x14ac:dyDescent="0.2">
      <c r="A25" s="14" t="s">
        <v>42</v>
      </c>
      <c r="B25" t="s">
        <v>101</v>
      </c>
      <c r="C25" t="s">
        <v>132</v>
      </c>
      <c r="D25" s="86">
        <f>SUMIF(RR_TOT[Baller],Overall_TOT[[#This Row],[Baller]],RR_TOT[Games Played])+SUMIF(PO_TOT[Baller],Overall_TOT[[#This Row],[Baller]],PO_TOT[Games Played])</f>
        <v>0</v>
      </c>
      <c r="E25" s="74">
        <f>SUMIF(RR_TOT[Baller],Overall_TOT[[#This Row],[Baller]],RR_TOT[Total FGM])+SUMIF(PO_TOT[Baller],Overall_TOT[[#This Row],[Baller]],PO_TOT[Total FGM])</f>
        <v>0</v>
      </c>
      <c r="F25" s="74">
        <f>SUMIF(RR_TOT[Baller],Overall_TOT[[#This Row],[Baller]],RR_TOT[Total FGA])+SUMIF(PO_TOT[Baller],Overall_TOT[[#This Row],[Baller]],PO_TOT[Total FGA])</f>
        <v>0</v>
      </c>
      <c r="G25" s="203" t="e">
        <f>Overall_TOT[[#This Row],[Total FGM]]/Overall_TOT[[#This Row],[Total FGA]]</f>
        <v>#DIV/0!</v>
      </c>
      <c r="H25" s="98">
        <f>SUMIF(RR_TOT[Baller],Overall_TOT[[#This Row],[Baller]],RR_TOT[2PT FGM])+SUMIF(PO_TOT[Baller],Overall_TOT[[#This Row],[Baller]],PO_TOT[2PT FGM])</f>
        <v>0</v>
      </c>
      <c r="I25" s="19">
        <f>SUMIF(RR_TOT[Baller],Overall_TOT[[#This Row],[Baller]],RR_TOT[2PT FGA])+SUMIF(PO_TOT[Baller],Overall_TOT[[#This Row],[Baller]],PO_TOT[2PT FGA])</f>
        <v>0</v>
      </c>
      <c r="J25" s="91" t="e">
        <f>Overall_TOT[[#This Row],[2PT FGM]]/Overall_TOT[[#This Row],[2PT FGA]]</f>
        <v>#DIV/0!</v>
      </c>
      <c r="K25" s="19">
        <f>SUMIF(RR_TOT[Baller],Overall_TOT[[#This Row],[Baller]],RR_TOT[3PT FGM])+SUMIF(PO_TOT[Baller],Overall_TOT[[#This Row],[Baller]],PO_TOT[3PT FGM])</f>
        <v>0</v>
      </c>
      <c r="L25" s="19">
        <f>SUMIF(RR_TOT[Baller],Overall_TOT[[#This Row],[Baller]],RR_TOT[3PT FGA])+SUMIF(PO_TOT[Baller],Overall_TOT[[#This Row],[Baller]],PO_TOT[3PT FGA])</f>
        <v>0</v>
      </c>
      <c r="M25" s="91" t="e">
        <f>Overall_TOT[[#This Row],[3PT FGM]]/Overall_TOT[[#This Row],[3PT FGA]]</f>
        <v>#DIV/0!</v>
      </c>
      <c r="N25" s="19">
        <f>SUMIF(RR_TOT[Baller],Overall_TOT[[#This Row],[Baller]],RR_TOT[FTM])+SUMIF(PO_TOT[Baller],Overall_TOT[[#This Row],[Baller]],PO_TOT[FTM])</f>
        <v>0</v>
      </c>
      <c r="O25" s="19">
        <f>SUMIF(RR_TOT[Baller],Overall_TOT[[#This Row],[Baller]],RR_TOT[FTA])+SUMIF(PO_TOT[Baller],Overall_TOT[[#This Row],[Baller]],PO_TOT[FTA])</f>
        <v>0</v>
      </c>
      <c r="P25" s="99" t="e">
        <f>Overall_TOT[[#This Row],[FTM]]/Overall_TOT[[#This Row],[FTA]]</f>
        <v>#DIV/0!</v>
      </c>
      <c r="Q25" s="74">
        <f>SUMIF(RR_TOT[Baller],Overall_TOT[[#This Row],[Baller]],RR_TOT[TOTAL POINTS])+SUMIF(PO_TOT[Baller],Overall_TOT[[#This Row],[Baller]],PO_TOT[TOTAL POINTS])</f>
        <v>0</v>
      </c>
      <c r="R25" s="74">
        <f>SUMIF(RR_TOT[Baller],Overall_TOT[[#This Row],[Baller]],RR_TOT[Dunks])+SUMIF(PO_TOT[Baller],Overall_TOT[[#This Row],[Baller]],PO_TOT[Dunks])</f>
        <v>0</v>
      </c>
      <c r="S25" s="74">
        <f>SUMIF(RR_TOT[Baller],Overall_TOT[[#This Row],[Baller]],RR_TOT[Def. Boards])+SUMIF(PO_TOT[Baller],Overall_TOT[[#This Row],[Baller]],PO_TOT[Def. Boards])</f>
        <v>0</v>
      </c>
      <c r="T25" s="74">
        <f>SUMIF(RR_TOT[Baller],Overall_TOT[[#This Row],[Baller]],RR_TOT[Off. Boards])+SUMIF(PO_TOT[Baller],Overall_TOT[[#This Row],[Baller]],PO_TOT[Off. Boards])</f>
        <v>0</v>
      </c>
      <c r="U25" s="74">
        <f>SUMIF(RR_TOT[Baller],Overall_TOT[[#This Row],[Baller]],RR_TOT[Total Boards])+SUMIF(PO_TOT[Baller],Overall_TOT[[#This Row],[Baller]],PO_TOT[Total Boards])</f>
        <v>0</v>
      </c>
      <c r="V25" s="74">
        <f>SUMIF(RR_TOT[Baller],Overall_TOT[[#This Row],[Baller]],RR_TOT[Dimes])+SUMIF(PO_TOT[Baller],Overall_TOT[[#This Row],[Baller]],PO_TOT[Dimes])</f>
        <v>0</v>
      </c>
      <c r="W25" s="74">
        <f>SUMIF(RR_TOT[Baller],Overall_TOT[[#This Row],[Baller]],RR_TOT[Cookies])+SUMIF(PO_TOT[Baller],Overall_TOT[[#This Row],[Baller]],PO_TOT[Cookies])</f>
        <v>0</v>
      </c>
      <c r="X25" s="74">
        <f>SUMIF(RR_TOT[Baller],Overall_TOT[[#This Row],[Baller]],RR_TOT[Swats])+SUMIF(PO_TOT[Baller],Overall_TOT[[#This Row],[Baller]],PO_TOT[Swats])</f>
        <v>0</v>
      </c>
      <c r="Y25" s="74">
        <f>SUMIF(RR_TOT[Baller],Overall_TOT[[#This Row],[Baller]],RR_TOT[Turnovers])+SUMIF(PO_TOT[Baller],Overall_TOT[[#This Row],[Baller]],PO_TOT[Turnovers])</f>
        <v>0</v>
      </c>
      <c r="Z25" s="204" t="e">
        <f>Overall_TOT[[#This Row],[Dimes]]/Overall_TOT[[#This Row],[Turnovers]]</f>
        <v>#DIV/0!</v>
      </c>
    </row>
    <row r="26" spans="1:26" hidden="1" x14ac:dyDescent="0.2">
      <c r="A26" s="14" t="s">
        <v>48</v>
      </c>
      <c r="B26" t="s">
        <v>99</v>
      </c>
      <c r="C26" t="s">
        <v>132</v>
      </c>
      <c r="D26" s="86">
        <f>SUMIF(RR_TOT[Baller],Overall_TOT[[#This Row],[Baller]],RR_TOT[Games Played])+SUMIF(PO_TOT[Baller],Overall_TOT[[#This Row],[Baller]],PO_TOT[Games Played])</f>
        <v>0</v>
      </c>
      <c r="E26" s="74">
        <f>SUMIF(RR_TOT[Baller],Overall_TOT[[#This Row],[Baller]],RR_TOT[Total FGM])+SUMIF(PO_TOT[Baller],Overall_TOT[[#This Row],[Baller]],PO_TOT[Total FGM])</f>
        <v>0</v>
      </c>
      <c r="F26" s="74">
        <f>SUMIF(RR_TOT[Baller],Overall_TOT[[#This Row],[Baller]],RR_TOT[Total FGA])+SUMIF(PO_TOT[Baller],Overall_TOT[[#This Row],[Baller]],PO_TOT[Total FGA])</f>
        <v>0</v>
      </c>
      <c r="G26" s="203" t="e">
        <f>Overall_TOT[[#This Row],[Total FGM]]/Overall_TOT[[#This Row],[Total FGA]]</f>
        <v>#DIV/0!</v>
      </c>
      <c r="H26" s="98">
        <f>SUMIF(RR_TOT[Baller],Overall_TOT[[#This Row],[Baller]],RR_TOT[2PT FGM])+SUMIF(PO_TOT[Baller],Overall_TOT[[#This Row],[Baller]],PO_TOT[2PT FGM])</f>
        <v>0</v>
      </c>
      <c r="I26" s="19">
        <f>SUMIF(RR_TOT[Baller],Overall_TOT[[#This Row],[Baller]],RR_TOT[2PT FGA])+SUMIF(PO_TOT[Baller],Overall_TOT[[#This Row],[Baller]],PO_TOT[2PT FGA])</f>
        <v>0</v>
      </c>
      <c r="J26" s="91" t="e">
        <f>Overall_TOT[[#This Row],[2PT FGM]]/Overall_TOT[[#This Row],[2PT FGA]]</f>
        <v>#DIV/0!</v>
      </c>
      <c r="K26" s="19">
        <f>SUMIF(RR_TOT[Baller],Overall_TOT[[#This Row],[Baller]],RR_TOT[3PT FGM])+SUMIF(PO_TOT[Baller],Overall_TOT[[#This Row],[Baller]],PO_TOT[3PT FGM])</f>
        <v>0</v>
      </c>
      <c r="L26" s="19">
        <f>SUMIF(RR_TOT[Baller],Overall_TOT[[#This Row],[Baller]],RR_TOT[3PT FGA])+SUMIF(PO_TOT[Baller],Overall_TOT[[#This Row],[Baller]],PO_TOT[3PT FGA])</f>
        <v>0</v>
      </c>
      <c r="M26" s="91" t="e">
        <f>Overall_TOT[[#This Row],[3PT FGM]]/Overall_TOT[[#This Row],[3PT FGA]]</f>
        <v>#DIV/0!</v>
      </c>
      <c r="N26" s="19">
        <f>SUMIF(RR_TOT[Baller],Overall_TOT[[#This Row],[Baller]],RR_TOT[FTM])+SUMIF(PO_TOT[Baller],Overall_TOT[[#This Row],[Baller]],PO_TOT[FTM])</f>
        <v>0</v>
      </c>
      <c r="O26" s="19">
        <f>SUMIF(RR_TOT[Baller],Overall_TOT[[#This Row],[Baller]],RR_TOT[FTA])+SUMIF(PO_TOT[Baller],Overall_TOT[[#This Row],[Baller]],PO_TOT[FTA])</f>
        <v>0</v>
      </c>
      <c r="P26" s="99" t="e">
        <f>Overall_TOT[[#This Row],[FTM]]/Overall_TOT[[#This Row],[FTA]]</f>
        <v>#DIV/0!</v>
      </c>
      <c r="Q26" s="74">
        <f>SUMIF(RR_TOT[Baller],Overall_TOT[[#This Row],[Baller]],RR_TOT[TOTAL POINTS])+SUMIF(PO_TOT[Baller],Overall_TOT[[#This Row],[Baller]],PO_TOT[TOTAL POINTS])</f>
        <v>0</v>
      </c>
      <c r="R26" s="74">
        <f>SUMIF(RR_TOT[Baller],Overall_TOT[[#This Row],[Baller]],RR_TOT[Dunks])+SUMIF(PO_TOT[Baller],Overall_TOT[[#This Row],[Baller]],PO_TOT[Dunks])</f>
        <v>0</v>
      </c>
      <c r="S26" s="74">
        <f>SUMIF(RR_TOT[Baller],Overall_TOT[[#This Row],[Baller]],RR_TOT[Def. Boards])+SUMIF(PO_TOT[Baller],Overall_TOT[[#This Row],[Baller]],PO_TOT[Def. Boards])</f>
        <v>0</v>
      </c>
      <c r="T26" s="74">
        <f>SUMIF(RR_TOT[Baller],Overall_TOT[[#This Row],[Baller]],RR_TOT[Off. Boards])+SUMIF(PO_TOT[Baller],Overall_TOT[[#This Row],[Baller]],PO_TOT[Off. Boards])</f>
        <v>0</v>
      </c>
      <c r="U26" s="74">
        <f>SUMIF(RR_TOT[Baller],Overall_TOT[[#This Row],[Baller]],RR_TOT[Total Boards])+SUMIF(PO_TOT[Baller],Overall_TOT[[#This Row],[Baller]],PO_TOT[Total Boards])</f>
        <v>0</v>
      </c>
      <c r="V26" s="74">
        <f>SUMIF(RR_TOT[Baller],Overall_TOT[[#This Row],[Baller]],RR_TOT[Dimes])+SUMIF(PO_TOT[Baller],Overall_TOT[[#This Row],[Baller]],PO_TOT[Dimes])</f>
        <v>0</v>
      </c>
      <c r="W26" s="74">
        <f>SUMIF(RR_TOT[Baller],Overall_TOT[[#This Row],[Baller]],RR_TOT[Cookies])+SUMIF(PO_TOT[Baller],Overall_TOT[[#This Row],[Baller]],PO_TOT[Cookies])</f>
        <v>0</v>
      </c>
      <c r="X26" s="74">
        <f>SUMIF(RR_TOT[Baller],Overall_TOT[[#This Row],[Baller]],RR_TOT[Swats])+SUMIF(PO_TOT[Baller],Overall_TOT[[#This Row],[Baller]],PO_TOT[Swats])</f>
        <v>0</v>
      </c>
      <c r="Y26" s="74">
        <f>SUMIF(RR_TOT[Baller],Overall_TOT[[#This Row],[Baller]],RR_TOT[Turnovers])+SUMIF(PO_TOT[Baller],Overall_TOT[[#This Row],[Baller]],PO_TOT[Turnovers])</f>
        <v>0</v>
      </c>
      <c r="Z26" s="204" t="e">
        <f>Overall_TOT[[#This Row],[Dimes]]/Overall_TOT[[#This Row],[Turnovers]]</f>
        <v>#DIV/0!</v>
      </c>
    </row>
    <row r="27" spans="1:26" hidden="1" x14ac:dyDescent="0.2">
      <c r="A27" s="14" t="s">
        <v>51</v>
      </c>
      <c r="B27" t="s">
        <v>102</v>
      </c>
      <c r="C27" t="s">
        <v>132</v>
      </c>
      <c r="D27" s="86">
        <f>SUMIF(RR_TOT[Baller],Overall_TOT[[#This Row],[Baller]],RR_TOT[Games Played])+SUMIF(PO_TOT[Baller],Overall_TOT[[#This Row],[Baller]],PO_TOT[Games Played])</f>
        <v>0</v>
      </c>
      <c r="E27" s="74">
        <f>SUMIF(RR_TOT[Baller],Overall_TOT[[#This Row],[Baller]],RR_TOT[Total FGM])+SUMIF(PO_TOT[Baller],Overall_TOT[[#This Row],[Baller]],PO_TOT[Total FGM])</f>
        <v>0</v>
      </c>
      <c r="F27" s="74">
        <f>SUMIF(RR_TOT[Baller],Overall_TOT[[#This Row],[Baller]],RR_TOT[Total FGA])+SUMIF(PO_TOT[Baller],Overall_TOT[[#This Row],[Baller]],PO_TOT[Total FGA])</f>
        <v>0</v>
      </c>
      <c r="G27" s="203" t="e">
        <f>Overall_TOT[[#This Row],[Total FGM]]/Overall_TOT[[#This Row],[Total FGA]]</f>
        <v>#DIV/0!</v>
      </c>
      <c r="H27" s="98">
        <f>SUMIF(RR_TOT[Baller],Overall_TOT[[#This Row],[Baller]],RR_TOT[2PT FGM])+SUMIF(PO_TOT[Baller],Overall_TOT[[#This Row],[Baller]],PO_TOT[2PT FGM])</f>
        <v>0</v>
      </c>
      <c r="I27" s="19">
        <f>SUMIF(RR_TOT[Baller],Overall_TOT[[#This Row],[Baller]],RR_TOT[2PT FGA])+SUMIF(PO_TOT[Baller],Overall_TOT[[#This Row],[Baller]],PO_TOT[2PT FGA])</f>
        <v>0</v>
      </c>
      <c r="J27" s="91" t="e">
        <f>Overall_TOT[[#This Row],[2PT FGM]]/Overall_TOT[[#This Row],[2PT FGA]]</f>
        <v>#DIV/0!</v>
      </c>
      <c r="K27" s="19">
        <f>SUMIF(RR_TOT[Baller],Overall_TOT[[#This Row],[Baller]],RR_TOT[3PT FGM])+SUMIF(PO_TOT[Baller],Overall_TOT[[#This Row],[Baller]],PO_TOT[3PT FGM])</f>
        <v>0</v>
      </c>
      <c r="L27" s="19">
        <f>SUMIF(RR_TOT[Baller],Overall_TOT[[#This Row],[Baller]],RR_TOT[3PT FGA])+SUMIF(PO_TOT[Baller],Overall_TOT[[#This Row],[Baller]],PO_TOT[3PT FGA])</f>
        <v>0</v>
      </c>
      <c r="M27" s="91" t="e">
        <f>Overall_TOT[[#This Row],[3PT FGM]]/Overall_TOT[[#This Row],[3PT FGA]]</f>
        <v>#DIV/0!</v>
      </c>
      <c r="N27" s="19">
        <f>SUMIF(RR_TOT[Baller],Overall_TOT[[#This Row],[Baller]],RR_TOT[FTM])+SUMIF(PO_TOT[Baller],Overall_TOT[[#This Row],[Baller]],PO_TOT[FTM])</f>
        <v>0</v>
      </c>
      <c r="O27" s="19">
        <f>SUMIF(RR_TOT[Baller],Overall_TOT[[#This Row],[Baller]],RR_TOT[FTA])+SUMIF(PO_TOT[Baller],Overall_TOT[[#This Row],[Baller]],PO_TOT[FTA])</f>
        <v>0</v>
      </c>
      <c r="P27" s="99" t="e">
        <f>Overall_TOT[[#This Row],[FTM]]/Overall_TOT[[#This Row],[FTA]]</f>
        <v>#DIV/0!</v>
      </c>
      <c r="Q27" s="74">
        <f>SUMIF(RR_TOT[Baller],Overall_TOT[[#This Row],[Baller]],RR_TOT[TOTAL POINTS])+SUMIF(PO_TOT[Baller],Overall_TOT[[#This Row],[Baller]],PO_TOT[TOTAL POINTS])</f>
        <v>0</v>
      </c>
      <c r="R27" s="74">
        <f>SUMIF(RR_TOT[Baller],Overall_TOT[[#This Row],[Baller]],RR_TOT[Dunks])+SUMIF(PO_TOT[Baller],Overall_TOT[[#This Row],[Baller]],PO_TOT[Dunks])</f>
        <v>0</v>
      </c>
      <c r="S27" s="74">
        <f>SUMIF(RR_TOT[Baller],Overall_TOT[[#This Row],[Baller]],RR_TOT[Def. Boards])+SUMIF(PO_TOT[Baller],Overall_TOT[[#This Row],[Baller]],PO_TOT[Def. Boards])</f>
        <v>0</v>
      </c>
      <c r="T27" s="74">
        <f>SUMIF(RR_TOT[Baller],Overall_TOT[[#This Row],[Baller]],RR_TOT[Off. Boards])+SUMIF(PO_TOT[Baller],Overall_TOT[[#This Row],[Baller]],PO_TOT[Off. Boards])</f>
        <v>0</v>
      </c>
      <c r="U27" s="74">
        <f>SUMIF(RR_TOT[Baller],Overall_TOT[[#This Row],[Baller]],RR_TOT[Total Boards])+SUMIF(PO_TOT[Baller],Overall_TOT[[#This Row],[Baller]],PO_TOT[Total Boards])</f>
        <v>0</v>
      </c>
      <c r="V27" s="74">
        <f>SUMIF(RR_TOT[Baller],Overall_TOT[[#This Row],[Baller]],RR_TOT[Dimes])+SUMIF(PO_TOT[Baller],Overall_TOT[[#This Row],[Baller]],PO_TOT[Dimes])</f>
        <v>0</v>
      </c>
      <c r="W27" s="74">
        <f>SUMIF(RR_TOT[Baller],Overall_TOT[[#This Row],[Baller]],RR_TOT[Cookies])+SUMIF(PO_TOT[Baller],Overall_TOT[[#This Row],[Baller]],PO_TOT[Cookies])</f>
        <v>0</v>
      </c>
      <c r="X27" s="74">
        <f>SUMIF(RR_TOT[Baller],Overall_TOT[[#This Row],[Baller]],RR_TOT[Swats])+SUMIF(PO_TOT[Baller],Overall_TOT[[#This Row],[Baller]],PO_TOT[Swats])</f>
        <v>0</v>
      </c>
      <c r="Y27" s="74">
        <f>SUMIF(RR_TOT[Baller],Overall_TOT[[#This Row],[Baller]],RR_TOT[Turnovers])+SUMIF(PO_TOT[Baller],Overall_TOT[[#This Row],[Baller]],PO_TOT[Turnovers])</f>
        <v>0</v>
      </c>
      <c r="Z27" s="204" t="e">
        <f>Overall_TOT[[#This Row],[Dimes]]/Overall_TOT[[#This Row],[Turnovers]]</f>
        <v>#DIV/0!</v>
      </c>
    </row>
    <row r="28" spans="1:26" hidden="1" x14ac:dyDescent="0.2">
      <c r="A28" s="14" t="s">
        <v>43</v>
      </c>
      <c r="B28" t="s">
        <v>104</v>
      </c>
      <c r="C28" t="s">
        <v>132</v>
      </c>
      <c r="D28" s="86">
        <f>SUMIF(RR_TOT[Baller],Overall_TOT[[#This Row],[Baller]],RR_TOT[Games Played])+SUMIF(PO_TOT[Baller],Overall_TOT[[#This Row],[Baller]],PO_TOT[Games Played])</f>
        <v>0</v>
      </c>
      <c r="E28" s="74">
        <f>SUMIF(RR_TOT[Baller],Overall_TOT[[#This Row],[Baller]],RR_TOT[Total FGM])+SUMIF(PO_TOT[Baller],Overall_TOT[[#This Row],[Baller]],PO_TOT[Total FGM])</f>
        <v>0</v>
      </c>
      <c r="F28" s="74">
        <f>SUMIF(RR_TOT[Baller],Overall_TOT[[#This Row],[Baller]],RR_TOT[Total FGA])+SUMIF(PO_TOT[Baller],Overall_TOT[[#This Row],[Baller]],PO_TOT[Total FGA])</f>
        <v>0</v>
      </c>
      <c r="G28" s="203" t="e">
        <f>Overall_TOT[[#This Row],[Total FGM]]/Overall_TOT[[#This Row],[Total FGA]]</f>
        <v>#DIV/0!</v>
      </c>
      <c r="H28" s="98">
        <f>SUMIF(RR_TOT[Baller],Overall_TOT[[#This Row],[Baller]],RR_TOT[2PT FGM])+SUMIF(PO_TOT[Baller],Overall_TOT[[#This Row],[Baller]],PO_TOT[2PT FGM])</f>
        <v>0</v>
      </c>
      <c r="I28" s="19">
        <f>SUMIF(RR_TOT[Baller],Overall_TOT[[#This Row],[Baller]],RR_TOT[2PT FGA])+SUMIF(PO_TOT[Baller],Overall_TOT[[#This Row],[Baller]],PO_TOT[2PT FGA])</f>
        <v>0</v>
      </c>
      <c r="J28" s="91" t="e">
        <f>Overall_TOT[[#This Row],[2PT FGM]]/Overall_TOT[[#This Row],[2PT FGA]]</f>
        <v>#DIV/0!</v>
      </c>
      <c r="K28" s="19">
        <f>SUMIF(RR_TOT[Baller],Overall_TOT[[#This Row],[Baller]],RR_TOT[3PT FGM])+SUMIF(PO_TOT[Baller],Overall_TOT[[#This Row],[Baller]],PO_TOT[3PT FGM])</f>
        <v>0</v>
      </c>
      <c r="L28" s="19">
        <f>SUMIF(RR_TOT[Baller],Overall_TOT[[#This Row],[Baller]],RR_TOT[3PT FGA])+SUMIF(PO_TOT[Baller],Overall_TOT[[#This Row],[Baller]],PO_TOT[3PT FGA])</f>
        <v>0</v>
      </c>
      <c r="M28" s="91" t="e">
        <f>Overall_TOT[[#This Row],[3PT FGM]]/Overall_TOT[[#This Row],[3PT FGA]]</f>
        <v>#DIV/0!</v>
      </c>
      <c r="N28" s="19">
        <f>SUMIF(RR_TOT[Baller],Overall_TOT[[#This Row],[Baller]],RR_TOT[FTM])+SUMIF(PO_TOT[Baller],Overall_TOT[[#This Row],[Baller]],PO_TOT[FTM])</f>
        <v>0</v>
      </c>
      <c r="O28" s="19">
        <f>SUMIF(RR_TOT[Baller],Overall_TOT[[#This Row],[Baller]],RR_TOT[FTA])+SUMIF(PO_TOT[Baller],Overall_TOT[[#This Row],[Baller]],PO_TOT[FTA])</f>
        <v>0</v>
      </c>
      <c r="P28" s="99" t="e">
        <f>Overall_TOT[[#This Row],[FTM]]/Overall_TOT[[#This Row],[FTA]]</f>
        <v>#DIV/0!</v>
      </c>
      <c r="Q28" s="74">
        <f>SUMIF(RR_TOT[Baller],Overall_TOT[[#This Row],[Baller]],RR_TOT[TOTAL POINTS])+SUMIF(PO_TOT[Baller],Overall_TOT[[#This Row],[Baller]],PO_TOT[TOTAL POINTS])</f>
        <v>0</v>
      </c>
      <c r="R28" s="74">
        <f>SUMIF(RR_TOT[Baller],Overall_TOT[[#This Row],[Baller]],RR_TOT[Dunks])+SUMIF(PO_TOT[Baller],Overall_TOT[[#This Row],[Baller]],PO_TOT[Dunks])</f>
        <v>0</v>
      </c>
      <c r="S28" s="74">
        <f>SUMIF(RR_TOT[Baller],Overall_TOT[[#This Row],[Baller]],RR_TOT[Def. Boards])+SUMIF(PO_TOT[Baller],Overall_TOT[[#This Row],[Baller]],PO_TOT[Def. Boards])</f>
        <v>0</v>
      </c>
      <c r="T28" s="74">
        <f>SUMIF(RR_TOT[Baller],Overall_TOT[[#This Row],[Baller]],RR_TOT[Off. Boards])+SUMIF(PO_TOT[Baller],Overall_TOT[[#This Row],[Baller]],PO_TOT[Off. Boards])</f>
        <v>0</v>
      </c>
      <c r="U28" s="74">
        <f>SUMIF(RR_TOT[Baller],Overall_TOT[[#This Row],[Baller]],RR_TOT[Total Boards])+SUMIF(PO_TOT[Baller],Overall_TOT[[#This Row],[Baller]],PO_TOT[Total Boards])</f>
        <v>0</v>
      </c>
      <c r="V28" s="74">
        <f>SUMIF(RR_TOT[Baller],Overall_TOT[[#This Row],[Baller]],RR_TOT[Dimes])+SUMIF(PO_TOT[Baller],Overall_TOT[[#This Row],[Baller]],PO_TOT[Dimes])</f>
        <v>0</v>
      </c>
      <c r="W28" s="74">
        <f>SUMIF(RR_TOT[Baller],Overall_TOT[[#This Row],[Baller]],RR_TOT[Cookies])+SUMIF(PO_TOT[Baller],Overall_TOT[[#This Row],[Baller]],PO_TOT[Cookies])</f>
        <v>0</v>
      </c>
      <c r="X28" s="74">
        <f>SUMIF(RR_TOT[Baller],Overall_TOT[[#This Row],[Baller]],RR_TOT[Swats])+SUMIF(PO_TOT[Baller],Overall_TOT[[#This Row],[Baller]],PO_TOT[Swats])</f>
        <v>0</v>
      </c>
      <c r="Y28" s="74">
        <f>SUMIF(RR_TOT[Baller],Overall_TOT[[#This Row],[Baller]],RR_TOT[Turnovers])+SUMIF(PO_TOT[Baller],Overall_TOT[[#This Row],[Baller]],PO_TOT[Turnovers])</f>
        <v>0</v>
      </c>
      <c r="Z28" s="204" t="e">
        <f>Overall_TOT[[#This Row],[Dimes]]/Overall_TOT[[#This Row],[Turnovers]]</f>
        <v>#DIV/0!</v>
      </c>
    </row>
    <row r="29" spans="1:26" hidden="1" x14ac:dyDescent="0.2">
      <c r="A29" s="14" t="s">
        <v>45</v>
      </c>
      <c r="B29" t="s">
        <v>90</v>
      </c>
      <c r="C29" t="s">
        <v>132</v>
      </c>
      <c r="D29" s="86">
        <f>SUMIF(RR_TOT[Baller],Overall_TOT[[#This Row],[Baller]],RR_TOT[Games Played])+SUMIF(PO_TOT[Baller],Overall_TOT[[#This Row],[Baller]],PO_TOT[Games Played])</f>
        <v>0</v>
      </c>
      <c r="E29" s="74">
        <f>SUMIF(RR_TOT[Baller],Overall_TOT[[#This Row],[Baller]],RR_TOT[Total FGM])+SUMIF(PO_TOT[Baller],Overall_TOT[[#This Row],[Baller]],PO_TOT[Total FGM])</f>
        <v>0</v>
      </c>
      <c r="F29" s="74">
        <f>SUMIF(RR_TOT[Baller],Overall_TOT[[#This Row],[Baller]],RR_TOT[Total FGA])+SUMIF(PO_TOT[Baller],Overall_TOT[[#This Row],[Baller]],PO_TOT[Total FGA])</f>
        <v>0</v>
      </c>
      <c r="G29" s="203" t="e">
        <f>Overall_TOT[[#This Row],[Total FGM]]/Overall_TOT[[#This Row],[Total FGA]]</f>
        <v>#DIV/0!</v>
      </c>
      <c r="H29" s="98">
        <f>SUMIF(RR_TOT[Baller],Overall_TOT[[#This Row],[Baller]],RR_TOT[2PT FGM])+SUMIF(PO_TOT[Baller],Overall_TOT[[#This Row],[Baller]],PO_TOT[2PT FGM])</f>
        <v>0</v>
      </c>
      <c r="I29" s="19">
        <f>SUMIF(RR_TOT[Baller],Overall_TOT[[#This Row],[Baller]],RR_TOT[2PT FGA])+SUMIF(PO_TOT[Baller],Overall_TOT[[#This Row],[Baller]],PO_TOT[2PT FGA])</f>
        <v>0</v>
      </c>
      <c r="J29" s="91" t="e">
        <f>Overall_TOT[[#This Row],[2PT FGM]]/Overall_TOT[[#This Row],[2PT FGA]]</f>
        <v>#DIV/0!</v>
      </c>
      <c r="K29" s="19">
        <f>SUMIF(RR_TOT[Baller],Overall_TOT[[#This Row],[Baller]],RR_TOT[3PT FGM])+SUMIF(PO_TOT[Baller],Overall_TOT[[#This Row],[Baller]],PO_TOT[3PT FGM])</f>
        <v>0</v>
      </c>
      <c r="L29" s="19">
        <f>SUMIF(RR_TOT[Baller],Overall_TOT[[#This Row],[Baller]],RR_TOT[3PT FGA])+SUMIF(PO_TOT[Baller],Overall_TOT[[#This Row],[Baller]],PO_TOT[3PT FGA])</f>
        <v>0</v>
      </c>
      <c r="M29" s="91" t="e">
        <f>Overall_TOT[[#This Row],[3PT FGM]]/Overall_TOT[[#This Row],[3PT FGA]]</f>
        <v>#DIV/0!</v>
      </c>
      <c r="N29" s="19">
        <f>SUMIF(RR_TOT[Baller],Overall_TOT[[#This Row],[Baller]],RR_TOT[FTM])+SUMIF(PO_TOT[Baller],Overall_TOT[[#This Row],[Baller]],PO_TOT[FTM])</f>
        <v>0</v>
      </c>
      <c r="O29" s="19">
        <f>SUMIF(RR_TOT[Baller],Overall_TOT[[#This Row],[Baller]],RR_TOT[FTA])+SUMIF(PO_TOT[Baller],Overall_TOT[[#This Row],[Baller]],PO_TOT[FTA])</f>
        <v>0</v>
      </c>
      <c r="P29" s="99" t="e">
        <f>Overall_TOT[[#This Row],[FTM]]/Overall_TOT[[#This Row],[FTA]]</f>
        <v>#DIV/0!</v>
      </c>
      <c r="Q29" s="74">
        <f>SUMIF(RR_TOT[Baller],Overall_TOT[[#This Row],[Baller]],RR_TOT[TOTAL POINTS])+SUMIF(PO_TOT[Baller],Overall_TOT[[#This Row],[Baller]],PO_TOT[TOTAL POINTS])</f>
        <v>0</v>
      </c>
      <c r="R29" s="74">
        <f>SUMIF(RR_TOT[Baller],Overall_TOT[[#This Row],[Baller]],RR_TOT[Dunks])+SUMIF(PO_TOT[Baller],Overall_TOT[[#This Row],[Baller]],PO_TOT[Dunks])</f>
        <v>0</v>
      </c>
      <c r="S29" s="74">
        <f>SUMIF(RR_TOT[Baller],Overall_TOT[[#This Row],[Baller]],RR_TOT[Def. Boards])+SUMIF(PO_TOT[Baller],Overall_TOT[[#This Row],[Baller]],PO_TOT[Def. Boards])</f>
        <v>0</v>
      </c>
      <c r="T29" s="74">
        <f>SUMIF(RR_TOT[Baller],Overall_TOT[[#This Row],[Baller]],RR_TOT[Off. Boards])+SUMIF(PO_TOT[Baller],Overall_TOT[[#This Row],[Baller]],PO_TOT[Off. Boards])</f>
        <v>0</v>
      </c>
      <c r="U29" s="74">
        <f>SUMIF(RR_TOT[Baller],Overall_TOT[[#This Row],[Baller]],RR_TOT[Total Boards])+SUMIF(PO_TOT[Baller],Overall_TOT[[#This Row],[Baller]],PO_TOT[Total Boards])</f>
        <v>0</v>
      </c>
      <c r="V29" s="74">
        <f>SUMIF(RR_TOT[Baller],Overall_TOT[[#This Row],[Baller]],RR_TOT[Dimes])+SUMIF(PO_TOT[Baller],Overall_TOT[[#This Row],[Baller]],PO_TOT[Dimes])</f>
        <v>0</v>
      </c>
      <c r="W29" s="74">
        <f>SUMIF(RR_TOT[Baller],Overall_TOT[[#This Row],[Baller]],RR_TOT[Cookies])+SUMIF(PO_TOT[Baller],Overall_TOT[[#This Row],[Baller]],PO_TOT[Cookies])</f>
        <v>0</v>
      </c>
      <c r="X29" s="74">
        <f>SUMIF(RR_TOT[Baller],Overall_TOT[[#This Row],[Baller]],RR_TOT[Swats])+SUMIF(PO_TOT[Baller],Overall_TOT[[#This Row],[Baller]],PO_TOT[Swats])</f>
        <v>0</v>
      </c>
      <c r="Y29" s="74">
        <f>SUMIF(RR_TOT[Baller],Overall_TOT[[#This Row],[Baller]],RR_TOT[Turnovers])+SUMIF(PO_TOT[Baller],Overall_TOT[[#This Row],[Baller]],PO_TOT[Turnovers])</f>
        <v>0</v>
      </c>
      <c r="Z29" s="204" t="e">
        <f>Overall_TOT[[#This Row],[Dimes]]/Overall_TOT[[#This Row],[Turnovers]]</f>
        <v>#DIV/0!</v>
      </c>
    </row>
    <row r="30" spans="1:26" x14ac:dyDescent="0.2">
      <c r="A30" s="16" t="s">
        <v>37</v>
      </c>
      <c r="B30" t="s">
        <v>100</v>
      </c>
      <c r="C30" t="s">
        <v>209</v>
      </c>
      <c r="D30" s="86">
        <f>SUMIF(RR_TOT[Baller],Overall_TOT[[#This Row],[Baller]],RR_TOT[Games Played])+SUMIF(PO_TOT[Baller],Overall_TOT[[#This Row],[Baller]],PO_TOT[Games Played])</f>
        <v>5</v>
      </c>
      <c r="E30" s="74">
        <f>SUMIF(RR_TOT[Baller],Overall_TOT[[#This Row],[Baller]],RR_TOT[Total FGM])+SUMIF(PO_TOT[Baller],Overall_TOT[[#This Row],[Baller]],PO_TOT[Total FGM])</f>
        <v>27</v>
      </c>
      <c r="F30" s="74">
        <f>SUMIF(RR_TOT[Baller],Overall_TOT[[#This Row],[Baller]],RR_TOT[Total FGA])+SUMIF(PO_TOT[Baller],Overall_TOT[[#This Row],[Baller]],PO_TOT[Total FGA])</f>
        <v>61</v>
      </c>
      <c r="G30" s="203">
        <f>Overall_TOT[[#This Row],[Total FGM]]/Overall_TOT[[#This Row],[Total FGA]]</f>
        <v>0.44262295081967212</v>
      </c>
      <c r="H30" s="98">
        <f>SUMIF(RR_TOT[Baller],Overall_TOT[[#This Row],[Baller]],RR_TOT[2PT FGM])+SUMIF(PO_TOT[Baller],Overall_TOT[[#This Row],[Baller]],PO_TOT[2PT FGM])</f>
        <v>11</v>
      </c>
      <c r="I30" s="19">
        <f>SUMIF(RR_TOT[Baller],Overall_TOT[[#This Row],[Baller]],RR_TOT[2PT FGA])+SUMIF(PO_TOT[Baller],Overall_TOT[[#This Row],[Baller]],PO_TOT[2PT FGA])</f>
        <v>18</v>
      </c>
      <c r="J30" s="91">
        <f>Overall_TOT[[#This Row],[2PT FGM]]/Overall_TOT[[#This Row],[2PT FGA]]</f>
        <v>0.61111111111111116</v>
      </c>
      <c r="K30" s="19">
        <f>SUMIF(RR_TOT[Baller],Overall_TOT[[#This Row],[Baller]],RR_TOT[3PT FGM])+SUMIF(PO_TOT[Baller],Overall_TOT[[#This Row],[Baller]],PO_TOT[3PT FGM])</f>
        <v>16</v>
      </c>
      <c r="L30" s="19">
        <f>SUMIF(RR_TOT[Baller],Overall_TOT[[#This Row],[Baller]],RR_TOT[3PT FGA])+SUMIF(PO_TOT[Baller],Overall_TOT[[#This Row],[Baller]],PO_TOT[3PT FGA])</f>
        <v>43</v>
      </c>
      <c r="M30" s="91">
        <f>Overall_TOT[[#This Row],[3PT FGM]]/Overall_TOT[[#This Row],[3PT FGA]]</f>
        <v>0.37209302325581395</v>
      </c>
      <c r="N30" s="19">
        <f>SUMIF(RR_TOT[Baller],Overall_TOT[[#This Row],[Baller]],RR_TOT[FTM])+SUMIF(PO_TOT[Baller],Overall_TOT[[#This Row],[Baller]],PO_TOT[FTM])</f>
        <v>0</v>
      </c>
      <c r="O30" s="19">
        <f>SUMIF(RR_TOT[Baller],Overall_TOT[[#This Row],[Baller]],RR_TOT[FTA])+SUMIF(PO_TOT[Baller],Overall_TOT[[#This Row],[Baller]],PO_TOT[FTA])</f>
        <v>0</v>
      </c>
      <c r="P30" s="99" t="e">
        <f>Overall_TOT[[#This Row],[FTM]]/Overall_TOT[[#This Row],[FTA]]</f>
        <v>#DIV/0!</v>
      </c>
      <c r="Q30" s="74">
        <f>SUMIF(RR_TOT[Baller],Overall_TOT[[#This Row],[Baller]],RR_TOT[TOTAL POINTS])+SUMIF(PO_TOT[Baller],Overall_TOT[[#This Row],[Baller]],PO_TOT[TOTAL POINTS])</f>
        <v>70</v>
      </c>
      <c r="R30" s="74">
        <f>SUMIF(RR_TOT[Baller],Overall_TOT[[#This Row],[Baller]],RR_TOT[Dunks])+SUMIF(PO_TOT[Baller],Overall_TOT[[#This Row],[Baller]],PO_TOT[Dunks])</f>
        <v>0</v>
      </c>
      <c r="S30" s="74">
        <f>SUMIF(RR_TOT[Baller],Overall_TOT[[#This Row],[Baller]],RR_TOT[Def. Boards])+SUMIF(PO_TOT[Baller],Overall_TOT[[#This Row],[Baller]],PO_TOT[Def. Boards])</f>
        <v>12</v>
      </c>
      <c r="T30" s="74">
        <f>SUMIF(RR_TOT[Baller],Overall_TOT[[#This Row],[Baller]],RR_TOT[Off. Boards])+SUMIF(PO_TOT[Baller],Overall_TOT[[#This Row],[Baller]],PO_TOT[Off. Boards])</f>
        <v>1</v>
      </c>
      <c r="U30" s="74">
        <f>SUMIF(RR_TOT[Baller],Overall_TOT[[#This Row],[Baller]],RR_TOT[Total Boards])+SUMIF(PO_TOT[Baller],Overall_TOT[[#This Row],[Baller]],PO_TOT[Total Boards])</f>
        <v>13</v>
      </c>
      <c r="V30" s="74">
        <f>SUMIF(RR_TOT[Baller],Overall_TOT[[#This Row],[Baller]],RR_TOT[Dimes])+SUMIF(PO_TOT[Baller],Overall_TOT[[#This Row],[Baller]],PO_TOT[Dimes])</f>
        <v>14</v>
      </c>
      <c r="W30" s="74">
        <f>SUMIF(RR_TOT[Baller],Overall_TOT[[#This Row],[Baller]],RR_TOT[Cookies])+SUMIF(PO_TOT[Baller],Overall_TOT[[#This Row],[Baller]],PO_TOT[Cookies])</f>
        <v>4</v>
      </c>
      <c r="X30" s="74">
        <f>SUMIF(RR_TOT[Baller],Overall_TOT[[#This Row],[Baller]],RR_TOT[Swats])+SUMIF(PO_TOT[Baller],Overall_TOT[[#This Row],[Baller]],PO_TOT[Swats])</f>
        <v>4</v>
      </c>
      <c r="Y30" s="74">
        <f>SUMIF(RR_TOT[Baller],Overall_TOT[[#This Row],[Baller]],RR_TOT[Turnovers])+SUMIF(PO_TOT[Baller],Overall_TOT[[#This Row],[Baller]],PO_TOT[Turnovers])</f>
        <v>6</v>
      </c>
      <c r="Z30" s="204">
        <f>Overall_TOT[[#This Row],[Dimes]]/Overall_TOT[[#This Row],[Turnovers]]</f>
        <v>2.3333333333333335</v>
      </c>
    </row>
    <row r="31" spans="1:26" x14ac:dyDescent="0.2">
      <c r="A31" s="14" t="s">
        <v>32</v>
      </c>
      <c r="B31" t="s">
        <v>103</v>
      </c>
      <c r="C31" t="s">
        <v>209</v>
      </c>
      <c r="D31" s="86">
        <f>SUMIF(RR_TOT[Baller],Overall_TOT[[#This Row],[Baller]],RR_TOT[Games Played])+SUMIF(PO_TOT[Baller],Overall_TOT[[#This Row],[Baller]],PO_TOT[Games Played])</f>
        <v>5</v>
      </c>
      <c r="E31" s="74">
        <f>SUMIF(RR_TOT[Baller],Overall_TOT[[#This Row],[Baller]],RR_TOT[Total FGM])+SUMIF(PO_TOT[Baller],Overall_TOT[[#This Row],[Baller]],PO_TOT[Total FGM])</f>
        <v>10</v>
      </c>
      <c r="F31" s="74">
        <f>SUMIF(RR_TOT[Baller],Overall_TOT[[#This Row],[Baller]],RR_TOT[Total FGA])+SUMIF(PO_TOT[Baller],Overall_TOT[[#This Row],[Baller]],PO_TOT[Total FGA])</f>
        <v>40</v>
      </c>
      <c r="G31" s="203">
        <f>Overall_TOT[[#This Row],[Total FGM]]/Overall_TOT[[#This Row],[Total FGA]]</f>
        <v>0.25</v>
      </c>
      <c r="H31" s="98">
        <f>SUMIF(RR_TOT[Baller],Overall_TOT[[#This Row],[Baller]],RR_TOT[2PT FGM])+SUMIF(PO_TOT[Baller],Overall_TOT[[#This Row],[Baller]],PO_TOT[2PT FGM])</f>
        <v>6</v>
      </c>
      <c r="I31" s="19">
        <f>SUMIF(RR_TOT[Baller],Overall_TOT[[#This Row],[Baller]],RR_TOT[2PT FGA])+SUMIF(PO_TOT[Baller],Overall_TOT[[#This Row],[Baller]],PO_TOT[2PT FGA])</f>
        <v>15</v>
      </c>
      <c r="J31" s="91">
        <f>Overall_TOT[[#This Row],[2PT FGM]]/Overall_TOT[[#This Row],[2PT FGA]]</f>
        <v>0.4</v>
      </c>
      <c r="K31" s="19">
        <f>SUMIF(RR_TOT[Baller],Overall_TOT[[#This Row],[Baller]],RR_TOT[3PT FGM])+SUMIF(PO_TOT[Baller],Overall_TOT[[#This Row],[Baller]],PO_TOT[3PT FGM])</f>
        <v>4</v>
      </c>
      <c r="L31" s="19">
        <f>SUMIF(RR_TOT[Baller],Overall_TOT[[#This Row],[Baller]],RR_TOT[3PT FGA])+SUMIF(PO_TOT[Baller],Overall_TOT[[#This Row],[Baller]],PO_TOT[3PT FGA])</f>
        <v>25</v>
      </c>
      <c r="M31" s="91">
        <f>Overall_TOT[[#This Row],[3PT FGM]]/Overall_TOT[[#This Row],[3PT FGA]]</f>
        <v>0.16</v>
      </c>
      <c r="N31" s="19">
        <f>SUMIF(RR_TOT[Baller],Overall_TOT[[#This Row],[Baller]],RR_TOT[FTM])+SUMIF(PO_TOT[Baller],Overall_TOT[[#This Row],[Baller]],PO_TOT[FTM])</f>
        <v>0</v>
      </c>
      <c r="O31" s="19">
        <f>SUMIF(RR_TOT[Baller],Overall_TOT[[#This Row],[Baller]],RR_TOT[FTA])+SUMIF(PO_TOT[Baller],Overall_TOT[[#This Row],[Baller]],PO_TOT[FTA])</f>
        <v>0</v>
      </c>
      <c r="P31" s="99" t="e">
        <f>Overall_TOT[[#This Row],[FTM]]/Overall_TOT[[#This Row],[FTA]]</f>
        <v>#DIV/0!</v>
      </c>
      <c r="Q31" s="74">
        <f>SUMIF(RR_TOT[Baller],Overall_TOT[[#This Row],[Baller]],RR_TOT[TOTAL POINTS])+SUMIF(PO_TOT[Baller],Overall_TOT[[#This Row],[Baller]],PO_TOT[TOTAL POINTS])</f>
        <v>24</v>
      </c>
      <c r="R31" s="74">
        <f>SUMIF(RR_TOT[Baller],Overall_TOT[[#This Row],[Baller]],RR_TOT[Dunks])+SUMIF(PO_TOT[Baller],Overall_TOT[[#This Row],[Baller]],PO_TOT[Dunks])</f>
        <v>1</v>
      </c>
      <c r="S31" s="74">
        <f>SUMIF(RR_TOT[Baller],Overall_TOT[[#This Row],[Baller]],RR_TOT[Def. Boards])+SUMIF(PO_TOT[Baller],Overall_TOT[[#This Row],[Baller]],PO_TOT[Def. Boards])</f>
        <v>21</v>
      </c>
      <c r="T31" s="74">
        <f>SUMIF(RR_TOT[Baller],Overall_TOT[[#This Row],[Baller]],RR_TOT[Off. Boards])+SUMIF(PO_TOT[Baller],Overall_TOT[[#This Row],[Baller]],PO_TOT[Off. Boards])</f>
        <v>4</v>
      </c>
      <c r="U31" s="74">
        <f>SUMIF(RR_TOT[Baller],Overall_TOT[[#This Row],[Baller]],RR_TOT[Total Boards])+SUMIF(PO_TOT[Baller],Overall_TOT[[#This Row],[Baller]],PO_TOT[Total Boards])</f>
        <v>25</v>
      </c>
      <c r="V31" s="74">
        <f>SUMIF(RR_TOT[Baller],Overall_TOT[[#This Row],[Baller]],RR_TOT[Dimes])+SUMIF(PO_TOT[Baller],Overall_TOT[[#This Row],[Baller]],PO_TOT[Dimes])</f>
        <v>23</v>
      </c>
      <c r="W31" s="74">
        <f>SUMIF(RR_TOT[Baller],Overall_TOT[[#This Row],[Baller]],RR_TOT[Cookies])+SUMIF(PO_TOT[Baller],Overall_TOT[[#This Row],[Baller]],PO_TOT[Cookies])</f>
        <v>6</v>
      </c>
      <c r="X31" s="74">
        <f>SUMIF(RR_TOT[Baller],Overall_TOT[[#This Row],[Baller]],RR_TOT[Swats])+SUMIF(PO_TOT[Baller],Overall_TOT[[#This Row],[Baller]],PO_TOT[Swats])</f>
        <v>2</v>
      </c>
      <c r="Y31" s="74">
        <f>SUMIF(RR_TOT[Baller],Overall_TOT[[#This Row],[Baller]],RR_TOT[Turnovers])+SUMIF(PO_TOT[Baller],Overall_TOT[[#This Row],[Baller]],PO_TOT[Turnovers])</f>
        <v>12</v>
      </c>
      <c r="Z31" s="204">
        <f>Overall_TOT[[#This Row],[Dimes]]/Overall_TOT[[#This Row],[Turnovers]]</f>
        <v>1.9166666666666667</v>
      </c>
    </row>
    <row r="32" spans="1:26" x14ac:dyDescent="0.2">
      <c r="A32" s="14" t="s">
        <v>29</v>
      </c>
      <c r="B32" t="s">
        <v>24</v>
      </c>
      <c r="C32" t="s">
        <v>209</v>
      </c>
      <c r="D32" s="86">
        <f>SUMIF(RR_TOT[Baller],Overall_TOT[[#This Row],[Baller]],RR_TOT[Games Played])+SUMIF(PO_TOT[Baller],Overall_TOT[[#This Row],[Baller]],PO_TOT[Games Played])</f>
        <v>4</v>
      </c>
      <c r="E32" s="74">
        <f>SUMIF(RR_TOT[Baller],Overall_TOT[[#This Row],[Baller]],RR_TOT[Total FGM])+SUMIF(PO_TOT[Baller],Overall_TOT[[#This Row],[Baller]],PO_TOT[Total FGM])</f>
        <v>19</v>
      </c>
      <c r="F32" s="74">
        <f>SUMIF(RR_TOT[Baller],Overall_TOT[[#This Row],[Baller]],RR_TOT[Total FGA])+SUMIF(PO_TOT[Baller],Overall_TOT[[#This Row],[Baller]],PO_TOT[Total FGA])</f>
        <v>33</v>
      </c>
      <c r="G32" s="203">
        <f>Overall_TOT[[#This Row],[Total FGM]]/Overall_TOT[[#This Row],[Total FGA]]</f>
        <v>0.5757575757575758</v>
      </c>
      <c r="H32" s="98">
        <f>SUMIF(RR_TOT[Baller],Overall_TOT[[#This Row],[Baller]],RR_TOT[2PT FGM])+SUMIF(PO_TOT[Baller],Overall_TOT[[#This Row],[Baller]],PO_TOT[2PT FGM])</f>
        <v>13</v>
      </c>
      <c r="I32" s="19">
        <f>SUMIF(RR_TOT[Baller],Overall_TOT[[#This Row],[Baller]],RR_TOT[2PT FGA])+SUMIF(PO_TOT[Baller],Overall_TOT[[#This Row],[Baller]],PO_TOT[2PT FGA])</f>
        <v>18</v>
      </c>
      <c r="J32" s="91">
        <f>Overall_TOT[[#This Row],[2PT FGM]]/Overall_TOT[[#This Row],[2PT FGA]]</f>
        <v>0.72222222222222221</v>
      </c>
      <c r="K32" s="19">
        <f>SUMIF(RR_TOT[Baller],Overall_TOT[[#This Row],[Baller]],RR_TOT[3PT FGM])+SUMIF(PO_TOT[Baller],Overall_TOT[[#This Row],[Baller]],PO_TOT[3PT FGM])</f>
        <v>6</v>
      </c>
      <c r="L32" s="19">
        <f>SUMIF(RR_TOT[Baller],Overall_TOT[[#This Row],[Baller]],RR_TOT[3PT FGA])+SUMIF(PO_TOT[Baller],Overall_TOT[[#This Row],[Baller]],PO_TOT[3PT FGA])</f>
        <v>15</v>
      </c>
      <c r="M32" s="91">
        <f>Overall_TOT[[#This Row],[3PT FGM]]/Overall_TOT[[#This Row],[3PT FGA]]</f>
        <v>0.4</v>
      </c>
      <c r="N32" s="19">
        <f>SUMIF(RR_TOT[Baller],Overall_TOT[[#This Row],[Baller]],RR_TOT[FTM])+SUMIF(PO_TOT[Baller],Overall_TOT[[#This Row],[Baller]],PO_TOT[FTM])</f>
        <v>1</v>
      </c>
      <c r="O32" s="19">
        <f>SUMIF(RR_TOT[Baller],Overall_TOT[[#This Row],[Baller]],RR_TOT[FTA])+SUMIF(PO_TOT[Baller],Overall_TOT[[#This Row],[Baller]],PO_TOT[FTA])</f>
        <v>1</v>
      </c>
      <c r="P32" s="99">
        <f>Overall_TOT[[#This Row],[FTM]]/Overall_TOT[[#This Row],[FTA]]</f>
        <v>1</v>
      </c>
      <c r="Q32" s="74">
        <f>SUMIF(RR_TOT[Baller],Overall_TOT[[#This Row],[Baller]],RR_TOT[TOTAL POINTS])+SUMIF(PO_TOT[Baller],Overall_TOT[[#This Row],[Baller]],PO_TOT[TOTAL POINTS])</f>
        <v>45</v>
      </c>
      <c r="R32" s="74">
        <f>SUMIF(RR_TOT[Baller],Overall_TOT[[#This Row],[Baller]],RR_TOT[Dunks])+SUMIF(PO_TOT[Baller],Overall_TOT[[#This Row],[Baller]],PO_TOT[Dunks])</f>
        <v>2</v>
      </c>
      <c r="S32" s="74">
        <f>SUMIF(RR_TOT[Baller],Overall_TOT[[#This Row],[Baller]],RR_TOT[Def. Boards])+SUMIF(PO_TOT[Baller],Overall_TOT[[#This Row],[Baller]],PO_TOT[Def. Boards])</f>
        <v>24</v>
      </c>
      <c r="T32" s="74">
        <f>SUMIF(RR_TOT[Baller],Overall_TOT[[#This Row],[Baller]],RR_TOT[Off. Boards])+SUMIF(PO_TOT[Baller],Overall_TOT[[#This Row],[Baller]],PO_TOT[Off. Boards])</f>
        <v>3</v>
      </c>
      <c r="U32" s="74">
        <f>SUMIF(RR_TOT[Baller],Overall_TOT[[#This Row],[Baller]],RR_TOT[Total Boards])+SUMIF(PO_TOT[Baller],Overall_TOT[[#This Row],[Baller]],PO_TOT[Total Boards])</f>
        <v>27</v>
      </c>
      <c r="V32" s="74">
        <f>SUMIF(RR_TOT[Baller],Overall_TOT[[#This Row],[Baller]],RR_TOT[Dimes])+SUMIF(PO_TOT[Baller],Overall_TOT[[#This Row],[Baller]],PO_TOT[Dimes])</f>
        <v>19</v>
      </c>
      <c r="W32" s="74">
        <f>SUMIF(RR_TOT[Baller],Overall_TOT[[#This Row],[Baller]],RR_TOT[Cookies])+SUMIF(PO_TOT[Baller],Overall_TOT[[#This Row],[Baller]],PO_TOT[Cookies])</f>
        <v>7</v>
      </c>
      <c r="X32" s="74">
        <f>SUMIF(RR_TOT[Baller],Overall_TOT[[#This Row],[Baller]],RR_TOT[Swats])+SUMIF(PO_TOT[Baller],Overall_TOT[[#This Row],[Baller]],PO_TOT[Swats])</f>
        <v>1</v>
      </c>
      <c r="Y32" s="74">
        <f>SUMIF(RR_TOT[Baller],Overall_TOT[[#This Row],[Baller]],RR_TOT[Turnovers])+SUMIF(PO_TOT[Baller],Overall_TOT[[#This Row],[Baller]],PO_TOT[Turnovers])</f>
        <v>2</v>
      </c>
      <c r="Z32" s="204">
        <f>Overall_TOT[[#This Row],[Dimes]]/Overall_TOT[[#This Row],[Turnovers]]</f>
        <v>9.5</v>
      </c>
    </row>
    <row r="33" spans="1:26" x14ac:dyDescent="0.2">
      <c r="A33" s="14" t="s">
        <v>33</v>
      </c>
      <c r="B33" t="s">
        <v>135</v>
      </c>
      <c r="C33" t="s">
        <v>209</v>
      </c>
      <c r="D33" s="86">
        <f>SUMIF(RR_TOT[Baller],Overall_TOT[[#This Row],[Baller]],RR_TOT[Games Played])+SUMIF(PO_TOT[Baller],Overall_TOT[[#This Row],[Baller]],PO_TOT[Games Played])</f>
        <v>5</v>
      </c>
      <c r="E33" s="194">
        <f>SUMIF(RR_TOT[Baller],Overall_TOT[[#This Row],[Baller]],RR_TOT[Total FGM])+SUMIF(PO_TOT[Baller],Overall_TOT[[#This Row],[Baller]],PO_TOT[Total FGM])</f>
        <v>21</v>
      </c>
      <c r="F33" s="194">
        <f>SUMIF(RR_TOT[Baller],Overall_TOT[[#This Row],[Baller]],RR_TOT[Total FGA])+SUMIF(PO_TOT[Baller],Overall_TOT[[#This Row],[Baller]],PO_TOT[Total FGA])</f>
        <v>29</v>
      </c>
      <c r="G33" s="203">
        <f>Overall_TOT[[#This Row],[Total FGM]]/Overall_TOT[[#This Row],[Total FGA]]</f>
        <v>0.72413793103448276</v>
      </c>
      <c r="H33" s="196">
        <f>SUMIF(RR_TOT[Baller],Overall_TOT[[#This Row],[Baller]],RR_TOT[2PT FGM])+SUMIF(PO_TOT[Baller],Overall_TOT[[#This Row],[Baller]],PO_TOT[2PT FGM])</f>
        <v>21</v>
      </c>
      <c r="I33" s="197">
        <f>SUMIF(RR_TOT[Baller],Overall_TOT[[#This Row],[Baller]],RR_TOT[2PT FGA])+SUMIF(PO_TOT[Baller],Overall_TOT[[#This Row],[Baller]],PO_TOT[2PT FGA])</f>
        <v>28</v>
      </c>
      <c r="J33" s="91">
        <f>Overall_TOT[[#This Row],[2PT FGM]]/Overall_TOT[[#This Row],[2PT FGA]]</f>
        <v>0.75</v>
      </c>
      <c r="K33" s="197">
        <f>SUMIF(RR_TOT[Baller],Overall_TOT[[#This Row],[Baller]],RR_TOT[3PT FGM])+SUMIF(PO_TOT[Baller],Overall_TOT[[#This Row],[Baller]],PO_TOT[3PT FGM])</f>
        <v>0</v>
      </c>
      <c r="L33" s="197">
        <f>SUMIF(RR_TOT[Baller],Overall_TOT[[#This Row],[Baller]],RR_TOT[3PT FGA])+SUMIF(PO_TOT[Baller],Overall_TOT[[#This Row],[Baller]],PO_TOT[3PT FGA])</f>
        <v>1</v>
      </c>
      <c r="M33" s="91">
        <f>Overall_TOT[[#This Row],[3PT FGM]]/Overall_TOT[[#This Row],[3PT FGA]]</f>
        <v>0</v>
      </c>
      <c r="N33" s="197">
        <f>SUMIF(RR_TOT[Baller],Overall_TOT[[#This Row],[Baller]],RR_TOT[FTM])+SUMIF(PO_TOT[Baller],Overall_TOT[[#This Row],[Baller]],PO_TOT[FTM])</f>
        <v>0</v>
      </c>
      <c r="O33" s="197">
        <f>SUMIF(RR_TOT[Baller],Overall_TOT[[#This Row],[Baller]],RR_TOT[FTA])+SUMIF(PO_TOT[Baller],Overall_TOT[[#This Row],[Baller]],PO_TOT[FTA])</f>
        <v>1</v>
      </c>
      <c r="P33" s="99">
        <f>Overall_TOT[[#This Row],[FTM]]/Overall_TOT[[#This Row],[FTA]]</f>
        <v>0</v>
      </c>
      <c r="Q33" s="194">
        <f>SUMIF(RR_TOT[Baller],Overall_TOT[[#This Row],[Baller]],RR_TOT[TOTAL POINTS])+SUMIF(PO_TOT[Baller],Overall_TOT[[#This Row],[Baller]],PO_TOT[TOTAL POINTS])</f>
        <v>42</v>
      </c>
      <c r="R33" s="194">
        <f>SUMIF(RR_TOT[Baller],Overall_TOT[[#This Row],[Baller]],RR_TOT[Dunks])+SUMIF(PO_TOT[Baller],Overall_TOT[[#This Row],[Baller]],PO_TOT[Dunks])</f>
        <v>18</v>
      </c>
      <c r="S33" s="194">
        <f>SUMIF(RR_TOT[Baller],Overall_TOT[[#This Row],[Baller]],RR_TOT[Def. Boards])+SUMIF(PO_TOT[Baller],Overall_TOT[[#This Row],[Baller]],PO_TOT[Def. Boards])</f>
        <v>22</v>
      </c>
      <c r="T33" s="194">
        <f>SUMIF(RR_TOT[Baller],Overall_TOT[[#This Row],[Baller]],RR_TOT[Off. Boards])+SUMIF(PO_TOT[Baller],Overall_TOT[[#This Row],[Baller]],PO_TOT[Off. Boards])</f>
        <v>12</v>
      </c>
      <c r="U33" s="194">
        <f>SUMIF(RR_TOT[Baller],Overall_TOT[[#This Row],[Baller]],RR_TOT[Total Boards])+SUMIF(PO_TOT[Baller],Overall_TOT[[#This Row],[Baller]],PO_TOT[Total Boards])</f>
        <v>34</v>
      </c>
      <c r="V33" s="194">
        <f>SUMIF(RR_TOT[Baller],Overall_TOT[[#This Row],[Baller]],RR_TOT[Dimes])+SUMIF(PO_TOT[Baller],Overall_TOT[[#This Row],[Baller]],PO_TOT[Dimes])</f>
        <v>6</v>
      </c>
      <c r="W33" s="194">
        <f>SUMIF(RR_TOT[Baller],Overall_TOT[[#This Row],[Baller]],RR_TOT[Cookies])+SUMIF(PO_TOT[Baller],Overall_TOT[[#This Row],[Baller]],PO_TOT[Cookies])</f>
        <v>6</v>
      </c>
      <c r="X33" s="194">
        <f>SUMIF(RR_TOT[Baller],Overall_TOT[[#This Row],[Baller]],RR_TOT[Swats])+SUMIF(PO_TOT[Baller],Overall_TOT[[#This Row],[Baller]],PO_TOT[Swats])</f>
        <v>4</v>
      </c>
      <c r="Y33" s="194">
        <f>SUMIF(RR_TOT[Baller],Overall_TOT[[#This Row],[Baller]],RR_TOT[Turnovers])+SUMIF(PO_TOT[Baller],Overall_TOT[[#This Row],[Baller]],PO_TOT[Turnovers])</f>
        <v>10</v>
      </c>
      <c r="Z33" s="204">
        <f>Overall_TOT[[#This Row],[Dimes]]/Overall_TOT[[#This Row],[Turnovers]]</f>
        <v>0.6</v>
      </c>
    </row>
    <row r="34" spans="1:26" ht="16" thickBot="1" x14ac:dyDescent="0.25">
      <c r="A34" s="14" t="s">
        <v>55</v>
      </c>
      <c r="B34" t="s">
        <v>85</v>
      </c>
      <c r="C34" t="s">
        <v>209</v>
      </c>
      <c r="D34" s="86">
        <f>SUMIF(RR_TOT[Baller],Overall_TOT[[#This Row],[Baller]],RR_TOT[Games Played])+SUMIF(PO_TOT[Baller],Overall_TOT[[#This Row],[Baller]],PO_TOT[Games Played])</f>
        <v>2</v>
      </c>
      <c r="E34" s="74">
        <f>SUMIF(RR_TOT[Baller],Overall_TOT[[#This Row],[Baller]],RR_TOT[Total FGM])+SUMIF(PO_TOT[Baller],Overall_TOT[[#This Row],[Baller]],PO_TOT[Total FGM])</f>
        <v>4</v>
      </c>
      <c r="F34" s="74">
        <f>SUMIF(RR_TOT[Baller],Overall_TOT[[#This Row],[Baller]],RR_TOT[Total FGA])+SUMIF(PO_TOT[Baller],Overall_TOT[[#This Row],[Baller]],PO_TOT[Total FGA])</f>
        <v>9</v>
      </c>
      <c r="G34" s="203">
        <f>Overall_TOT[[#This Row],[Total FGM]]/Overall_TOT[[#This Row],[Total FGA]]</f>
        <v>0.44444444444444442</v>
      </c>
      <c r="H34" s="211">
        <f>SUMIF(RR_TOT[Baller],Overall_TOT[[#This Row],[Baller]],RR_TOT[2PT FGM])+SUMIF(PO_TOT[Baller],Overall_TOT[[#This Row],[Baller]],PO_TOT[2PT FGM])</f>
        <v>1</v>
      </c>
      <c r="I34" s="212">
        <f>SUMIF(RR_TOT[Baller],Overall_TOT[[#This Row],[Baller]],RR_TOT[2PT FGA])+SUMIF(PO_TOT[Baller],Overall_TOT[[#This Row],[Baller]],PO_TOT[2PT FGA])</f>
        <v>3</v>
      </c>
      <c r="J34" s="213">
        <f>Overall_TOT[[#This Row],[2PT FGM]]/Overall_TOT[[#This Row],[2PT FGA]]</f>
        <v>0.33333333333333331</v>
      </c>
      <c r="K34" s="212">
        <f>SUMIF(RR_TOT[Baller],Overall_TOT[[#This Row],[Baller]],RR_TOT[3PT FGM])+SUMIF(PO_TOT[Baller],Overall_TOT[[#This Row],[Baller]],PO_TOT[3PT FGM])</f>
        <v>3</v>
      </c>
      <c r="L34" s="212">
        <f>SUMIF(RR_TOT[Baller],Overall_TOT[[#This Row],[Baller]],RR_TOT[3PT FGA])+SUMIF(PO_TOT[Baller],Overall_TOT[[#This Row],[Baller]],PO_TOT[3PT FGA])</f>
        <v>6</v>
      </c>
      <c r="M34" s="213">
        <f>Overall_TOT[[#This Row],[3PT FGM]]/Overall_TOT[[#This Row],[3PT FGA]]</f>
        <v>0.5</v>
      </c>
      <c r="N34" s="212">
        <f>SUMIF(RR_TOT[Baller],Overall_TOT[[#This Row],[Baller]],RR_TOT[FTM])+SUMIF(PO_TOT[Baller],Overall_TOT[[#This Row],[Baller]],PO_TOT[FTM])</f>
        <v>0</v>
      </c>
      <c r="O34" s="212">
        <f>SUMIF(RR_TOT[Baller],Overall_TOT[[#This Row],[Baller]],RR_TOT[FTA])+SUMIF(PO_TOT[Baller],Overall_TOT[[#This Row],[Baller]],PO_TOT[FTA])</f>
        <v>0</v>
      </c>
      <c r="P34" s="214" t="e">
        <f>Overall_TOT[[#This Row],[FTM]]/Overall_TOT[[#This Row],[FTA]]</f>
        <v>#DIV/0!</v>
      </c>
      <c r="Q34" s="74">
        <f>SUMIF(RR_TOT[Baller],Overall_TOT[[#This Row],[Baller]],RR_TOT[TOTAL POINTS])+SUMIF(PO_TOT[Baller],Overall_TOT[[#This Row],[Baller]],PO_TOT[TOTAL POINTS])</f>
        <v>11</v>
      </c>
      <c r="R34" s="74">
        <f>SUMIF(RR_TOT[Baller],Overall_TOT[[#This Row],[Baller]],RR_TOT[Dunks])+SUMIF(PO_TOT[Baller],Overall_TOT[[#This Row],[Baller]],PO_TOT[Dunks])</f>
        <v>0</v>
      </c>
      <c r="S34" s="74">
        <f>SUMIF(RR_TOT[Baller],Overall_TOT[[#This Row],[Baller]],RR_TOT[Def. Boards])+SUMIF(PO_TOT[Baller],Overall_TOT[[#This Row],[Baller]],PO_TOT[Def. Boards])</f>
        <v>1</v>
      </c>
      <c r="T34" s="74">
        <f>SUMIF(RR_TOT[Baller],Overall_TOT[[#This Row],[Baller]],RR_TOT[Off. Boards])+SUMIF(PO_TOT[Baller],Overall_TOT[[#This Row],[Baller]],PO_TOT[Off. Boards])</f>
        <v>1</v>
      </c>
      <c r="U34" s="74">
        <f>SUMIF(RR_TOT[Baller],Overall_TOT[[#This Row],[Baller]],RR_TOT[Total Boards])+SUMIF(PO_TOT[Baller],Overall_TOT[[#This Row],[Baller]],PO_TOT[Total Boards])</f>
        <v>2</v>
      </c>
      <c r="V34" s="74">
        <f>SUMIF(RR_TOT[Baller],Overall_TOT[[#This Row],[Baller]],RR_TOT[Dimes])+SUMIF(PO_TOT[Baller],Overall_TOT[[#This Row],[Baller]],PO_TOT[Dimes])</f>
        <v>0</v>
      </c>
      <c r="W34" s="74">
        <f>SUMIF(RR_TOT[Baller],Overall_TOT[[#This Row],[Baller]],RR_TOT[Cookies])+SUMIF(PO_TOT[Baller],Overall_TOT[[#This Row],[Baller]],PO_TOT[Cookies])</f>
        <v>1</v>
      </c>
      <c r="X34" s="74">
        <f>SUMIF(RR_TOT[Baller],Overall_TOT[[#This Row],[Baller]],RR_TOT[Swats])+SUMIF(PO_TOT[Baller],Overall_TOT[[#This Row],[Baller]],PO_TOT[Swats])</f>
        <v>0</v>
      </c>
      <c r="Y34" s="74">
        <f>SUMIF(RR_TOT[Baller],Overall_TOT[[#This Row],[Baller]],RR_TOT[Turnovers])+SUMIF(PO_TOT[Baller],Overall_TOT[[#This Row],[Baller]],PO_TOT[Turnovers])</f>
        <v>2</v>
      </c>
      <c r="Z34" s="204">
        <f>Overall_TOT[[#This Row],[Dimes]]/Overall_TOT[[#This Row],[Turnovers]]</f>
        <v>0</v>
      </c>
    </row>
    <row r="36" spans="1:26" ht="16" thickBot="1" x14ac:dyDescent="0.25">
      <c r="A36" s="117" t="s">
        <v>139</v>
      </c>
      <c r="B36" s="117"/>
      <c r="C36" s="117"/>
      <c r="D36" s="117"/>
      <c r="E36" s="117"/>
      <c r="F36" s="120"/>
      <c r="G36" s="117"/>
      <c r="H36" s="117"/>
      <c r="I36" s="120"/>
      <c r="J36" s="117"/>
      <c r="K36" s="117"/>
      <c r="L36" s="120"/>
      <c r="M36" s="117"/>
      <c r="N36" s="117"/>
      <c r="O36" s="120"/>
      <c r="P36" s="117"/>
      <c r="Q36" s="117"/>
      <c r="R36" s="117"/>
      <c r="S36" s="117"/>
      <c r="T36" s="117"/>
      <c r="U36" s="117"/>
      <c r="V36" s="117"/>
      <c r="W36" s="117"/>
      <c r="X36" s="117"/>
      <c r="Y36" s="120"/>
      <c r="Z36" s="117"/>
    </row>
    <row r="37" spans="1:26" ht="32" x14ac:dyDescent="0.2">
      <c r="A37" s="55" t="s">
        <v>25</v>
      </c>
      <c r="B37" s="55" t="s">
        <v>22</v>
      </c>
      <c r="C37" s="55" t="s">
        <v>23</v>
      </c>
      <c r="D37" s="55" t="s">
        <v>138</v>
      </c>
      <c r="E37" s="54" t="s">
        <v>0</v>
      </c>
      <c r="F37" s="54" t="s">
        <v>1</v>
      </c>
      <c r="G37" s="88" t="s">
        <v>2</v>
      </c>
      <c r="H37" s="110" t="s">
        <v>3</v>
      </c>
      <c r="I37" s="111" t="s">
        <v>4</v>
      </c>
      <c r="J37" s="112" t="s">
        <v>5</v>
      </c>
      <c r="K37" s="111" t="s">
        <v>6</v>
      </c>
      <c r="L37" s="111" t="s">
        <v>7</v>
      </c>
      <c r="M37" s="112" t="s">
        <v>8</v>
      </c>
      <c r="N37" s="111" t="s">
        <v>9</v>
      </c>
      <c r="O37" s="111" t="s">
        <v>10</v>
      </c>
      <c r="P37" s="113" t="s">
        <v>11</v>
      </c>
      <c r="Q37" s="54" t="s">
        <v>140</v>
      </c>
      <c r="R37" s="54" t="s">
        <v>13</v>
      </c>
      <c r="S37" s="54" t="s">
        <v>14</v>
      </c>
      <c r="T37" s="54" t="s">
        <v>15</v>
      </c>
      <c r="U37" s="54" t="s">
        <v>16</v>
      </c>
      <c r="V37" s="54" t="s">
        <v>17</v>
      </c>
      <c r="W37" s="54" t="s">
        <v>18</v>
      </c>
      <c r="X37" s="54" t="s">
        <v>19</v>
      </c>
      <c r="Y37" s="54" t="s">
        <v>20</v>
      </c>
      <c r="Z37" s="88" t="s">
        <v>21</v>
      </c>
    </row>
    <row r="38" spans="1:26" x14ac:dyDescent="0.2">
      <c r="A38" s="14" t="s">
        <v>35</v>
      </c>
      <c r="B38" t="s">
        <v>98</v>
      </c>
      <c r="C38" t="s">
        <v>208</v>
      </c>
      <c r="D38" s="86">
        <f t="shared" ref="D38:D68" si="0">SUMIF($B$4:$B$34,B38,$D$4:$D$34)</f>
        <v>0</v>
      </c>
      <c r="E38" s="215" t="e">
        <f>SUM((SUMIF($B$4:$B$34,Overall_AVG[[#This Row],[Baller]],$E$4:$E$34))/Overall_AVG[[#This Row],[Games Played]])</f>
        <v>#DIV/0!</v>
      </c>
      <c r="F38" s="215" t="e">
        <f>SUM((SUMIF($B$4:$B$34,Overall_AVG[[#This Row],[Baller]],$F$4:$F$34))/Overall_AVG[[#This Row],[Games Played]])</f>
        <v>#DIV/0!</v>
      </c>
      <c r="G38" s="203" t="e">
        <f>Overall_AVG[[#This Row],[Total FGM]]/Overall_AVG[[#This Row],[Total FGA]]</f>
        <v>#DIV/0!</v>
      </c>
      <c r="H38" s="216" t="e">
        <f>SUM((SUMIF($B$4:$B$34,Overall_AVG[[#This Row],[Baller]],$H$4:$H$34))/Overall_AVG[[#This Row],[Games Played]])</f>
        <v>#DIV/0!</v>
      </c>
      <c r="I38" s="92" t="e">
        <f>SUM((SUMIF($B$4:$B$34,Overall_AVG[[#This Row],[Baller]],$I$4:$I$34))/Overall_AVG[[#This Row],[Games Played]])</f>
        <v>#DIV/0!</v>
      </c>
      <c r="J38" s="91" t="e">
        <f>Overall_AVG[[#This Row],[2PT FGM]]/Overall_AVG[[#This Row],[2PT FGA]]</f>
        <v>#DIV/0!</v>
      </c>
      <c r="K38" s="92" t="e">
        <f>SUM((SUMIF($B$4:$B$34,Overall_AVG[[#This Row],[Baller]],$K$4:$K$34))/Overall_AVG[[#This Row],[Games Played]])</f>
        <v>#DIV/0!</v>
      </c>
      <c r="L38" s="92" t="e">
        <f>SUM((SUMIF($B$4:$B$34,Overall_AVG[[#This Row],[Baller]],$L$4:$L$34))/Overall_AVG[[#This Row],[Games Played]])</f>
        <v>#DIV/0!</v>
      </c>
      <c r="M38" s="91" t="e">
        <f>Overall_AVG[[#This Row],[3PT FGM]]/Overall_AVG[[#This Row],[3PT FGA]]</f>
        <v>#DIV/0!</v>
      </c>
      <c r="N38" s="92" t="e">
        <f>SUM((SUMIF($B$4:$B$34,Overall_AVG[[#This Row],[Baller]],$N$4:$N$34))/Overall_AVG[[#This Row],[Games Played]])</f>
        <v>#DIV/0!</v>
      </c>
      <c r="O38" s="92" t="e">
        <f>SUM((SUMIF($B$4:$B$34,Overall_AVG[[#This Row],[Baller]],$O$4:$O$34))/Overall_AVG[[#This Row],[Games Played]])</f>
        <v>#DIV/0!</v>
      </c>
      <c r="P38" s="99" t="e">
        <f>Overall_AVG[[#This Row],[FTM]]/Overall_AVG[[#This Row],[FTA]]</f>
        <v>#DIV/0!</v>
      </c>
      <c r="Q38" s="215" t="e">
        <f>SUM((SUMIF($B$4:$B$34,Overall_AVG[[#This Row],[Baller]],$Q$4:$Q$34))/Overall_AVG[[#This Row],[Games Played]])</f>
        <v>#DIV/0!</v>
      </c>
      <c r="R38" s="215" t="e">
        <f>SUM((SUMIF($B$4:$B$34,Overall_AVG[[#This Row],[Baller]],$R$4:$R$34))/Overall_AVG[[#This Row],[Games Played]])</f>
        <v>#DIV/0!</v>
      </c>
      <c r="S38" s="215" t="e">
        <f>SUM((SUMIF($B$4:$B$34,Overall_AVG[[#This Row],[Baller]],$S$4:$S$34))/Overall_AVG[[#This Row],[Games Played]])</f>
        <v>#DIV/0!</v>
      </c>
      <c r="T38" s="215" t="e">
        <f>SUM((SUMIF($B$4:$B$34,Overall_AVG[[#This Row],[Baller]],$T$4:$T$34))/Overall_AVG[[#This Row],[Games Played]])</f>
        <v>#DIV/0!</v>
      </c>
      <c r="U38" s="215" t="e">
        <f>SUM((SUMIF($B$4:$B$34,Overall_AVG[[#This Row],[Baller]],$U$4:$U$34))/Overall_AVG[[#This Row],[Games Played]])</f>
        <v>#DIV/0!</v>
      </c>
      <c r="V38" s="215" t="e">
        <f>SUM((SUMIF($B$4:$B$34,Overall_AVG[[#This Row],[Baller]],$V$4:$V$34))/Overall_AVG[[#This Row],[Games Played]])</f>
        <v>#DIV/0!</v>
      </c>
      <c r="W38" s="215" t="e">
        <f>SUM((SUMIF($B$4:$B$34,Overall_AVG[[#This Row],[Baller]],$W$4:$W$34))/Overall_AVG[[#This Row],[Games Played]])</f>
        <v>#DIV/0!</v>
      </c>
      <c r="X38" s="215" t="e">
        <f>SUM((SUMIF($B$4:$B$34,Overall_AVG[[#This Row],[Baller]],$X$4:$X$34))/Overall_AVG[[#This Row],[Games Played]])</f>
        <v>#DIV/0!</v>
      </c>
      <c r="Y38" s="215" t="e">
        <f>SUM((SUMIF($B$4:$B$34,Overall_AVG[[#This Row],[Baller]],$Y$4:$Y$34))/Overall_AVG[[#This Row],[Games Played]])</f>
        <v>#DIV/0!</v>
      </c>
      <c r="Z38" s="204" t="e">
        <f>Overall_AVG[[#This Row],[Dimes]]/Overall_AVG[[#This Row],[Turnovers]]</f>
        <v>#DIV/0!</v>
      </c>
    </row>
    <row r="39" spans="1:26" x14ac:dyDescent="0.2">
      <c r="A39" s="14" t="s">
        <v>36</v>
      </c>
      <c r="B39" t="s">
        <v>88</v>
      </c>
      <c r="C39" t="s">
        <v>208</v>
      </c>
      <c r="D39" s="86">
        <f t="shared" si="0"/>
        <v>5</v>
      </c>
      <c r="E39" s="215">
        <f>SUM((SUMIF($B$4:$B$34,Overall_AVG[[#This Row],[Baller]],$E$4:$E$34))/Overall_AVG[[#This Row],[Games Played]])</f>
        <v>2.6</v>
      </c>
      <c r="F39" s="215">
        <f>SUM((SUMIF($B$4:$B$34,Overall_AVG[[#This Row],[Baller]],$F$4:$F$34))/Overall_AVG[[#This Row],[Games Played]])</f>
        <v>10.4</v>
      </c>
      <c r="G39" s="203">
        <f>Overall_AVG[[#This Row],[Total FGM]]/Overall_AVG[[#This Row],[Total FGA]]</f>
        <v>0.25</v>
      </c>
      <c r="H39" s="216">
        <f>SUM((SUMIF($B$4:$B$34,Overall_AVG[[#This Row],[Baller]],$H$4:$H$34))/Overall_AVG[[#This Row],[Games Played]])</f>
        <v>2.2000000000000002</v>
      </c>
      <c r="I39" s="92">
        <f>SUM((SUMIF($B$4:$B$34,Overall_AVG[[#This Row],[Baller]],$I$4:$I$34))/Overall_AVG[[#This Row],[Games Played]])</f>
        <v>6</v>
      </c>
      <c r="J39" s="91">
        <f>Overall_AVG[[#This Row],[2PT FGM]]/Overall_AVG[[#This Row],[2PT FGA]]</f>
        <v>0.3666666666666667</v>
      </c>
      <c r="K39" s="92">
        <f>SUM((SUMIF($B$4:$B$34,Overall_AVG[[#This Row],[Baller]],$K$4:$K$34))/Overall_AVG[[#This Row],[Games Played]])</f>
        <v>0.4</v>
      </c>
      <c r="L39" s="92">
        <f>SUM((SUMIF($B$4:$B$34,Overall_AVG[[#This Row],[Baller]],$L$4:$L$34))/Overall_AVG[[#This Row],[Games Played]])</f>
        <v>4.4000000000000004</v>
      </c>
      <c r="M39" s="91">
        <f>Overall_AVG[[#This Row],[3PT FGM]]/Overall_AVG[[#This Row],[3PT FGA]]</f>
        <v>9.0909090909090912E-2</v>
      </c>
      <c r="N39" s="92">
        <f>SUM((SUMIF($B$4:$B$34,Overall_AVG[[#This Row],[Baller]],$N$4:$N$34))/Overall_AVG[[#This Row],[Games Played]])</f>
        <v>0</v>
      </c>
      <c r="O39" s="92">
        <f>SUM((SUMIF($B$4:$B$34,Overall_AVG[[#This Row],[Baller]],$O$4:$O$34))/Overall_AVG[[#This Row],[Games Played]])</f>
        <v>0</v>
      </c>
      <c r="P39" s="99" t="e">
        <f>Overall_AVG[[#This Row],[FTM]]/Overall_AVG[[#This Row],[FTA]]</f>
        <v>#DIV/0!</v>
      </c>
      <c r="Q39" s="215">
        <f>SUM((SUMIF($B$4:$B$34,Overall_AVG[[#This Row],[Baller]],$Q$4:$Q$34))/Overall_AVG[[#This Row],[Games Played]])</f>
        <v>5.6</v>
      </c>
      <c r="R39" s="215">
        <f>SUM((SUMIF($B$4:$B$34,Overall_AVG[[#This Row],[Baller]],$R$4:$R$34))/Overall_AVG[[#This Row],[Games Played]])</f>
        <v>0</v>
      </c>
      <c r="S39" s="215">
        <f>SUM((SUMIF($B$4:$B$34,Overall_AVG[[#This Row],[Baller]],$S$4:$S$34))/Overall_AVG[[#This Row],[Games Played]])</f>
        <v>3.4</v>
      </c>
      <c r="T39" s="215">
        <f>SUM((SUMIF($B$4:$B$34,Overall_AVG[[#This Row],[Baller]],$T$4:$T$34))/Overall_AVG[[#This Row],[Games Played]])</f>
        <v>1.8</v>
      </c>
      <c r="U39" s="215">
        <f>SUM((SUMIF($B$4:$B$34,Overall_AVG[[#This Row],[Baller]],$U$4:$U$34))/Overall_AVG[[#This Row],[Games Played]])</f>
        <v>5.2</v>
      </c>
      <c r="V39" s="215">
        <f>SUM((SUMIF($B$4:$B$34,Overall_AVG[[#This Row],[Baller]],$V$4:$V$34))/Overall_AVG[[#This Row],[Games Played]])</f>
        <v>4.2</v>
      </c>
      <c r="W39" s="215">
        <f>SUM((SUMIF($B$4:$B$34,Overall_AVG[[#This Row],[Baller]],$W$4:$W$34))/Overall_AVG[[#This Row],[Games Played]])</f>
        <v>2</v>
      </c>
      <c r="X39" s="215">
        <f>SUM((SUMIF($B$4:$B$34,Overall_AVG[[#This Row],[Baller]],$X$4:$X$34))/Overall_AVG[[#This Row],[Games Played]])</f>
        <v>0.4</v>
      </c>
      <c r="Y39" s="215">
        <f>SUM((SUMIF($B$4:$B$34,Overall_AVG[[#This Row],[Baller]],$Y$4:$Y$34))/Overall_AVG[[#This Row],[Games Played]])</f>
        <v>2.8</v>
      </c>
      <c r="Z39" s="204">
        <f>Overall_AVG[[#This Row],[Dimes]]/Overall_AVG[[#This Row],[Turnovers]]</f>
        <v>1.5000000000000002</v>
      </c>
    </row>
    <row r="40" spans="1:26" x14ac:dyDescent="0.2">
      <c r="A40" s="14" t="s">
        <v>40</v>
      </c>
      <c r="B40" t="s">
        <v>83</v>
      </c>
      <c r="C40" t="s">
        <v>208</v>
      </c>
      <c r="D40" s="86">
        <f t="shared" si="0"/>
        <v>5</v>
      </c>
      <c r="E40" s="215">
        <f>SUM((SUMIF($B$4:$B$34,Overall_AVG[[#This Row],[Baller]],$E$4:$E$34))/Overall_AVG[[#This Row],[Games Played]])</f>
        <v>2.4</v>
      </c>
      <c r="F40" s="215">
        <f>SUM((SUMIF($B$4:$B$34,Overall_AVG[[#This Row],[Baller]],$F$4:$F$34))/Overall_AVG[[#This Row],[Games Played]])</f>
        <v>5</v>
      </c>
      <c r="G40" s="203">
        <f>Overall_AVG[[#This Row],[Total FGM]]/Overall_AVG[[#This Row],[Total FGA]]</f>
        <v>0.48</v>
      </c>
      <c r="H40" s="216">
        <f>SUM((SUMIF($B$4:$B$34,Overall_AVG[[#This Row],[Baller]],$H$4:$H$34))/Overall_AVG[[#This Row],[Games Played]])</f>
        <v>0.8</v>
      </c>
      <c r="I40" s="92">
        <f>SUM((SUMIF($B$4:$B$34,Overall_AVG[[#This Row],[Baller]],$I$4:$I$34))/Overall_AVG[[#This Row],[Games Played]])</f>
        <v>1.8</v>
      </c>
      <c r="J40" s="91">
        <f>Overall_AVG[[#This Row],[2PT FGM]]/Overall_AVG[[#This Row],[2PT FGA]]</f>
        <v>0.44444444444444448</v>
      </c>
      <c r="K40" s="92">
        <f>SUM((SUMIF($B$4:$B$34,Overall_AVG[[#This Row],[Baller]],$K$4:$K$34))/Overall_AVG[[#This Row],[Games Played]])</f>
        <v>1.6</v>
      </c>
      <c r="L40" s="92">
        <f>SUM((SUMIF($B$4:$B$34,Overall_AVG[[#This Row],[Baller]],$L$4:$L$34))/Overall_AVG[[#This Row],[Games Played]])</f>
        <v>3.2</v>
      </c>
      <c r="M40" s="91">
        <f>Overall_AVG[[#This Row],[3PT FGM]]/Overall_AVG[[#This Row],[3PT FGA]]</f>
        <v>0.5</v>
      </c>
      <c r="N40" s="92">
        <f>SUM((SUMIF($B$4:$B$34,Overall_AVG[[#This Row],[Baller]],$N$4:$N$34))/Overall_AVG[[#This Row],[Games Played]])</f>
        <v>0</v>
      </c>
      <c r="O40" s="92">
        <f>SUM((SUMIF($B$4:$B$34,Overall_AVG[[#This Row],[Baller]],$O$4:$O$34))/Overall_AVG[[#This Row],[Games Played]])</f>
        <v>0</v>
      </c>
      <c r="P40" s="99" t="e">
        <f>Overall_AVG[[#This Row],[FTM]]/Overall_AVG[[#This Row],[FTA]]</f>
        <v>#DIV/0!</v>
      </c>
      <c r="Q40" s="215">
        <f>SUM((SUMIF($B$4:$B$34,Overall_AVG[[#This Row],[Baller]],$Q$4:$Q$34))/Overall_AVG[[#This Row],[Games Played]])</f>
        <v>6.4</v>
      </c>
      <c r="R40" s="215">
        <f>SUM((SUMIF($B$4:$B$34,Overall_AVG[[#This Row],[Baller]],$R$4:$R$34))/Overall_AVG[[#This Row],[Games Played]])</f>
        <v>0</v>
      </c>
      <c r="S40" s="215">
        <f>SUM((SUMIF($B$4:$B$34,Overall_AVG[[#This Row],[Baller]],$S$4:$S$34))/Overall_AVG[[#This Row],[Games Played]])</f>
        <v>0.6</v>
      </c>
      <c r="T40" s="215">
        <f>SUM((SUMIF($B$4:$B$34,Overall_AVG[[#This Row],[Baller]],$T$4:$T$34))/Overall_AVG[[#This Row],[Games Played]])</f>
        <v>0.2</v>
      </c>
      <c r="U40" s="215">
        <f>SUM((SUMIF($B$4:$B$34,Overall_AVG[[#This Row],[Baller]],$U$4:$U$34))/Overall_AVG[[#This Row],[Games Played]])</f>
        <v>0.8</v>
      </c>
      <c r="V40" s="215">
        <f>SUM((SUMIF($B$4:$B$34,Overall_AVG[[#This Row],[Baller]],$V$4:$V$34))/Overall_AVG[[#This Row],[Games Played]])</f>
        <v>0.6</v>
      </c>
      <c r="W40" s="215">
        <f>SUM((SUMIF($B$4:$B$34,Overall_AVG[[#This Row],[Baller]],$W$4:$W$34))/Overall_AVG[[#This Row],[Games Played]])</f>
        <v>0.6</v>
      </c>
      <c r="X40" s="215">
        <f>SUM((SUMIF($B$4:$B$34,Overall_AVG[[#This Row],[Baller]],$X$4:$X$34))/Overall_AVG[[#This Row],[Games Played]])</f>
        <v>0</v>
      </c>
      <c r="Y40" s="215">
        <f>SUM((SUMIF($B$4:$B$34,Overall_AVG[[#This Row],[Baller]],$Y$4:$Y$34))/Overall_AVG[[#This Row],[Games Played]])</f>
        <v>0.4</v>
      </c>
      <c r="Z40" s="204">
        <f>Overall_AVG[[#This Row],[Dimes]]/Overall_AVG[[#This Row],[Turnovers]]</f>
        <v>1.4999999999999998</v>
      </c>
    </row>
    <row r="41" spans="1:26" x14ac:dyDescent="0.2">
      <c r="A41" s="14" t="s">
        <v>30</v>
      </c>
      <c r="B41" t="s">
        <v>96</v>
      </c>
      <c r="C41" t="s">
        <v>208</v>
      </c>
      <c r="D41" s="86">
        <f t="shared" si="0"/>
        <v>5</v>
      </c>
      <c r="E41" s="215">
        <f>SUM((SUMIF($B$4:$B$34,Overall_AVG[[#This Row],[Baller]],$E$4:$E$34))/Overall_AVG[[#This Row],[Games Played]])</f>
        <v>3.6</v>
      </c>
      <c r="F41" s="215">
        <f>SUM((SUMIF($B$4:$B$34,Overall_AVG[[#This Row],[Baller]],$F$4:$F$34))/Overall_AVG[[#This Row],[Games Played]])</f>
        <v>9.8000000000000007</v>
      </c>
      <c r="G41" s="203">
        <f>Overall_AVG[[#This Row],[Total FGM]]/Overall_AVG[[#This Row],[Total FGA]]</f>
        <v>0.36734693877551017</v>
      </c>
      <c r="H41" s="216">
        <f>SUM((SUMIF($B$4:$B$34,Overall_AVG[[#This Row],[Baller]],$H$4:$H$34))/Overall_AVG[[#This Row],[Games Played]])</f>
        <v>1.4</v>
      </c>
      <c r="I41" s="92">
        <f>SUM((SUMIF($B$4:$B$34,Overall_AVG[[#This Row],[Baller]],$I$4:$I$34))/Overall_AVG[[#This Row],[Games Played]])</f>
        <v>3</v>
      </c>
      <c r="J41" s="91">
        <f>Overall_AVG[[#This Row],[2PT FGM]]/Overall_AVG[[#This Row],[2PT FGA]]</f>
        <v>0.46666666666666662</v>
      </c>
      <c r="K41" s="92">
        <f>SUM((SUMIF($B$4:$B$34,Overall_AVG[[#This Row],[Baller]],$K$4:$K$34))/Overall_AVG[[#This Row],[Games Played]])</f>
        <v>2.2000000000000002</v>
      </c>
      <c r="L41" s="92">
        <f>SUM((SUMIF($B$4:$B$34,Overall_AVG[[#This Row],[Baller]],$L$4:$L$34))/Overall_AVG[[#This Row],[Games Played]])</f>
        <v>6.8</v>
      </c>
      <c r="M41" s="91">
        <f>Overall_AVG[[#This Row],[3PT FGM]]/Overall_AVG[[#This Row],[3PT FGA]]</f>
        <v>0.3235294117647059</v>
      </c>
      <c r="N41" s="92">
        <f>SUM((SUMIF($B$4:$B$34,Overall_AVG[[#This Row],[Baller]],$N$4:$N$34))/Overall_AVG[[#This Row],[Games Played]])</f>
        <v>0.4</v>
      </c>
      <c r="O41" s="92">
        <f>SUM((SUMIF($B$4:$B$34,Overall_AVG[[#This Row],[Baller]],$O$4:$O$34))/Overall_AVG[[#This Row],[Games Played]])</f>
        <v>0.4</v>
      </c>
      <c r="P41" s="99">
        <f>Overall_AVG[[#This Row],[FTM]]/Overall_AVG[[#This Row],[FTA]]</f>
        <v>1</v>
      </c>
      <c r="Q41" s="215">
        <f>SUM((SUMIF($B$4:$B$34,Overall_AVG[[#This Row],[Baller]],$Q$4:$Q$34))/Overall_AVG[[#This Row],[Games Played]])</f>
        <v>9.8000000000000007</v>
      </c>
      <c r="R41" s="215">
        <f>SUM((SUMIF($B$4:$B$34,Overall_AVG[[#This Row],[Baller]],$R$4:$R$34))/Overall_AVG[[#This Row],[Games Played]])</f>
        <v>0.4</v>
      </c>
      <c r="S41" s="215">
        <f>SUM((SUMIF($B$4:$B$34,Overall_AVG[[#This Row],[Baller]],$S$4:$S$34))/Overall_AVG[[#This Row],[Games Played]])</f>
        <v>3.6</v>
      </c>
      <c r="T41" s="215">
        <f>SUM((SUMIF($B$4:$B$34,Overall_AVG[[#This Row],[Baller]],$T$4:$T$34))/Overall_AVG[[#This Row],[Games Played]])</f>
        <v>1.4</v>
      </c>
      <c r="U41" s="215">
        <f>SUM((SUMIF($B$4:$B$34,Overall_AVG[[#This Row],[Baller]],$U$4:$U$34))/Overall_AVG[[#This Row],[Games Played]])</f>
        <v>5</v>
      </c>
      <c r="V41" s="215">
        <f>SUM((SUMIF($B$4:$B$34,Overall_AVG[[#This Row],[Baller]],$V$4:$V$34))/Overall_AVG[[#This Row],[Games Played]])</f>
        <v>2.2000000000000002</v>
      </c>
      <c r="W41" s="215">
        <f>SUM((SUMIF($B$4:$B$34,Overall_AVG[[#This Row],[Baller]],$W$4:$W$34))/Overall_AVG[[#This Row],[Games Played]])</f>
        <v>1.2</v>
      </c>
      <c r="X41" s="215">
        <f>SUM((SUMIF($B$4:$B$34,Overall_AVG[[#This Row],[Baller]],$X$4:$X$34))/Overall_AVG[[#This Row],[Games Played]])</f>
        <v>0.4</v>
      </c>
      <c r="Y41" s="215">
        <f>SUM((SUMIF($B$4:$B$34,Overall_AVG[[#This Row],[Baller]],$Y$4:$Y$34))/Overall_AVG[[#This Row],[Games Played]])</f>
        <v>1.6</v>
      </c>
      <c r="Z41" s="204">
        <f>Overall_AVG[[#This Row],[Dimes]]/Overall_AVG[[#This Row],[Turnovers]]</f>
        <v>1.375</v>
      </c>
    </row>
    <row r="42" spans="1:26" hidden="1" x14ac:dyDescent="0.2">
      <c r="A42" s="14" t="s">
        <v>44</v>
      </c>
      <c r="B42" t="s">
        <v>80</v>
      </c>
      <c r="C42" t="s">
        <v>132</v>
      </c>
      <c r="D42" s="86">
        <f t="shared" si="0"/>
        <v>0</v>
      </c>
      <c r="E42" s="215" t="e">
        <f>SUM((SUMIF($B$4:$B$34,Overall_AVG[[#This Row],[Baller]],$E$4:$E$34))/Overall_AVG[[#This Row],[Games Played]])</f>
        <v>#DIV/0!</v>
      </c>
      <c r="F42" s="215" t="e">
        <f>SUM((SUMIF($B$4:$B$34,Overall_AVG[[#This Row],[Baller]],$F$4:$F$34))/Overall_AVG[[#This Row],[Games Played]])</f>
        <v>#DIV/0!</v>
      </c>
      <c r="G42" s="203" t="e">
        <f>Overall_AVG[[#This Row],[Total FGM]]/Overall_AVG[[#This Row],[Total FGA]]</f>
        <v>#DIV/0!</v>
      </c>
      <c r="H42" s="216" t="e">
        <f>SUM((SUMIF($B$4:$B$34,Overall_AVG[[#This Row],[Baller]],$H$4:$H$34))/Overall_AVG[[#This Row],[Games Played]])</f>
        <v>#DIV/0!</v>
      </c>
      <c r="I42" s="92" t="e">
        <f>SUM((SUMIF($B$4:$B$34,Overall_AVG[[#This Row],[Baller]],$I$4:$I$34))/Overall_AVG[[#This Row],[Games Played]])</f>
        <v>#DIV/0!</v>
      </c>
      <c r="J42" s="91" t="e">
        <f>Overall_AVG[[#This Row],[2PT FGM]]/Overall_AVG[[#This Row],[2PT FGA]]</f>
        <v>#DIV/0!</v>
      </c>
      <c r="K42" s="92" t="e">
        <f>SUM((SUMIF($B$4:$B$34,Overall_AVG[[#This Row],[Baller]],$K$4:$K$34))/Overall_AVG[[#This Row],[Games Played]])</f>
        <v>#DIV/0!</v>
      </c>
      <c r="L42" s="92" t="e">
        <f>SUM((SUMIF($B$4:$B$34,Overall_AVG[[#This Row],[Baller]],$L$4:$L$34))/Overall_AVG[[#This Row],[Games Played]])</f>
        <v>#DIV/0!</v>
      </c>
      <c r="M42" s="91" t="e">
        <f>Overall_AVG[[#This Row],[3PT FGM]]/Overall_AVG[[#This Row],[3PT FGA]]</f>
        <v>#DIV/0!</v>
      </c>
      <c r="N42" s="92" t="e">
        <f>SUM((SUMIF($B$4:$B$34,Overall_AVG[[#This Row],[Baller]],$N$4:$N$34))/Overall_AVG[[#This Row],[Games Played]])</f>
        <v>#DIV/0!</v>
      </c>
      <c r="O42" s="92" t="e">
        <f>SUM((SUMIF($B$4:$B$34,Overall_AVG[[#This Row],[Baller]],$O$4:$O$34))/Overall_AVG[[#This Row],[Games Played]])</f>
        <v>#DIV/0!</v>
      </c>
      <c r="P42" s="99" t="e">
        <f>Overall_AVG[[#This Row],[FTM]]/Overall_AVG[[#This Row],[FTA]]</f>
        <v>#DIV/0!</v>
      </c>
      <c r="Q42" s="215" t="e">
        <f>SUM((SUMIF($B$4:$B$34,Overall_AVG[[#This Row],[Baller]],$Q$4:$Q$34))/Overall_AVG[[#This Row],[Games Played]])</f>
        <v>#DIV/0!</v>
      </c>
      <c r="R42" s="215" t="e">
        <f>SUM((SUMIF($B$4:$B$34,Overall_AVG[[#This Row],[Baller]],$R$4:$R$34))/Overall_AVG[[#This Row],[Games Played]])</f>
        <v>#DIV/0!</v>
      </c>
      <c r="S42" s="215" t="e">
        <f>SUM((SUMIF($B$4:$B$34,Overall_AVG[[#This Row],[Baller]],$S$4:$S$34))/Overall_AVG[[#This Row],[Games Played]])</f>
        <v>#DIV/0!</v>
      </c>
      <c r="T42" s="215" t="e">
        <f>SUM((SUMIF($B$4:$B$34,Overall_AVG[[#This Row],[Baller]],$T$4:$T$34))/Overall_AVG[[#This Row],[Games Played]])</f>
        <v>#DIV/0!</v>
      </c>
      <c r="U42" s="215" t="e">
        <f>SUM((SUMIF($B$4:$B$34,Overall_AVG[[#This Row],[Baller]],$U$4:$U$34))/Overall_AVG[[#This Row],[Games Played]])</f>
        <v>#DIV/0!</v>
      </c>
      <c r="V42" s="215" t="e">
        <f>SUM((SUMIF($B$4:$B$34,Overall_AVG[[#This Row],[Baller]],$V$4:$V$34))/Overall_AVG[[#This Row],[Games Played]])</f>
        <v>#DIV/0!</v>
      </c>
      <c r="W42" s="215" t="e">
        <f>SUM((SUMIF($B$4:$B$34,Overall_AVG[[#This Row],[Baller]],$W$4:$W$34))/Overall_AVG[[#This Row],[Games Played]])</f>
        <v>#DIV/0!</v>
      </c>
      <c r="X42" s="215" t="e">
        <f>SUM((SUMIF($B$4:$B$34,Overall_AVG[[#This Row],[Baller]],$X$4:$X$34))/Overall_AVG[[#This Row],[Games Played]])</f>
        <v>#DIV/0!</v>
      </c>
      <c r="Y42" s="215" t="e">
        <f>SUM((SUMIF($B$4:$B$34,Overall_AVG[[#This Row],[Baller]],$Y$4:$Y$34))/Overall_AVG[[#This Row],[Games Played]])</f>
        <v>#DIV/0!</v>
      </c>
      <c r="Z42" s="204" t="e">
        <f>Overall_AVG[[#This Row],[Dimes]]/Overall_AVG[[#This Row],[Turnovers]]</f>
        <v>#DIV/0!</v>
      </c>
    </row>
    <row r="43" spans="1:26" hidden="1" x14ac:dyDescent="0.2">
      <c r="A43" s="14" t="s">
        <v>52</v>
      </c>
      <c r="B43" t="s">
        <v>91</v>
      </c>
      <c r="C43" t="s">
        <v>132</v>
      </c>
      <c r="D43" s="86">
        <f t="shared" si="0"/>
        <v>0</v>
      </c>
      <c r="E43" s="215" t="e">
        <f>SUM((SUMIF($B$4:$B$34,Overall_AVG[[#This Row],[Baller]],$E$4:$E$34))/Overall_AVG[[#This Row],[Games Played]])</f>
        <v>#DIV/0!</v>
      </c>
      <c r="F43" s="215" t="e">
        <f>SUM((SUMIF($B$4:$B$34,Overall_AVG[[#This Row],[Baller]],$F$4:$F$34))/Overall_AVG[[#This Row],[Games Played]])</f>
        <v>#DIV/0!</v>
      </c>
      <c r="G43" s="203" t="e">
        <f>Overall_AVG[[#This Row],[Total FGM]]/Overall_AVG[[#This Row],[Total FGA]]</f>
        <v>#DIV/0!</v>
      </c>
      <c r="H43" s="216" t="e">
        <f>SUM((SUMIF($B$4:$B$34,Overall_AVG[[#This Row],[Baller]],$H$4:$H$34))/Overall_AVG[[#This Row],[Games Played]])</f>
        <v>#DIV/0!</v>
      </c>
      <c r="I43" s="92" t="e">
        <f>SUM((SUMIF($B$4:$B$34,Overall_AVG[[#This Row],[Baller]],$I$4:$I$34))/Overall_AVG[[#This Row],[Games Played]])</f>
        <v>#DIV/0!</v>
      </c>
      <c r="J43" s="91" t="e">
        <f>Overall_AVG[[#This Row],[2PT FGM]]/Overall_AVG[[#This Row],[2PT FGA]]</f>
        <v>#DIV/0!</v>
      </c>
      <c r="K43" s="92" t="e">
        <f>SUM((SUMIF($B$4:$B$34,Overall_AVG[[#This Row],[Baller]],$K$4:$K$34))/Overall_AVG[[#This Row],[Games Played]])</f>
        <v>#DIV/0!</v>
      </c>
      <c r="L43" s="92" t="e">
        <f>SUM((SUMIF($B$4:$B$34,Overall_AVG[[#This Row],[Baller]],$L$4:$L$34))/Overall_AVG[[#This Row],[Games Played]])</f>
        <v>#DIV/0!</v>
      </c>
      <c r="M43" s="91" t="e">
        <f>Overall_AVG[[#This Row],[3PT FGM]]/Overall_AVG[[#This Row],[3PT FGA]]</f>
        <v>#DIV/0!</v>
      </c>
      <c r="N43" s="92" t="e">
        <f>SUM((SUMIF($B$4:$B$34,Overall_AVG[[#This Row],[Baller]],$N$4:$N$34))/Overall_AVG[[#This Row],[Games Played]])</f>
        <v>#DIV/0!</v>
      </c>
      <c r="O43" s="92" t="e">
        <f>SUM((SUMIF($B$4:$B$34,Overall_AVG[[#This Row],[Baller]],$O$4:$O$34))/Overall_AVG[[#This Row],[Games Played]])</f>
        <v>#DIV/0!</v>
      </c>
      <c r="P43" s="99" t="e">
        <f>Overall_AVG[[#This Row],[FTM]]/Overall_AVG[[#This Row],[FTA]]</f>
        <v>#DIV/0!</v>
      </c>
      <c r="Q43" s="215" t="e">
        <f>SUM((SUMIF($B$4:$B$34,Overall_AVG[[#This Row],[Baller]],$Q$4:$Q$34))/Overall_AVG[[#This Row],[Games Played]])</f>
        <v>#DIV/0!</v>
      </c>
      <c r="R43" s="215" t="e">
        <f>SUM((SUMIF($B$4:$B$34,Overall_AVG[[#This Row],[Baller]],$R$4:$R$34))/Overall_AVG[[#This Row],[Games Played]])</f>
        <v>#DIV/0!</v>
      </c>
      <c r="S43" s="215" t="e">
        <f>SUM((SUMIF($B$4:$B$34,Overall_AVG[[#This Row],[Baller]],$S$4:$S$34))/Overall_AVG[[#This Row],[Games Played]])</f>
        <v>#DIV/0!</v>
      </c>
      <c r="T43" s="215" t="e">
        <f>SUM((SUMIF($B$4:$B$34,Overall_AVG[[#This Row],[Baller]],$T$4:$T$34))/Overall_AVG[[#This Row],[Games Played]])</f>
        <v>#DIV/0!</v>
      </c>
      <c r="U43" s="215" t="e">
        <f>SUM((SUMIF($B$4:$B$34,Overall_AVG[[#This Row],[Baller]],$U$4:$U$34))/Overall_AVG[[#This Row],[Games Played]])</f>
        <v>#DIV/0!</v>
      </c>
      <c r="V43" s="215" t="e">
        <f>SUM((SUMIF($B$4:$B$34,Overall_AVG[[#This Row],[Baller]],$V$4:$V$34))/Overall_AVG[[#This Row],[Games Played]])</f>
        <v>#DIV/0!</v>
      </c>
      <c r="W43" s="215" t="e">
        <f>SUM((SUMIF($B$4:$B$34,Overall_AVG[[#This Row],[Baller]],$W$4:$W$34))/Overall_AVG[[#This Row],[Games Played]])</f>
        <v>#DIV/0!</v>
      </c>
      <c r="X43" s="215" t="e">
        <f>SUM((SUMIF($B$4:$B$34,Overall_AVG[[#This Row],[Baller]],$X$4:$X$34))/Overall_AVG[[#This Row],[Games Played]])</f>
        <v>#DIV/0!</v>
      </c>
      <c r="Y43" s="215" t="e">
        <f>SUM((SUMIF($B$4:$B$34,Overall_AVG[[#This Row],[Baller]],$Y$4:$Y$34))/Overall_AVG[[#This Row],[Games Played]])</f>
        <v>#DIV/0!</v>
      </c>
      <c r="Z43" s="204" t="e">
        <f>Overall_AVG[[#This Row],[Dimes]]/Overall_AVG[[#This Row],[Turnovers]]</f>
        <v>#DIV/0!</v>
      </c>
    </row>
    <row r="44" spans="1:26" hidden="1" x14ac:dyDescent="0.2">
      <c r="A44" s="14" t="s">
        <v>53</v>
      </c>
      <c r="B44" t="s">
        <v>77</v>
      </c>
      <c r="C44" t="s">
        <v>132</v>
      </c>
      <c r="D44" s="86">
        <f t="shared" si="0"/>
        <v>0</v>
      </c>
      <c r="E44" s="215" t="e">
        <f>SUM((SUMIF($B$4:$B$34,Overall_AVG[[#This Row],[Baller]],$E$4:$E$34))/Overall_AVG[[#This Row],[Games Played]])</f>
        <v>#DIV/0!</v>
      </c>
      <c r="F44" s="215" t="e">
        <f>SUM((SUMIF($B$4:$B$34,Overall_AVG[[#This Row],[Baller]],$F$4:$F$34))/Overall_AVG[[#This Row],[Games Played]])</f>
        <v>#DIV/0!</v>
      </c>
      <c r="G44" s="203" t="e">
        <f>Overall_AVG[[#This Row],[Total FGM]]/Overall_AVG[[#This Row],[Total FGA]]</f>
        <v>#DIV/0!</v>
      </c>
      <c r="H44" s="216" t="e">
        <f>SUM((SUMIF($B$4:$B$34,Overall_AVG[[#This Row],[Baller]],$H$4:$H$34))/Overall_AVG[[#This Row],[Games Played]])</f>
        <v>#DIV/0!</v>
      </c>
      <c r="I44" s="92" t="e">
        <f>SUM((SUMIF($B$4:$B$34,Overall_AVG[[#This Row],[Baller]],$I$4:$I$34))/Overall_AVG[[#This Row],[Games Played]])</f>
        <v>#DIV/0!</v>
      </c>
      <c r="J44" s="91" t="e">
        <f>Overall_AVG[[#This Row],[2PT FGM]]/Overall_AVG[[#This Row],[2PT FGA]]</f>
        <v>#DIV/0!</v>
      </c>
      <c r="K44" s="92" t="e">
        <f>SUM((SUMIF($B$4:$B$34,Overall_AVG[[#This Row],[Baller]],$K$4:$K$34))/Overall_AVG[[#This Row],[Games Played]])</f>
        <v>#DIV/0!</v>
      </c>
      <c r="L44" s="92" t="e">
        <f>SUM((SUMIF($B$4:$B$34,Overall_AVG[[#This Row],[Baller]],$L$4:$L$34))/Overall_AVG[[#This Row],[Games Played]])</f>
        <v>#DIV/0!</v>
      </c>
      <c r="M44" s="91" t="e">
        <f>Overall_AVG[[#This Row],[3PT FGM]]/Overall_AVG[[#This Row],[3PT FGA]]</f>
        <v>#DIV/0!</v>
      </c>
      <c r="N44" s="92" t="e">
        <f>SUM((SUMIF($B$4:$B$34,Overall_AVG[[#This Row],[Baller]],$N$4:$N$34))/Overall_AVG[[#This Row],[Games Played]])</f>
        <v>#DIV/0!</v>
      </c>
      <c r="O44" s="92" t="e">
        <f>SUM((SUMIF($B$4:$B$34,Overall_AVG[[#This Row],[Baller]],$O$4:$O$34))/Overall_AVG[[#This Row],[Games Played]])</f>
        <v>#DIV/0!</v>
      </c>
      <c r="P44" s="99" t="e">
        <f>Overall_AVG[[#This Row],[FTM]]/Overall_AVG[[#This Row],[FTA]]</f>
        <v>#DIV/0!</v>
      </c>
      <c r="Q44" s="215" t="e">
        <f>SUM((SUMIF($B$4:$B$34,Overall_AVG[[#This Row],[Baller]],$Q$4:$Q$34))/Overall_AVG[[#This Row],[Games Played]])</f>
        <v>#DIV/0!</v>
      </c>
      <c r="R44" s="215" t="e">
        <f>SUM((SUMIF($B$4:$B$34,Overall_AVG[[#This Row],[Baller]],$R$4:$R$34))/Overall_AVG[[#This Row],[Games Played]])</f>
        <v>#DIV/0!</v>
      </c>
      <c r="S44" s="215" t="e">
        <f>SUM((SUMIF($B$4:$B$34,Overall_AVG[[#This Row],[Baller]],$S$4:$S$34))/Overall_AVG[[#This Row],[Games Played]])</f>
        <v>#DIV/0!</v>
      </c>
      <c r="T44" s="215" t="e">
        <f>SUM((SUMIF($B$4:$B$34,Overall_AVG[[#This Row],[Baller]],$T$4:$T$34))/Overall_AVG[[#This Row],[Games Played]])</f>
        <v>#DIV/0!</v>
      </c>
      <c r="U44" s="215" t="e">
        <f>SUM((SUMIF($B$4:$B$34,Overall_AVG[[#This Row],[Baller]],$U$4:$U$34))/Overall_AVG[[#This Row],[Games Played]])</f>
        <v>#DIV/0!</v>
      </c>
      <c r="V44" s="215" t="e">
        <f>SUM((SUMIF($B$4:$B$34,Overall_AVG[[#This Row],[Baller]],$V$4:$V$34))/Overall_AVG[[#This Row],[Games Played]])</f>
        <v>#DIV/0!</v>
      </c>
      <c r="W44" s="215" t="e">
        <f>SUM((SUMIF($B$4:$B$34,Overall_AVG[[#This Row],[Baller]],$W$4:$W$34))/Overall_AVG[[#This Row],[Games Played]])</f>
        <v>#DIV/0!</v>
      </c>
      <c r="X44" s="215" t="e">
        <f>SUM((SUMIF($B$4:$B$34,Overall_AVG[[#This Row],[Baller]],$X$4:$X$34))/Overall_AVG[[#This Row],[Games Played]])</f>
        <v>#DIV/0!</v>
      </c>
      <c r="Y44" s="215" t="e">
        <f>SUM((SUMIF($B$4:$B$34,Overall_AVG[[#This Row],[Baller]],$Y$4:$Y$34))/Overall_AVG[[#This Row],[Games Played]])</f>
        <v>#DIV/0!</v>
      </c>
      <c r="Z44" s="204" t="e">
        <f>Overall_AVG[[#This Row],[Dimes]]/Overall_AVG[[#This Row],[Turnovers]]</f>
        <v>#DIV/0!</v>
      </c>
    </row>
    <row r="45" spans="1:26" hidden="1" x14ac:dyDescent="0.2">
      <c r="A45" s="16" t="s">
        <v>56</v>
      </c>
      <c r="B45" t="s">
        <v>95</v>
      </c>
      <c r="C45" t="s">
        <v>132</v>
      </c>
      <c r="D45" s="86">
        <f t="shared" si="0"/>
        <v>0</v>
      </c>
      <c r="E45" s="215" t="e">
        <f>SUM((SUMIF($B$4:$B$34,Overall_AVG[[#This Row],[Baller]],$E$4:$E$34))/Overall_AVG[[#This Row],[Games Played]])</f>
        <v>#DIV/0!</v>
      </c>
      <c r="F45" s="215" t="e">
        <f>SUM((SUMIF($B$4:$B$34,Overall_AVG[[#This Row],[Baller]],$F$4:$F$34))/Overall_AVG[[#This Row],[Games Played]])</f>
        <v>#DIV/0!</v>
      </c>
      <c r="G45" s="203" t="e">
        <f>Overall_AVG[[#This Row],[Total FGM]]/Overall_AVG[[#This Row],[Total FGA]]</f>
        <v>#DIV/0!</v>
      </c>
      <c r="H45" s="216" t="e">
        <f>SUM((SUMIF($B$4:$B$34,Overall_AVG[[#This Row],[Baller]],$H$4:$H$34))/Overall_AVG[[#This Row],[Games Played]])</f>
        <v>#DIV/0!</v>
      </c>
      <c r="I45" s="92" t="e">
        <f>SUM((SUMIF($B$4:$B$34,Overall_AVG[[#This Row],[Baller]],$I$4:$I$34))/Overall_AVG[[#This Row],[Games Played]])</f>
        <v>#DIV/0!</v>
      </c>
      <c r="J45" s="91" t="e">
        <f>Overall_AVG[[#This Row],[2PT FGM]]/Overall_AVG[[#This Row],[2PT FGA]]</f>
        <v>#DIV/0!</v>
      </c>
      <c r="K45" s="92" t="e">
        <f>SUM((SUMIF($B$4:$B$34,Overall_AVG[[#This Row],[Baller]],$K$4:$K$34))/Overall_AVG[[#This Row],[Games Played]])</f>
        <v>#DIV/0!</v>
      </c>
      <c r="L45" s="92" t="e">
        <f>SUM((SUMIF($B$4:$B$34,Overall_AVG[[#This Row],[Baller]],$L$4:$L$34))/Overall_AVG[[#This Row],[Games Played]])</f>
        <v>#DIV/0!</v>
      </c>
      <c r="M45" s="91" t="e">
        <f>Overall_AVG[[#This Row],[3PT FGM]]/Overall_AVG[[#This Row],[3PT FGA]]</f>
        <v>#DIV/0!</v>
      </c>
      <c r="N45" s="92" t="e">
        <f>SUM((SUMIF($B$4:$B$34,Overall_AVG[[#This Row],[Baller]],$N$4:$N$34))/Overall_AVG[[#This Row],[Games Played]])</f>
        <v>#DIV/0!</v>
      </c>
      <c r="O45" s="92" t="e">
        <f>SUM((SUMIF($B$4:$B$34,Overall_AVG[[#This Row],[Baller]],$O$4:$O$34))/Overall_AVG[[#This Row],[Games Played]])</f>
        <v>#DIV/0!</v>
      </c>
      <c r="P45" s="99" t="e">
        <f>Overall_AVG[[#This Row],[FTM]]/Overall_AVG[[#This Row],[FTA]]</f>
        <v>#DIV/0!</v>
      </c>
      <c r="Q45" s="215" t="e">
        <f>SUM((SUMIF($B$4:$B$34,Overall_AVG[[#This Row],[Baller]],$Q$4:$Q$34))/Overall_AVG[[#This Row],[Games Played]])</f>
        <v>#DIV/0!</v>
      </c>
      <c r="R45" s="215" t="e">
        <f>SUM((SUMIF($B$4:$B$34,Overall_AVG[[#This Row],[Baller]],$R$4:$R$34))/Overall_AVG[[#This Row],[Games Played]])</f>
        <v>#DIV/0!</v>
      </c>
      <c r="S45" s="215" t="e">
        <f>SUM((SUMIF($B$4:$B$34,Overall_AVG[[#This Row],[Baller]],$S$4:$S$34))/Overall_AVG[[#This Row],[Games Played]])</f>
        <v>#DIV/0!</v>
      </c>
      <c r="T45" s="215" t="e">
        <f>SUM((SUMIF($B$4:$B$34,Overall_AVG[[#This Row],[Baller]],$T$4:$T$34))/Overall_AVG[[#This Row],[Games Played]])</f>
        <v>#DIV/0!</v>
      </c>
      <c r="U45" s="215" t="e">
        <f>SUM((SUMIF($B$4:$B$34,Overall_AVG[[#This Row],[Baller]],$U$4:$U$34))/Overall_AVG[[#This Row],[Games Played]])</f>
        <v>#DIV/0!</v>
      </c>
      <c r="V45" s="215" t="e">
        <f>SUM((SUMIF($B$4:$B$34,Overall_AVG[[#This Row],[Baller]],$V$4:$V$34))/Overall_AVG[[#This Row],[Games Played]])</f>
        <v>#DIV/0!</v>
      </c>
      <c r="W45" s="215" t="e">
        <f>SUM((SUMIF($B$4:$B$34,Overall_AVG[[#This Row],[Baller]],$W$4:$W$34))/Overall_AVG[[#This Row],[Games Played]])</f>
        <v>#DIV/0!</v>
      </c>
      <c r="X45" s="215" t="e">
        <f>SUM((SUMIF($B$4:$B$34,Overall_AVG[[#This Row],[Baller]],$X$4:$X$34))/Overall_AVG[[#This Row],[Games Played]])</f>
        <v>#DIV/0!</v>
      </c>
      <c r="Y45" s="215" t="e">
        <f>SUM((SUMIF($B$4:$B$34,Overall_AVG[[#This Row],[Baller]],$Y$4:$Y$34))/Overall_AVG[[#This Row],[Games Played]])</f>
        <v>#DIV/0!</v>
      </c>
      <c r="Z45" s="204" t="e">
        <f>Overall_AVG[[#This Row],[Dimes]]/Overall_AVG[[#This Row],[Turnovers]]</f>
        <v>#DIV/0!</v>
      </c>
    </row>
    <row r="46" spans="1:26" hidden="1" x14ac:dyDescent="0.2">
      <c r="A46" s="14" t="s">
        <v>34</v>
      </c>
      <c r="B46" t="s">
        <v>78</v>
      </c>
      <c r="C46" t="s">
        <v>132</v>
      </c>
      <c r="D46" s="86">
        <f t="shared" si="0"/>
        <v>0</v>
      </c>
      <c r="E46" s="215" t="e">
        <f>SUM((SUMIF($B$4:$B$34,Overall_AVG[[#This Row],[Baller]],$E$4:$E$34))/Overall_AVG[[#This Row],[Games Played]])</f>
        <v>#DIV/0!</v>
      </c>
      <c r="F46" s="215" t="e">
        <f>SUM((SUMIF($B$4:$B$34,Overall_AVG[[#This Row],[Baller]],$F$4:$F$34))/Overall_AVG[[#This Row],[Games Played]])</f>
        <v>#DIV/0!</v>
      </c>
      <c r="G46" s="203" t="e">
        <f>Overall_AVG[[#This Row],[Total FGM]]/Overall_AVG[[#This Row],[Total FGA]]</f>
        <v>#DIV/0!</v>
      </c>
      <c r="H46" s="216" t="e">
        <f>SUM((SUMIF($B$4:$B$34,Overall_AVG[[#This Row],[Baller]],$H$4:$H$34))/Overall_AVG[[#This Row],[Games Played]])</f>
        <v>#DIV/0!</v>
      </c>
      <c r="I46" s="92" t="e">
        <f>SUM((SUMIF($B$4:$B$34,Overall_AVG[[#This Row],[Baller]],$I$4:$I$34))/Overall_AVG[[#This Row],[Games Played]])</f>
        <v>#DIV/0!</v>
      </c>
      <c r="J46" s="91" t="e">
        <f>Overall_AVG[[#This Row],[2PT FGM]]/Overall_AVG[[#This Row],[2PT FGA]]</f>
        <v>#DIV/0!</v>
      </c>
      <c r="K46" s="92" t="e">
        <f>SUM((SUMIF($B$4:$B$34,Overall_AVG[[#This Row],[Baller]],$K$4:$K$34))/Overall_AVG[[#This Row],[Games Played]])</f>
        <v>#DIV/0!</v>
      </c>
      <c r="L46" s="92" t="e">
        <f>SUM((SUMIF($B$4:$B$34,Overall_AVG[[#This Row],[Baller]],$L$4:$L$34))/Overall_AVG[[#This Row],[Games Played]])</f>
        <v>#DIV/0!</v>
      </c>
      <c r="M46" s="91" t="e">
        <f>Overall_AVG[[#This Row],[3PT FGM]]/Overall_AVG[[#This Row],[3PT FGA]]</f>
        <v>#DIV/0!</v>
      </c>
      <c r="N46" s="92" t="e">
        <f>SUM((SUMIF($B$4:$B$34,Overall_AVG[[#This Row],[Baller]],$N$4:$N$34))/Overall_AVG[[#This Row],[Games Played]])</f>
        <v>#DIV/0!</v>
      </c>
      <c r="O46" s="92" t="e">
        <f>SUM((SUMIF($B$4:$B$34,Overall_AVG[[#This Row],[Baller]],$O$4:$O$34))/Overall_AVG[[#This Row],[Games Played]])</f>
        <v>#DIV/0!</v>
      </c>
      <c r="P46" s="99" t="e">
        <f>Overall_AVG[[#This Row],[FTM]]/Overall_AVG[[#This Row],[FTA]]</f>
        <v>#DIV/0!</v>
      </c>
      <c r="Q46" s="215" t="e">
        <f>SUM((SUMIF($B$4:$B$34,Overall_AVG[[#This Row],[Baller]],$Q$4:$Q$34))/Overall_AVG[[#This Row],[Games Played]])</f>
        <v>#DIV/0!</v>
      </c>
      <c r="R46" s="215" t="e">
        <f>SUM((SUMIF($B$4:$B$34,Overall_AVG[[#This Row],[Baller]],$R$4:$R$34))/Overall_AVG[[#This Row],[Games Played]])</f>
        <v>#DIV/0!</v>
      </c>
      <c r="S46" s="215" t="e">
        <f>SUM((SUMIF($B$4:$B$34,Overall_AVG[[#This Row],[Baller]],$S$4:$S$34))/Overall_AVG[[#This Row],[Games Played]])</f>
        <v>#DIV/0!</v>
      </c>
      <c r="T46" s="215" t="e">
        <f>SUM((SUMIF($B$4:$B$34,Overall_AVG[[#This Row],[Baller]],$T$4:$T$34))/Overall_AVG[[#This Row],[Games Played]])</f>
        <v>#DIV/0!</v>
      </c>
      <c r="U46" s="215" t="e">
        <f>SUM((SUMIF($B$4:$B$34,Overall_AVG[[#This Row],[Baller]],$U$4:$U$34))/Overall_AVG[[#This Row],[Games Played]])</f>
        <v>#DIV/0!</v>
      </c>
      <c r="V46" s="215" t="e">
        <f>SUM((SUMIF($B$4:$B$34,Overall_AVG[[#This Row],[Baller]],$V$4:$V$34))/Overall_AVG[[#This Row],[Games Played]])</f>
        <v>#DIV/0!</v>
      </c>
      <c r="W46" s="215" t="e">
        <f>SUM((SUMIF($B$4:$B$34,Overall_AVG[[#This Row],[Baller]],$W$4:$W$34))/Overall_AVG[[#This Row],[Games Played]])</f>
        <v>#DIV/0!</v>
      </c>
      <c r="X46" s="215" t="e">
        <f>SUM((SUMIF($B$4:$B$34,Overall_AVG[[#This Row],[Baller]],$X$4:$X$34))/Overall_AVG[[#This Row],[Games Played]])</f>
        <v>#DIV/0!</v>
      </c>
      <c r="Y46" s="215" t="e">
        <f>SUM((SUMIF($B$4:$B$34,Overall_AVG[[#This Row],[Baller]],$Y$4:$Y$34))/Overall_AVG[[#This Row],[Games Played]])</f>
        <v>#DIV/0!</v>
      </c>
      <c r="Z46" s="204" t="e">
        <f>Overall_AVG[[#This Row],[Dimes]]/Overall_AVG[[#This Row],[Turnovers]]</f>
        <v>#DIV/0!</v>
      </c>
    </row>
    <row r="47" spans="1:26" hidden="1" x14ac:dyDescent="0.2">
      <c r="A47" s="14" t="s">
        <v>41</v>
      </c>
      <c r="B47" t="s">
        <v>79</v>
      </c>
      <c r="C47" t="s">
        <v>132</v>
      </c>
      <c r="D47" s="86">
        <f t="shared" si="0"/>
        <v>0</v>
      </c>
      <c r="E47" s="215" t="e">
        <f>SUM((SUMIF($B$4:$B$34,Overall_AVG[[#This Row],[Baller]],$E$4:$E$34))/Overall_AVG[[#This Row],[Games Played]])</f>
        <v>#DIV/0!</v>
      </c>
      <c r="F47" s="215" t="e">
        <f>SUM((SUMIF($B$4:$B$34,Overall_AVG[[#This Row],[Baller]],$F$4:$F$34))/Overall_AVG[[#This Row],[Games Played]])</f>
        <v>#DIV/0!</v>
      </c>
      <c r="G47" s="203" t="e">
        <f>Overall_AVG[[#This Row],[Total FGM]]/Overall_AVG[[#This Row],[Total FGA]]</f>
        <v>#DIV/0!</v>
      </c>
      <c r="H47" s="216" t="e">
        <f>SUM((SUMIF($B$4:$B$34,Overall_AVG[[#This Row],[Baller]],$H$4:$H$34))/Overall_AVG[[#This Row],[Games Played]])</f>
        <v>#DIV/0!</v>
      </c>
      <c r="I47" s="92" t="e">
        <f>SUM((SUMIF($B$4:$B$34,Overall_AVG[[#This Row],[Baller]],$I$4:$I$34))/Overall_AVG[[#This Row],[Games Played]])</f>
        <v>#DIV/0!</v>
      </c>
      <c r="J47" s="91" t="e">
        <f>Overall_AVG[[#This Row],[2PT FGM]]/Overall_AVG[[#This Row],[2PT FGA]]</f>
        <v>#DIV/0!</v>
      </c>
      <c r="K47" s="92" t="e">
        <f>SUM((SUMIF($B$4:$B$34,Overall_AVG[[#This Row],[Baller]],$K$4:$K$34))/Overall_AVG[[#This Row],[Games Played]])</f>
        <v>#DIV/0!</v>
      </c>
      <c r="L47" s="92" t="e">
        <f>SUM((SUMIF($B$4:$B$34,Overall_AVG[[#This Row],[Baller]],$L$4:$L$34))/Overall_AVG[[#This Row],[Games Played]])</f>
        <v>#DIV/0!</v>
      </c>
      <c r="M47" s="91" t="e">
        <f>Overall_AVG[[#This Row],[3PT FGM]]/Overall_AVG[[#This Row],[3PT FGA]]</f>
        <v>#DIV/0!</v>
      </c>
      <c r="N47" s="92" t="e">
        <f>SUM((SUMIF($B$4:$B$34,Overall_AVG[[#This Row],[Baller]],$N$4:$N$34))/Overall_AVG[[#This Row],[Games Played]])</f>
        <v>#DIV/0!</v>
      </c>
      <c r="O47" s="92" t="e">
        <f>SUM((SUMIF($B$4:$B$34,Overall_AVG[[#This Row],[Baller]],$O$4:$O$34))/Overall_AVG[[#This Row],[Games Played]])</f>
        <v>#DIV/0!</v>
      </c>
      <c r="P47" s="99" t="e">
        <f>Overall_AVG[[#This Row],[FTM]]/Overall_AVG[[#This Row],[FTA]]</f>
        <v>#DIV/0!</v>
      </c>
      <c r="Q47" s="215" t="e">
        <f>SUM((SUMIF($B$4:$B$34,Overall_AVG[[#This Row],[Baller]],$Q$4:$Q$34))/Overall_AVG[[#This Row],[Games Played]])</f>
        <v>#DIV/0!</v>
      </c>
      <c r="R47" s="215" t="e">
        <f>SUM((SUMIF($B$4:$B$34,Overall_AVG[[#This Row],[Baller]],$R$4:$R$34))/Overall_AVG[[#This Row],[Games Played]])</f>
        <v>#DIV/0!</v>
      </c>
      <c r="S47" s="215" t="e">
        <f>SUM((SUMIF($B$4:$B$34,Overall_AVG[[#This Row],[Baller]],$S$4:$S$34))/Overall_AVG[[#This Row],[Games Played]])</f>
        <v>#DIV/0!</v>
      </c>
      <c r="T47" s="215" t="e">
        <f>SUM((SUMIF($B$4:$B$34,Overall_AVG[[#This Row],[Baller]],$T$4:$T$34))/Overall_AVG[[#This Row],[Games Played]])</f>
        <v>#DIV/0!</v>
      </c>
      <c r="U47" s="215" t="e">
        <f>SUM((SUMIF($B$4:$B$34,Overall_AVG[[#This Row],[Baller]],$U$4:$U$34))/Overall_AVG[[#This Row],[Games Played]])</f>
        <v>#DIV/0!</v>
      </c>
      <c r="V47" s="215" t="e">
        <f>SUM((SUMIF($B$4:$B$34,Overall_AVG[[#This Row],[Baller]],$V$4:$V$34))/Overall_AVG[[#This Row],[Games Played]])</f>
        <v>#DIV/0!</v>
      </c>
      <c r="W47" s="215" t="e">
        <f>SUM((SUMIF($B$4:$B$34,Overall_AVG[[#This Row],[Baller]],$W$4:$W$34))/Overall_AVG[[#This Row],[Games Played]])</f>
        <v>#DIV/0!</v>
      </c>
      <c r="X47" s="215" t="e">
        <f>SUM((SUMIF($B$4:$B$34,Overall_AVG[[#This Row],[Baller]],$X$4:$X$34))/Overall_AVG[[#This Row],[Games Played]])</f>
        <v>#DIV/0!</v>
      </c>
      <c r="Y47" s="215" t="e">
        <f>SUM((SUMIF($B$4:$B$34,Overall_AVG[[#This Row],[Baller]],$Y$4:$Y$34))/Overall_AVG[[#This Row],[Games Played]])</f>
        <v>#DIV/0!</v>
      </c>
      <c r="Z47" s="204" t="e">
        <f>Overall_AVG[[#This Row],[Dimes]]/Overall_AVG[[#This Row],[Turnovers]]</f>
        <v>#DIV/0!</v>
      </c>
    </row>
    <row r="48" spans="1:26" hidden="1" x14ac:dyDescent="0.2">
      <c r="A48" s="14" t="s">
        <v>46</v>
      </c>
      <c r="B48" t="s">
        <v>81</v>
      </c>
      <c r="C48" t="s">
        <v>132</v>
      </c>
      <c r="D48" s="86">
        <f t="shared" si="0"/>
        <v>0</v>
      </c>
      <c r="E48" s="215" t="e">
        <f>SUM((SUMIF($B$4:$B$34,Overall_AVG[[#This Row],[Baller]],$E$4:$E$34))/Overall_AVG[[#This Row],[Games Played]])</f>
        <v>#DIV/0!</v>
      </c>
      <c r="F48" s="215" t="e">
        <f>SUM((SUMIF($B$4:$B$34,Overall_AVG[[#This Row],[Baller]],$F$4:$F$34))/Overall_AVG[[#This Row],[Games Played]])</f>
        <v>#DIV/0!</v>
      </c>
      <c r="G48" s="203" t="e">
        <f>Overall_AVG[[#This Row],[Total FGM]]/Overall_AVG[[#This Row],[Total FGA]]</f>
        <v>#DIV/0!</v>
      </c>
      <c r="H48" s="216" t="e">
        <f>SUM((SUMIF($B$4:$B$34,Overall_AVG[[#This Row],[Baller]],$H$4:$H$34))/Overall_AVG[[#This Row],[Games Played]])</f>
        <v>#DIV/0!</v>
      </c>
      <c r="I48" s="92" t="e">
        <f>SUM((SUMIF($B$4:$B$34,Overall_AVG[[#This Row],[Baller]],$I$4:$I$34))/Overall_AVG[[#This Row],[Games Played]])</f>
        <v>#DIV/0!</v>
      </c>
      <c r="J48" s="91" t="e">
        <f>Overall_AVG[[#This Row],[2PT FGM]]/Overall_AVG[[#This Row],[2PT FGA]]</f>
        <v>#DIV/0!</v>
      </c>
      <c r="K48" s="92" t="e">
        <f>SUM((SUMIF($B$4:$B$34,Overall_AVG[[#This Row],[Baller]],$K$4:$K$34))/Overall_AVG[[#This Row],[Games Played]])</f>
        <v>#DIV/0!</v>
      </c>
      <c r="L48" s="92" t="e">
        <f>SUM((SUMIF($B$4:$B$34,Overall_AVG[[#This Row],[Baller]],$L$4:$L$34))/Overall_AVG[[#This Row],[Games Played]])</f>
        <v>#DIV/0!</v>
      </c>
      <c r="M48" s="91" t="e">
        <f>Overall_AVG[[#This Row],[3PT FGM]]/Overall_AVG[[#This Row],[3PT FGA]]</f>
        <v>#DIV/0!</v>
      </c>
      <c r="N48" s="92" t="e">
        <f>SUM((SUMIF($B$4:$B$34,Overall_AVG[[#This Row],[Baller]],$N$4:$N$34))/Overall_AVG[[#This Row],[Games Played]])</f>
        <v>#DIV/0!</v>
      </c>
      <c r="O48" s="92" t="e">
        <f>SUM((SUMIF($B$4:$B$34,Overall_AVG[[#This Row],[Baller]],$O$4:$O$34))/Overall_AVG[[#This Row],[Games Played]])</f>
        <v>#DIV/0!</v>
      </c>
      <c r="P48" s="99" t="e">
        <f>Overall_AVG[[#This Row],[FTM]]/Overall_AVG[[#This Row],[FTA]]</f>
        <v>#DIV/0!</v>
      </c>
      <c r="Q48" s="215" t="e">
        <f>SUM((SUMIF($B$4:$B$34,Overall_AVG[[#This Row],[Baller]],$Q$4:$Q$34))/Overall_AVG[[#This Row],[Games Played]])</f>
        <v>#DIV/0!</v>
      </c>
      <c r="R48" s="215" t="e">
        <f>SUM((SUMIF($B$4:$B$34,Overall_AVG[[#This Row],[Baller]],$R$4:$R$34))/Overall_AVG[[#This Row],[Games Played]])</f>
        <v>#DIV/0!</v>
      </c>
      <c r="S48" s="215" t="e">
        <f>SUM((SUMIF($B$4:$B$34,Overall_AVG[[#This Row],[Baller]],$S$4:$S$34))/Overall_AVG[[#This Row],[Games Played]])</f>
        <v>#DIV/0!</v>
      </c>
      <c r="T48" s="215" t="e">
        <f>SUM((SUMIF($B$4:$B$34,Overall_AVG[[#This Row],[Baller]],$T$4:$T$34))/Overall_AVG[[#This Row],[Games Played]])</f>
        <v>#DIV/0!</v>
      </c>
      <c r="U48" s="215" t="e">
        <f>SUM((SUMIF($B$4:$B$34,Overall_AVG[[#This Row],[Baller]],$U$4:$U$34))/Overall_AVG[[#This Row],[Games Played]])</f>
        <v>#DIV/0!</v>
      </c>
      <c r="V48" s="215" t="e">
        <f>SUM((SUMIF($B$4:$B$34,Overall_AVG[[#This Row],[Baller]],$V$4:$V$34))/Overall_AVG[[#This Row],[Games Played]])</f>
        <v>#DIV/0!</v>
      </c>
      <c r="W48" s="215" t="e">
        <f>SUM((SUMIF($B$4:$B$34,Overall_AVG[[#This Row],[Baller]],$W$4:$W$34))/Overall_AVG[[#This Row],[Games Played]])</f>
        <v>#DIV/0!</v>
      </c>
      <c r="X48" s="215" t="e">
        <f>SUM((SUMIF($B$4:$B$34,Overall_AVG[[#This Row],[Baller]],$X$4:$X$34))/Overall_AVG[[#This Row],[Games Played]])</f>
        <v>#DIV/0!</v>
      </c>
      <c r="Y48" s="215" t="e">
        <f>SUM((SUMIF($B$4:$B$34,Overall_AVG[[#This Row],[Baller]],$Y$4:$Y$34))/Overall_AVG[[#This Row],[Games Played]])</f>
        <v>#DIV/0!</v>
      </c>
      <c r="Z48" s="204" t="e">
        <f>Overall_AVG[[#This Row],[Dimes]]/Overall_AVG[[#This Row],[Turnovers]]</f>
        <v>#DIV/0!</v>
      </c>
    </row>
    <row r="49" spans="1:26" hidden="1" x14ac:dyDescent="0.2">
      <c r="A49" s="16" t="s">
        <v>38</v>
      </c>
      <c r="B49" t="s">
        <v>82</v>
      </c>
      <c r="C49" t="s">
        <v>132</v>
      </c>
      <c r="D49" s="86">
        <f t="shared" si="0"/>
        <v>0</v>
      </c>
      <c r="E49" s="215" t="e">
        <f>SUM((SUMIF($B$4:$B$34,Overall_AVG[[#This Row],[Baller]],$E$4:$E$34))/Overall_AVG[[#This Row],[Games Played]])</f>
        <v>#DIV/0!</v>
      </c>
      <c r="F49" s="215" t="e">
        <f>SUM((SUMIF($B$4:$B$34,Overall_AVG[[#This Row],[Baller]],$F$4:$F$34))/Overall_AVG[[#This Row],[Games Played]])</f>
        <v>#DIV/0!</v>
      </c>
      <c r="G49" s="203" t="e">
        <f>Overall_AVG[[#This Row],[Total FGM]]/Overall_AVG[[#This Row],[Total FGA]]</f>
        <v>#DIV/0!</v>
      </c>
      <c r="H49" s="216" t="e">
        <f>SUM((SUMIF($B$4:$B$34,Overall_AVG[[#This Row],[Baller]],$H$4:$H$34))/Overall_AVG[[#This Row],[Games Played]])</f>
        <v>#DIV/0!</v>
      </c>
      <c r="I49" s="92" t="e">
        <f>SUM((SUMIF($B$4:$B$34,Overall_AVG[[#This Row],[Baller]],$I$4:$I$34))/Overall_AVG[[#This Row],[Games Played]])</f>
        <v>#DIV/0!</v>
      </c>
      <c r="J49" s="91" t="e">
        <f>Overall_AVG[[#This Row],[2PT FGM]]/Overall_AVG[[#This Row],[2PT FGA]]</f>
        <v>#DIV/0!</v>
      </c>
      <c r="K49" s="92" t="e">
        <f>SUM((SUMIF($B$4:$B$34,Overall_AVG[[#This Row],[Baller]],$K$4:$K$34))/Overall_AVG[[#This Row],[Games Played]])</f>
        <v>#DIV/0!</v>
      </c>
      <c r="L49" s="92" t="e">
        <f>SUM((SUMIF($B$4:$B$34,Overall_AVG[[#This Row],[Baller]],$L$4:$L$34))/Overall_AVG[[#This Row],[Games Played]])</f>
        <v>#DIV/0!</v>
      </c>
      <c r="M49" s="91" t="e">
        <f>Overall_AVG[[#This Row],[3PT FGM]]/Overall_AVG[[#This Row],[3PT FGA]]</f>
        <v>#DIV/0!</v>
      </c>
      <c r="N49" s="92" t="e">
        <f>SUM((SUMIF($B$4:$B$34,Overall_AVG[[#This Row],[Baller]],$N$4:$N$34))/Overall_AVG[[#This Row],[Games Played]])</f>
        <v>#DIV/0!</v>
      </c>
      <c r="O49" s="92" t="e">
        <f>SUM((SUMIF($B$4:$B$34,Overall_AVG[[#This Row],[Baller]],$O$4:$O$34))/Overall_AVG[[#This Row],[Games Played]])</f>
        <v>#DIV/0!</v>
      </c>
      <c r="P49" s="99" t="e">
        <f>Overall_AVG[[#This Row],[FTM]]/Overall_AVG[[#This Row],[FTA]]</f>
        <v>#DIV/0!</v>
      </c>
      <c r="Q49" s="215" t="e">
        <f>SUM((SUMIF($B$4:$B$34,Overall_AVG[[#This Row],[Baller]],$Q$4:$Q$34))/Overall_AVG[[#This Row],[Games Played]])</f>
        <v>#DIV/0!</v>
      </c>
      <c r="R49" s="215" t="e">
        <f>SUM((SUMIF($B$4:$B$34,Overall_AVG[[#This Row],[Baller]],$R$4:$R$34))/Overall_AVG[[#This Row],[Games Played]])</f>
        <v>#DIV/0!</v>
      </c>
      <c r="S49" s="215" t="e">
        <f>SUM((SUMIF($B$4:$B$34,Overall_AVG[[#This Row],[Baller]],$S$4:$S$34))/Overall_AVG[[#This Row],[Games Played]])</f>
        <v>#DIV/0!</v>
      </c>
      <c r="T49" s="215" t="e">
        <f>SUM((SUMIF($B$4:$B$34,Overall_AVG[[#This Row],[Baller]],$T$4:$T$34))/Overall_AVG[[#This Row],[Games Played]])</f>
        <v>#DIV/0!</v>
      </c>
      <c r="U49" s="215" t="e">
        <f>SUM((SUMIF($B$4:$B$34,Overall_AVG[[#This Row],[Baller]],$U$4:$U$34))/Overall_AVG[[#This Row],[Games Played]])</f>
        <v>#DIV/0!</v>
      </c>
      <c r="V49" s="215" t="e">
        <f>SUM((SUMIF($B$4:$B$34,Overall_AVG[[#This Row],[Baller]],$V$4:$V$34))/Overall_AVG[[#This Row],[Games Played]])</f>
        <v>#DIV/0!</v>
      </c>
      <c r="W49" s="215" t="e">
        <f>SUM((SUMIF($B$4:$B$34,Overall_AVG[[#This Row],[Baller]],$W$4:$W$34))/Overall_AVG[[#This Row],[Games Played]])</f>
        <v>#DIV/0!</v>
      </c>
      <c r="X49" s="215" t="e">
        <f>SUM((SUMIF($B$4:$B$34,Overall_AVG[[#This Row],[Baller]],$X$4:$X$34))/Overall_AVG[[#This Row],[Games Played]])</f>
        <v>#DIV/0!</v>
      </c>
      <c r="Y49" s="215" t="e">
        <f>SUM((SUMIF($B$4:$B$34,Overall_AVG[[#This Row],[Baller]],$Y$4:$Y$34))/Overall_AVG[[#This Row],[Games Played]])</f>
        <v>#DIV/0!</v>
      </c>
      <c r="Z49" s="204" t="e">
        <f>Overall_AVG[[#This Row],[Dimes]]/Overall_AVG[[#This Row],[Turnovers]]</f>
        <v>#DIV/0!</v>
      </c>
    </row>
    <row r="50" spans="1:26" hidden="1" x14ac:dyDescent="0.2">
      <c r="A50" s="14" t="s">
        <v>31</v>
      </c>
      <c r="B50" t="s">
        <v>84</v>
      </c>
      <c r="C50" t="s">
        <v>132</v>
      </c>
      <c r="D50" s="86">
        <f t="shared" si="0"/>
        <v>0</v>
      </c>
      <c r="E50" s="215" t="e">
        <f>SUM((SUMIF($B$4:$B$34,Overall_AVG[[#This Row],[Baller]],$E$4:$E$34))/Overall_AVG[[#This Row],[Games Played]])</f>
        <v>#DIV/0!</v>
      </c>
      <c r="F50" s="215" t="e">
        <f>SUM((SUMIF($B$4:$B$34,Overall_AVG[[#This Row],[Baller]],$F$4:$F$34))/Overall_AVG[[#This Row],[Games Played]])</f>
        <v>#DIV/0!</v>
      </c>
      <c r="G50" s="203" t="e">
        <f>Overall_AVG[[#This Row],[Total FGM]]/Overall_AVG[[#This Row],[Total FGA]]</f>
        <v>#DIV/0!</v>
      </c>
      <c r="H50" s="216" t="e">
        <f>SUM((SUMIF($B$4:$B$34,Overall_AVG[[#This Row],[Baller]],$H$4:$H$34))/Overall_AVG[[#This Row],[Games Played]])</f>
        <v>#DIV/0!</v>
      </c>
      <c r="I50" s="92" t="e">
        <f>SUM((SUMIF($B$4:$B$34,Overall_AVG[[#This Row],[Baller]],$I$4:$I$34))/Overall_AVG[[#This Row],[Games Played]])</f>
        <v>#DIV/0!</v>
      </c>
      <c r="J50" s="91" t="e">
        <f>Overall_AVG[[#This Row],[2PT FGM]]/Overall_AVG[[#This Row],[2PT FGA]]</f>
        <v>#DIV/0!</v>
      </c>
      <c r="K50" s="92" t="e">
        <f>SUM((SUMIF($B$4:$B$34,Overall_AVG[[#This Row],[Baller]],$K$4:$K$34))/Overall_AVG[[#This Row],[Games Played]])</f>
        <v>#DIV/0!</v>
      </c>
      <c r="L50" s="92" t="e">
        <f>SUM((SUMIF($B$4:$B$34,Overall_AVG[[#This Row],[Baller]],$L$4:$L$34))/Overall_AVG[[#This Row],[Games Played]])</f>
        <v>#DIV/0!</v>
      </c>
      <c r="M50" s="91" t="e">
        <f>Overall_AVG[[#This Row],[3PT FGM]]/Overall_AVG[[#This Row],[3PT FGA]]</f>
        <v>#DIV/0!</v>
      </c>
      <c r="N50" s="92" t="e">
        <f>SUM((SUMIF($B$4:$B$34,Overall_AVG[[#This Row],[Baller]],$N$4:$N$34))/Overall_AVG[[#This Row],[Games Played]])</f>
        <v>#DIV/0!</v>
      </c>
      <c r="O50" s="92" t="e">
        <f>SUM((SUMIF($B$4:$B$34,Overall_AVG[[#This Row],[Baller]],$O$4:$O$34))/Overall_AVG[[#This Row],[Games Played]])</f>
        <v>#DIV/0!</v>
      </c>
      <c r="P50" s="99" t="e">
        <f>Overall_AVG[[#This Row],[FTM]]/Overall_AVG[[#This Row],[FTA]]</f>
        <v>#DIV/0!</v>
      </c>
      <c r="Q50" s="215" t="e">
        <f>SUM((SUMIF($B$4:$B$34,Overall_AVG[[#This Row],[Baller]],$Q$4:$Q$34))/Overall_AVG[[#This Row],[Games Played]])</f>
        <v>#DIV/0!</v>
      </c>
      <c r="R50" s="215" t="e">
        <f>SUM((SUMIF($B$4:$B$34,Overall_AVG[[#This Row],[Baller]],$R$4:$R$34))/Overall_AVG[[#This Row],[Games Played]])</f>
        <v>#DIV/0!</v>
      </c>
      <c r="S50" s="215" t="e">
        <f>SUM((SUMIF($B$4:$B$34,Overall_AVG[[#This Row],[Baller]],$S$4:$S$34))/Overall_AVG[[#This Row],[Games Played]])</f>
        <v>#DIV/0!</v>
      </c>
      <c r="T50" s="215" t="e">
        <f>SUM((SUMIF($B$4:$B$34,Overall_AVG[[#This Row],[Baller]],$T$4:$T$34))/Overall_AVG[[#This Row],[Games Played]])</f>
        <v>#DIV/0!</v>
      </c>
      <c r="U50" s="215" t="e">
        <f>SUM((SUMIF($B$4:$B$34,Overall_AVG[[#This Row],[Baller]],$U$4:$U$34))/Overall_AVG[[#This Row],[Games Played]])</f>
        <v>#DIV/0!</v>
      </c>
      <c r="V50" s="215" t="e">
        <f>SUM((SUMIF($B$4:$B$34,Overall_AVG[[#This Row],[Baller]],$V$4:$V$34))/Overall_AVG[[#This Row],[Games Played]])</f>
        <v>#DIV/0!</v>
      </c>
      <c r="W50" s="215" t="e">
        <f>SUM((SUMIF($B$4:$B$34,Overall_AVG[[#This Row],[Baller]],$W$4:$W$34))/Overall_AVG[[#This Row],[Games Played]])</f>
        <v>#DIV/0!</v>
      </c>
      <c r="X50" s="215" t="e">
        <f>SUM((SUMIF($B$4:$B$34,Overall_AVG[[#This Row],[Baller]],$X$4:$X$34))/Overall_AVG[[#This Row],[Games Played]])</f>
        <v>#DIV/0!</v>
      </c>
      <c r="Y50" s="215" t="e">
        <f>SUM((SUMIF($B$4:$B$34,Overall_AVG[[#This Row],[Baller]],$Y$4:$Y$34))/Overall_AVG[[#This Row],[Games Played]])</f>
        <v>#DIV/0!</v>
      </c>
      <c r="Z50" s="204" t="e">
        <f>Overall_AVG[[#This Row],[Dimes]]/Overall_AVG[[#This Row],[Turnovers]]</f>
        <v>#DIV/0!</v>
      </c>
    </row>
    <row r="51" spans="1:26" hidden="1" x14ac:dyDescent="0.2">
      <c r="A51" s="14" t="s">
        <v>57</v>
      </c>
      <c r="B51" t="s">
        <v>86</v>
      </c>
      <c r="C51" t="s">
        <v>132</v>
      </c>
      <c r="D51" s="86">
        <f t="shared" si="0"/>
        <v>0</v>
      </c>
      <c r="E51" s="215" t="e">
        <f>SUM((SUMIF($B$4:$B$34,Overall_AVG[[#This Row],[Baller]],$E$4:$E$34))/Overall_AVG[[#This Row],[Games Played]])</f>
        <v>#DIV/0!</v>
      </c>
      <c r="F51" s="215" t="e">
        <f>SUM((SUMIF($B$4:$B$34,Overall_AVG[[#This Row],[Baller]],$F$4:$F$34))/Overall_AVG[[#This Row],[Games Played]])</f>
        <v>#DIV/0!</v>
      </c>
      <c r="G51" s="203" t="e">
        <f>Overall_AVG[[#This Row],[Total FGM]]/Overall_AVG[[#This Row],[Total FGA]]</f>
        <v>#DIV/0!</v>
      </c>
      <c r="H51" s="216" t="e">
        <f>SUM((SUMIF($B$4:$B$34,Overall_AVG[[#This Row],[Baller]],$H$4:$H$34))/Overall_AVG[[#This Row],[Games Played]])</f>
        <v>#DIV/0!</v>
      </c>
      <c r="I51" s="92" t="e">
        <f>SUM((SUMIF($B$4:$B$34,Overall_AVG[[#This Row],[Baller]],$I$4:$I$34))/Overall_AVG[[#This Row],[Games Played]])</f>
        <v>#DIV/0!</v>
      </c>
      <c r="J51" s="91" t="e">
        <f>Overall_AVG[[#This Row],[2PT FGM]]/Overall_AVG[[#This Row],[2PT FGA]]</f>
        <v>#DIV/0!</v>
      </c>
      <c r="K51" s="92" t="e">
        <f>SUM((SUMIF($B$4:$B$34,Overall_AVG[[#This Row],[Baller]],$K$4:$K$34))/Overall_AVG[[#This Row],[Games Played]])</f>
        <v>#DIV/0!</v>
      </c>
      <c r="L51" s="92" t="e">
        <f>SUM((SUMIF($B$4:$B$34,Overall_AVG[[#This Row],[Baller]],$L$4:$L$34))/Overall_AVG[[#This Row],[Games Played]])</f>
        <v>#DIV/0!</v>
      </c>
      <c r="M51" s="91" t="e">
        <f>Overall_AVG[[#This Row],[3PT FGM]]/Overall_AVG[[#This Row],[3PT FGA]]</f>
        <v>#DIV/0!</v>
      </c>
      <c r="N51" s="92" t="e">
        <f>SUM((SUMIF($B$4:$B$34,Overall_AVG[[#This Row],[Baller]],$N$4:$N$34))/Overall_AVG[[#This Row],[Games Played]])</f>
        <v>#DIV/0!</v>
      </c>
      <c r="O51" s="92" t="e">
        <f>SUM((SUMIF($B$4:$B$34,Overall_AVG[[#This Row],[Baller]],$O$4:$O$34))/Overall_AVG[[#This Row],[Games Played]])</f>
        <v>#DIV/0!</v>
      </c>
      <c r="P51" s="99" t="e">
        <f>Overall_AVG[[#This Row],[FTM]]/Overall_AVG[[#This Row],[FTA]]</f>
        <v>#DIV/0!</v>
      </c>
      <c r="Q51" s="215" t="e">
        <f>SUM((SUMIF($B$4:$B$34,Overall_AVG[[#This Row],[Baller]],$Q$4:$Q$34))/Overall_AVG[[#This Row],[Games Played]])</f>
        <v>#DIV/0!</v>
      </c>
      <c r="R51" s="215" t="e">
        <f>SUM((SUMIF($B$4:$B$34,Overall_AVG[[#This Row],[Baller]],$R$4:$R$34))/Overall_AVG[[#This Row],[Games Played]])</f>
        <v>#DIV/0!</v>
      </c>
      <c r="S51" s="215" t="e">
        <f>SUM((SUMIF($B$4:$B$34,Overall_AVG[[#This Row],[Baller]],$S$4:$S$34))/Overall_AVG[[#This Row],[Games Played]])</f>
        <v>#DIV/0!</v>
      </c>
      <c r="T51" s="215" t="e">
        <f>SUM((SUMIF($B$4:$B$34,Overall_AVG[[#This Row],[Baller]],$T$4:$T$34))/Overall_AVG[[#This Row],[Games Played]])</f>
        <v>#DIV/0!</v>
      </c>
      <c r="U51" s="215" t="e">
        <f>SUM((SUMIF($B$4:$B$34,Overall_AVG[[#This Row],[Baller]],$U$4:$U$34))/Overall_AVG[[#This Row],[Games Played]])</f>
        <v>#DIV/0!</v>
      </c>
      <c r="V51" s="215" t="e">
        <f>SUM((SUMIF($B$4:$B$34,Overall_AVG[[#This Row],[Baller]],$V$4:$V$34))/Overall_AVG[[#This Row],[Games Played]])</f>
        <v>#DIV/0!</v>
      </c>
      <c r="W51" s="215" t="e">
        <f>SUM((SUMIF($B$4:$B$34,Overall_AVG[[#This Row],[Baller]],$W$4:$W$34))/Overall_AVG[[#This Row],[Games Played]])</f>
        <v>#DIV/0!</v>
      </c>
      <c r="X51" s="215" t="e">
        <f>SUM((SUMIF($B$4:$B$34,Overall_AVG[[#This Row],[Baller]],$X$4:$X$34))/Overall_AVG[[#This Row],[Games Played]])</f>
        <v>#DIV/0!</v>
      </c>
      <c r="Y51" s="215" t="e">
        <f>SUM((SUMIF($B$4:$B$34,Overall_AVG[[#This Row],[Baller]],$Y$4:$Y$34))/Overall_AVG[[#This Row],[Games Played]])</f>
        <v>#DIV/0!</v>
      </c>
      <c r="Z51" s="204" t="e">
        <f>Overall_AVG[[#This Row],[Dimes]]/Overall_AVG[[#This Row],[Turnovers]]</f>
        <v>#DIV/0!</v>
      </c>
    </row>
    <row r="52" spans="1:26" hidden="1" x14ac:dyDescent="0.2">
      <c r="A52" s="14" t="s">
        <v>54</v>
      </c>
      <c r="B52" t="s">
        <v>87</v>
      </c>
      <c r="C52" t="s">
        <v>132</v>
      </c>
      <c r="D52" s="86">
        <f t="shared" si="0"/>
        <v>0</v>
      </c>
      <c r="E52" s="215" t="e">
        <f>SUM((SUMIF($B$4:$B$34,Overall_AVG[[#This Row],[Baller]],$E$4:$E$34))/Overall_AVG[[#This Row],[Games Played]])</f>
        <v>#DIV/0!</v>
      </c>
      <c r="F52" s="215" t="e">
        <f>SUM((SUMIF($B$4:$B$34,Overall_AVG[[#This Row],[Baller]],$F$4:$F$34))/Overall_AVG[[#This Row],[Games Played]])</f>
        <v>#DIV/0!</v>
      </c>
      <c r="G52" s="203" t="e">
        <f>Overall_AVG[[#This Row],[Total FGM]]/Overall_AVG[[#This Row],[Total FGA]]</f>
        <v>#DIV/0!</v>
      </c>
      <c r="H52" s="216" t="e">
        <f>SUM((SUMIF($B$4:$B$34,Overall_AVG[[#This Row],[Baller]],$H$4:$H$34))/Overall_AVG[[#This Row],[Games Played]])</f>
        <v>#DIV/0!</v>
      </c>
      <c r="I52" s="92" t="e">
        <f>SUM((SUMIF($B$4:$B$34,Overall_AVG[[#This Row],[Baller]],$I$4:$I$34))/Overall_AVG[[#This Row],[Games Played]])</f>
        <v>#DIV/0!</v>
      </c>
      <c r="J52" s="91" t="e">
        <f>Overall_AVG[[#This Row],[2PT FGM]]/Overall_AVG[[#This Row],[2PT FGA]]</f>
        <v>#DIV/0!</v>
      </c>
      <c r="K52" s="92" t="e">
        <f>SUM((SUMIF($B$4:$B$34,Overall_AVG[[#This Row],[Baller]],$K$4:$K$34))/Overall_AVG[[#This Row],[Games Played]])</f>
        <v>#DIV/0!</v>
      </c>
      <c r="L52" s="92" t="e">
        <f>SUM((SUMIF($B$4:$B$34,Overall_AVG[[#This Row],[Baller]],$L$4:$L$34))/Overall_AVG[[#This Row],[Games Played]])</f>
        <v>#DIV/0!</v>
      </c>
      <c r="M52" s="91" t="e">
        <f>Overall_AVG[[#This Row],[3PT FGM]]/Overall_AVG[[#This Row],[3PT FGA]]</f>
        <v>#DIV/0!</v>
      </c>
      <c r="N52" s="92" t="e">
        <f>SUM((SUMIF($B$4:$B$34,Overall_AVG[[#This Row],[Baller]],$N$4:$N$34))/Overall_AVG[[#This Row],[Games Played]])</f>
        <v>#DIV/0!</v>
      </c>
      <c r="O52" s="92" t="e">
        <f>SUM((SUMIF($B$4:$B$34,Overall_AVG[[#This Row],[Baller]],$O$4:$O$34))/Overall_AVG[[#This Row],[Games Played]])</f>
        <v>#DIV/0!</v>
      </c>
      <c r="P52" s="99" t="e">
        <f>Overall_AVG[[#This Row],[FTM]]/Overall_AVG[[#This Row],[FTA]]</f>
        <v>#DIV/0!</v>
      </c>
      <c r="Q52" s="215" t="e">
        <f>SUM((SUMIF($B$4:$B$34,Overall_AVG[[#This Row],[Baller]],$Q$4:$Q$34))/Overall_AVG[[#This Row],[Games Played]])</f>
        <v>#DIV/0!</v>
      </c>
      <c r="R52" s="215" t="e">
        <f>SUM((SUMIF($B$4:$B$34,Overall_AVG[[#This Row],[Baller]],$R$4:$R$34))/Overall_AVG[[#This Row],[Games Played]])</f>
        <v>#DIV/0!</v>
      </c>
      <c r="S52" s="215" t="e">
        <f>SUM((SUMIF($B$4:$B$34,Overall_AVG[[#This Row],[Baller]],$S$4:$S$34))/Overall_AVG[[#This Row],[Games Played]])</f>
        <v>#DIV/0!</v>
      </c>
      <c r="T52" s="215" t="e">
        <f>SUM((SUMIF($B$4:$B$34,Overall_AVG[[#This Row],[Baller]],$T$4:$T$34))/Overall_AVG[[#This Row],[Games Played]])</f>
        <v>#DIV/0!</v>
      </c>
      <c r="U52" s="215" t="e">
        <f>SUM((SUMIF($B$4:$B$34,Overall_AVG[[#This Row],[Baller]],$U$4:$U$34))/Overall_AVG[[#This Row],[Games Played]])</f>
        <v>#DIV/0!</v>
      </c>
      <c r="V52" s="215" t="e">
        <f>SUM((SUMIF($B$4:$B$34,Overall_AVG[[#This Row],[Baller]],$V$4:$V$34))/Overall_AVG[[#This Row],[Games Played]])</f>
        <v>#DIV/0!</v>
      </c>
      <c r="W52" s="215" t="e">
        <f>SUM((SUMIF($B$4:$B$34,Overall_AVG[[#This Row],[Baller]],$W$4:$W$34))/Overall_AVG[[#This Row],[Games Played]])</f>
        <v>#DIV/0!</v>
      </c>
      <c r="X52" s="215" t="e">
        <f>SUM((SUMIF($B$4:$B$34,Overall_AVG[[#This Row],[Baller]],$X$4:$X$34))/Overall_AVG[[#This Row],[Games Played]])</f>
        <v>#DIV/0!</v>
      </c>
      <c r="Y52" s="215" t="e">
        <f>SUM((SUMIF($B$4:$B$34,Overall_AVG[[#This Row],[Baller]],$Y$4:$Y$34))/Overall_AVG[[#This Row],[Games Played]])</f>
        <v>#DIV/0!</v>
      </c>
      <c r="Z52" s="204" t="e">
        <f>Overall_AVG[[#This Row],[Dimes]]/Overall_AVG[[#This Row],[Turnovers]]</f>
        <v>#DIV/0!</v>
      </c>
    </row>
    <row r="53" spans="1:26" hidden="1" x14ac:dyDescent="0.2">
      <c r="A53" s="14" t="s">
        <v>39</v>
      </c>
      <c r="B53" t="s">
        <v>89</v>
      </c>
      <c r="C53" t="s">
        <v>132</v>
      </c>
      <c r="D53" s="86">
        <f t="shared" si="0"/>
        <v>0</v>
      </c>
      <c r="E53" s="215" t="e">
        <f>SUM((SUMIF($B$4:$B$34,Overall_AVG[[#This Row],[Baller]],$E$4:$E$34))/Overall_AVG[[#This Row],[Games Played]])</f>
        <v>#DIV/0!</v>
      </c>
      <c r="F53" s="215" t="e">
        <f>SUM((SUMIF($B$4:$B$34,Overall_AVG[[#This Row],[Baller]],$F$4:$F$34))/Overall_AVG[[#This Row],[Games Played]])</f>
        <v>#DIV/0!</v>
      </c>
      <c r="G53" s="203" t="e">
        <f>Overall_AVG[[#This Row],[Total FGM]]/Overall_AVG[[#This Row],[Total FGA]]</f>
        <v>#DIV/0!</v>
      </c>
      <c r="H53" s="216" t="e">
        <f>SUM((SUMIF($B$4:$B$34,Overall_AVG[[#This Row],[Baller]],$H$4:$H$34))/Overall_AVG[[#This Row],[Games Played]])</f>
        <v>#DIV/0!</v>
      </c>
      <c r="I53" s="92" t="e">
        <f>SUM((SUMIF($B$4:$B$34,Overall_AVG[[#This Row],[Baller]],$I$4:$I$34))/Overall_AVG[[#This Row],[Games Played]])</f>
        <v>#DIV/0!</v>
      </c>
      <c r="J53" s="91" t="e">
        <f>Overall_AVG[[#This Row],[2PT FGM]]/Overall_AVG[[#This Row],[2PT FGA]]</f>
        <v>#DIV/0!</v>
      </c>
      <c r="K53" s="92" t="e">
        <f>SUM((SUMIF($B$4:$B$34,Overall_AVG[[#This Row],[Baller]],$K$4:$K$34))/Overall_AVG[[#This Row],[Games Played]])</f>
        <v>#DIV/0!</v>
      </c>
      <c r="L53" s="92" t="e">
        <f>SUM((SUMIF($B$4:$B$34,Overall_AVG[[#This Row],[Baller]],$L$4:$L$34))/Overall_AVG[[#This Row],[Games Played]])</f>
        <v>#DIV/0!</v>
      </c>
      <c r="M53" s="91" t="e">
        <f>Overall_AVG[[#This Row],[3PT FGM]]/Overall_AVG[[#This Row],[3PT FGA]]</f>
        <v>#DIV/0!</v>
      </c>
      <c r="N53" s="92" t="e">
        <f>SUM((SUMIF($B$4:$B$34,Overall_AVG[[#This Row],[Baller]],$N$4:$N$34))/Overall_AVG[[#This Row],[Games Played]])</f>
        <v>#DIV/0!</v>
      </c>
      <c r="O53" s="92" t="e">
        <f>SUM((SUMIF($B$4:$B$34,Overall_AVG[[#This Row],[Baller]],$O$4:$O$34))/Overall_AVG[[#This Row],[Games Played]])</f>
        <v>#DIV/0!</v>
      </c>
      <c r="P53" s="99" t="e">
        <f>Overall_AVG[[#This Row],[FTM]]/Overall_AVG[[#This Row],[FTA]]</f>
        <v>#DIV/0!</v>
      </c>
      <c r="Q53" s="215" t="e">
        <f>SUM((SUMIF($B$4:$B$34,Overall_AVG[[#This Row],[Baller]],$Q$4:$Q$34))/Overall_AVG[[#This Row],[Games Played]])</f>
        <v>#DIV/0!</v>
      </c>
      <c r="R53" s="215" t="e">
        <f>SUM((SUMIF($B$4:$B$34,Overall_AVG[[#This Row],[Baller]],$R$4:$R$34))/Overall_AVG[[#This Row],[Games Played]])</f>
        <v>#DIV/0!</v>
      </c>
      <c r="S53" s="215" t="e">
        <f>SUM((SUMIF($B$4:$B$34,Overall_AVG[[#This Row],[Baller]],$S$4:$S$34))/Overall_AVG[[#This Row],[Games Played]])</f>
        <v>#DIV/0!</v>
      </c>
      <c r="T53" s="215" t="e">
        <f>SUM((SUMIF($B$4:$B$34,Overall_AVG[[#This Row],[Baller]],$T$4:$T$34))/Overall_AVG[[#This Row],[Games Played]])</f>
        <v>#DIV/0!</v>
      </c>
      <c r="U53" s="215" t="e">
        <f>SUM((SUMIF($B$4:$B$34,Overall_AVG[[#This Row],[Baller]],$U$4:$U$34))/Overall_AVG[[#This Row],[Games Played]])</f>
        <v>#DIV/0!</v>
      </c>
      <c r="V53" s="215" t="e">
        <f>SUM((SUMIF($B$4:$B$34,Overall_AVG[[#This Row],[Baller]],$V$4:$V$34))/Overall_AVG[[#This Row],[Games Played]])</f>
        <v>#DIV/0!</v>
      </c>
      <c r="W53" s="215" t="e">
        <f>SUM((SUMIF($B$4:$B$34,Overall_AVG[[#This Row],[Baller]],$W$4:$W$34))/Overall_AVG[[#This Row],[Games Played]])</f>
        <v>#DIV/0!</v>
      </c>
      <c r="X53" s="215" t="e">
        <f>SUM((SUMIF($B$4:$B$34,Overall_AVG[[#This Row],[Baller]],$X$4:$X$34))/Overall_AVG[[#This Row],[Games Played]])</f>
        <v>#DIV/0!</v>
      </c>
      <c r="Y53" s="215" t="e">
        <f>SUM((SUMIF($B$4:$B$34,Overall_AVG[[#This Row],[Baller]],$Y$4:$Y$34))/Overall_AVG[[#This Row],[Games Played]])</f>
        <v>#DIV/0!</v>
      </c>
      <c r="Z53" s="204" t="e">
        <f>Overall_AVG[[#This Row],[Dimes]]/Overall_AVG[[#This Row],[Turnovers]]</f>
        <v>#DIV/0!</v>
      </c>
    </row>
    <row r="54" spans="1:26" hidden="1" x14ac:dyDescent="0.2">
      <c r="A54" s="14" t="s">
        <v>28</v>
      </c>
      <c r="B54" t="s">
        <v>92</v>
      </c>
      <c r="C54" t="s">
        <v>132</v>
      </c>
      <c r="D54" s="86">
        <f t="shared" si="0"/>
        <v>0</v>
      </c>
      <c r="E54" s="215" t="e">
        <f>SUM((SUMIF($B$4:$B$34,Overall_AVG[[#This Row],[Baller]],$E$4:$E$34))/Overall_AVG[[#This Row],[Games Played]])</f>
        <v>#DIV/0!</v>
      </c>
      <c r="F54" s="215" t="e">
        <f>SUM((SUMIF($B$4:$B$34,Overall_AVG[[#This Row],[Baller]],$F$4:$F$34))/Overall_AVG[[#This Row],[Games Played]])</f>
        <v>#DIV/0!</v>
      </c>
      <c r="G54" s="203" t="e">
        <f>Overall_AVG[[#This Row],[Total FGM]]/Overall_AVG[[#This Row],[Total FGA]]</f>
        <v>#DIV/0!</v>
      </c>
      <c r="H54" s="216" t="e">
        <f>SUM((SUMIF($B$4:$B$34,Overall_AVG[[#This Row],[Baller]],$H$4:$H$34))/Overall_AVG[[#This Row],[Games Played]])</f>
        <v>#DIV/0!</v>
      </c>
      <c r="I54" s="92" t="e">
        <f>SUM((SUMIF($B$4:$B$34,Overall_AVG[[#This Row],[Baller]],$I$4:$I$34))/Overall_AVG[[#This Row],[Games Played]])</f>
        <v>#DIV/0!</v>
      </c>
      <c r="J54" s="91" t="e">
        <f>Overall_AVG[[#This Row],[2PT FGM]]/Overall_AVG[[#This Row],[2PT FGA]]</f>
        <v>#DIV/0!</v>
      </c>
      <c r="K54" s="92" t="e">
        <f>SUM((SUMIF($B$4:$B$34,Overall_AVG[[#This Row],[Baller]],$K$4:$K$34))/Overall_AVG[[#This Row],[Games Played]])</f>
        <v>#DIV/0!</v>
      </c>
      <c r="L54" s="92" t="e">
        <f>SUM((SUMIF($B$4:$B$34,Overall_AVG[[#This Row],[Baller]],$L$4:$L$34))/Overall_AVG[[#This Row],[Games Played]])</f>
        <v>#DIV/0!</v>
      </c>
      <c r="M54" s="91" t="e">
        <f>Overall_AVG[[#This Row],[3PT FGM]]/Overall_AVG[[#This Row],[3PT FGA]]</f>
        <v>#DIV/0!</v>
      </c>
      <c r="N54" s="92" t="e">
        <f>SUM((SUMIF($B$4:$B$34,Overall_AVG[[#This Row],[Baller]],$N$4:$N$34))/Overall_AVG[[#This Row],[Games Played]])</f>
        <v>#DIV/0!</v>
      </c>
      <c r="O54" s="92" t="e">
        <f>SUM((SUMIF($B$4:$B$34,Overall_AVG[[#This Row],[Baller]],$O$4:$O$34))/Overall_AVG[[#This Row],[Games Played]])</f>
        <v>#DIV/0!</v>
      </c>
      <c r="P54" s="99" t="e">
        <f>Overall_AVG[[#This Row],[FTM]]/Overall_AVG[[#This Row],[FTA]]</f>
        <v>#DIV/0!</v>
      </c>
      <c r="Q54" s="215" t="e">
        <f>SUM((SUMIF($B$4:$B$34,Overall_AVG[[#This Row],[Baller]],$Q$4:$Q$34))/Overall_AVG[[#This Row],[Games Played]])</f>
        <v>#DIV/0!</v>
      </c>
      <c r="R54" s="215" t="e">
        <f>SUM((SUMIF($B$4:$B$34,Overall_AVG[[#This Row],[Baller]],$R$4:$R$34))/Overall_AVG[[#This Row],[Games Played]])</f>
        <v>#DIV/0!</v>
      </c>
      <c r="S54" s="215" t="e">
        <f>SUM((SUMIF($B$4:$B$34,Overall_AVG[[#This Row],[Baller]],$S$4:$S$34))/Overall_AVG[[#This Row],[Games Played]])</f>
        <v>#DIV/0!</v>
      </c>
      <c r="T54" s="215" t="e">
        <f>SUM((SUMIF($B$4:$B$34,Overall_AVG[[#This Row],[Baller]],$T$4:$T$34))/Overall_AVG[[#This Row],[Games Played]])</f>
        <v>#DIV/0!</v>
      </c>
      <c r="U54" s="215" t="e">
        <f>SUM((SUMIF($B$4:$B$34,Overall_AVG[[#This Row],[Baller]],$U$4:$U$34))/Overall_AVG[[#This Row],[Games Played]])</f>
        <v>#DIV/0!</v>
      </c>
      <c r="V54" s="215" t="e">
        <f>SUM((SUMIF($B$4:$B$34,Overall_AVG[[#This Row],[Baller]],$V$4:$V$34))/Overall_AVG[[#This Row],[Games Played]])</f>
        <v>#DIV/0!</v>
      </c>
      <c r="W54" s="215" t="e">
        <f>SUM((SUMIF($B$4:$B$34,Overall_AVG[[#This Row],[Baller]],$W$4:$W$34))/Overall_AVG[[#This Row],[Games Played]])</f>
        <v>#DIV/0!</v>
      </c>
      <c r="X54" s="215" t="e">
        <f>SUM((SUMIF($B$4:$B$34,Overall_AVG[[#This Row],[Baller]],$X$4:$X$34))/Overall_AVG[[#This Row],[Games Played]])</f>
        <v>#DIV/0!</v>
      </c>
      <c r="Y54" s="215" t="e">
        <f>SUM((SUMIF($B$4:$B$34,Overall_AVG[[#This Row],[Baller]],$Y$4:$Y$34))/Overall_AVG[[#This Row],[Games Played]])</f>
        <v>#DIV/0!</v>
      </c>
      <c r="Z54" s="204" t="e">
        <f>Overall_AVG[[#This Row],[Dimes]]/Overall_AVG[[#This Row],[Turnovers]]</f>
        <v>#DIV/0!</v>
      </c>
    </row>
    <row r="55" spans="1:26" hidden="1" x14ac:dyDescent="0.2">
      <c r="A55" s="14" t="s">
        <v>50</v>
      </c>
      <c r="B55" t="s">
        <v>93</v>
      </c>
      <c r="C55" t="s">
        <v>132</v>
      </c>
      <c r="D55" s="86">
        <f t="shared" si="0"/>
        <v>0</v>
      </c>
      <c r="E55" s="215" t="e">
        <f>SUM((SUMIF($B$4:$B$34,Overall_AVG[[#This Row],[Baller]],$E$4:$E$34))/Overall_AVG[[#This Row],[Games Played]])</f>
        <v>#DIV/0!</v>
      </c>
      <c r="F55" s="215" t="e">
        <f>SUM((SUMIF($B$4:$B$34,Overall_AVG[[#This Row],[Baller]],$F$4:$F$34))/Overall_AVG[[#This Row],[Games Played]])</f>
        <v>#DIV/0!</v>
      </c>
      <c r="G55" s="203" t="e">
        <f>Overall_AVG[[#This Row],[Total FGM]]/Overall_AVG[[#This Row],[Total FGA]]</f>
        <v>#DIV/0!</v>
      </c>
      <c r="H55" s="216" t="e">
        <f>SUM((SUMIF($B$4:$B$34,Overall_AVG[[#This Row],[Baller]],$H$4:$H$34))/Overall_AVG[[#This Row],[Games Played]])</f>
        <v>#DIV/0!</v>
      </c>
      <c r="I55" s="92" t="e">
        <f>SUM((SUMIF($B$4:$B$34,Overall_AVG[[#This Row],[Baller]],$I$4:$I$34))/Overall_AVG[[#This Row],[Games Played]])</f>
        <v>#DIV/0!</v>
      </c>
      <c r="J55" s="91" t="e">
        <f>Overall_AVG[[#This Row],[2PT FGM]]/Overall_AVG[[#This Row],[2PT FGA]]</f>
        <v>#DIV/0!</v>
      </c>
      <c r="K55" s="92" t="e">
        <f>SUM((SUMIF($B$4:$B$34,Overall_AVG[[#This Row],[Baller]],$K$4:$K$34))/Overall_AVG[[#This Row],[Games Played]])</f>
        <v>#DIV/0!</v>
      </c>
      <c r="L55" s="92" t="e">
        <f>SUM((SUMIF($B$4:$B$34,Overall_AVG[[#This Row],[Baller]],$L$4:$L$34))/Overall_AVG[[#This Row],[Games Played]])</f>
        <v>#DIV/0!</v>
      </c>
      <c r="M55" s="91" t="e">
        <f>Overall_AVG[[#This Row],[3PT FGM]]/Overall_AVG[[#This Row],[3PT FGA]]</f>
        <v>#DIV/0!</v>
      </c>
      <c r="N55" s="92" t="e">
        <f>SUM((SUMIF($B$4:$B$34,Overall_AVG[[#This Row],[Baller]],$N$4:$N$34))/Overall_AVG[[#This Row],[Games Played]])</f>
        <v>#DIV/0!</v>
      </c>
      <c r="O55" s="92" t="e">
        <f>SUM((SUMIF($B$4:$B$34,Overall_AVG[[#This Row],[Baller]],$O$4:$O$34))/Overall_AVG[[#This Row],[Games Played]])</f>
        <v>#DIV/0!</v>
      </c>
      <c r="P55" s="99" t="e">
        <f>Overall_AVG[[#This Row],[FTM]]/Overall_AVG[[#This Row],[FTA]]</f>
        <v>#DIV/0!</v>
      </c>
      <c r="Q55" s="215" t="e">
        <f>SUM((SUMIF($B$4:$B$34,Overall_AVG[[#This Row],[Baller]],$Q$4:$Q$34))/Overall_AVG[[#This Row],[Games Played]])</f>
        <v>#DIV/0!</v>
      </c>
      <c r="R55" s="215" t="e">
        <f>SUM((SUMIF($B$4:$B$34,Overall_AVG[[#This Row],[Baller]],$R$4:$R$34))/Overall_AVG[[#This Row],[Games Played]])</f>
        <v>#DIV/0!</v>
      </c>
      <c r="S55" s="215" t="e">
        <f>SUM((SUMIF($B$4:$B$34,Overall_AVG[[#This Row],[Baller]],$S$4:$S$34))/Overall_AVG[[#This Row],[Games Played]])</f>
        <v>#DIV/0!</v>
      </c>
      <c r="T55" s="215" t="e">
        <f>SUM((SUMIF($B$4:$B$34,Overall_AVG[[#This Row],[Baller]],$T$4:$T$34))/Overall_AVG[[#This Row],[Games Played]])</f>
        <v>#DIV/0!</v>
      </c>
      <c r="U55" s="215" t="e">
        <f>SUM((SUMIF($B$4:$B$34,Overall_AVG[[#This Row],[Baller]],$U$4:$U$34))/Overall_AVG[[#This Row],[Games Played]])</f>
        <v>#DIV/0!</v>
      </c>
      <c r="V55" s="215" t="e">
        <f>SUM((SUMIF($B$4:$B$34,Overall_AVG[[#This Row],[Baller]],$V$4:$V$34))/Overall_AVG[[#This Row],[Games Played]])</f>
        <v>#DIV/0!</v>
      </c>
      <c r="W55" s="215" t="e">
        <f>SUM((SUMIF($B$4:$B$34,Overall_AVG[[#This Row],[Baller]],$W$4:$W$34))/Overall_AVG[[#This Row],[Games Played]])</f>
        <v>#DIV/0!</v>
      </c>
      <c r="X55" s="215" t="e">
        <f>SUM((SUMIF($B$4:$B$34,Overall_AVG[[#This Row],[Baller]],$X$4:$X$34))/Overall_AVG[[#This Row],[Games Played]])</f>
        <v>#DIV/0!</v>
      </c>
      <c r="Y55" s="215" t="e">
        <f>SUM((SUMIF($B$4:$B$34,Overall_AVG[[#This Row],[Baller]],$Y$4:$Y$34))/Overall_AVG[[#This Row],[Games Played]])</f>
        <v>#DIV/0!</v>
      </c>
      <c r="Z55" s="204" t="e">
        <f>Overall_AVG[[#This Row],[Dimes]]/Overall_AVG[[#This Row],[Turnovers]]</f>
        <v>#DIV/0!</v>
      </c>
    </row>
    <row r="56" spans="1:26" hidden="1" x14ac:dyDescent="0.2">
      <c r="A56" s="14" t="s">
        <v>49</v>
      </c>
      <c r="B56" t="s">
        <v>94</v>
      </c>
      <c r="C56" t="s">
        <v>132</v>
      </c>
      <c r="D56" s="86">
        <f t="shared" si="0"/>
        <v>0</v>
      </c>
      <c r="E56" s="215" t="e">
        <f>SUM((SUMIF($B$4:$B$34,Overall_AVG[[#This Row],[Baller]],$E$4:$E$34))/Overall_AVG[[#This Row],[Games Played]])</f>
        <v>#DIV/0!</v>
      </c>
      <c r="F56" s="215" t="e">
        <f>SUM((SUMIF($B$4:$B$34,Overall_AVG[[#This Row],[Baller]],$F$4:$F$34))/Overall_AVG[[#This Row],[Games Played]])</f>
        <v>#DIV/0!</v>
      </c>
      <c r="G56" s="203" t="e">
        <f>Overall_AVG[[#This Row],[Total FGM]]/Overall_AVG[[#This Row],[Total FGA]]</f>
        <v>#DIV/0!</v>
      </c>
      <c r="H56" s="216" t="e">
        <f>SUM((SUMIF($B$4:$B$34,Overall_AVG[[#This Row],[Baller]],$H$4:$H$34))/Overall_AVG[[#This Row],[Games Played]])</f>
        <v>#DIV/0!</v>
      </c>
      <c r="I56" s="92" t="e">
        <f>SUM((SUMIF($B$4:$B$34,Overall_AVG[[#This Row],[Baller]],$I$4:$I$34))/Overall_AVG[[#This Row],[Games Played]])</f>
        <v>#DIV/0!</v>
      </c>
      <c r="J56" s="91" t="e">
        <f>Overall_AVG[[#This Row],[2PT FGM]]/Overall_AVG[[#This Row],[2PT FGA]]</f>
        <v>#DIV/0!</v>
      </c>
      <c r="K56" s="92" t="e">
        <f>SUM((SUMIF($B$4:$B$34,Overall_AVG[[#This Row],[Baller]],$K$4:$K$34))/Overall_AVG[[#This Row],[Games Played]])</f>
        <v>#DIV/0!</v>
      </c>
      <c r="L56" s="92" t="e">
        <f>SUM((SUMIF($B$4:$B$34,Overall_AVG[[#This Row],[Baller]],$L$4:$L$34))/Overall_AVG[[#This Row],[Games Played]])</f>
        <v>#DIV/0!</v>
      </c>
      <c r="M56" s="91" t="e">
        <f>Overall_AVG[[#This Row],[3PT FGM]]/Overall_AVG[[#This Row],[3PT FGA]]</f>
        <v>#DIV/0!</v>
      </c>
      <c r="N56" s="92" t="e">
        <f>SUM((SUMIF($B$4:$B$34,Overall_AVG[[#This Row],[Baller]],$N$4:$N$34))/Overall_AVG[[#This Row],[Games Played]])</f>
        <v>#DIV/0!</v>
      </c>
      <c r="O56" s="92" t="e">
        <f>SUM((SUMIF($B$4:$B$34,Overall_AVG[[#This Row],[Baller]],$O$4:$O$34))/Overall_AVG[[#This Row],[Games Played]])</f>
        <v>#DIV/0!</v>
      </c>
      <c r="P56" s="99" t="e">
        <f>Overall_AVG[[#This Row],[FTM]]/Overall_AVG[[#This Row],[FTA]]</f>
        <v>#DIV/0!</v>
      </c>
      <c r="Q56" s="215" t="e">
        <f>SUM((SUMIF($B$4:$B$34,Overall_AVG[[#This Row],[Baller]],$Q$4:$Q$34))/Overall_AVG[[#This Row],[Games Played]])</f>
        <v>#DIV/0!</v>
      </c>
      <c r="R56" s="215" t="e">
        <f>SUM((SUMIF($B$4:$B$34,Overall_AVG[[#This Row],[Baller]],$R$4:$R$34))/Overall_AVG[[#This Row],[Games Played]])</f>
        <v>#DIV/0!</v>
      </c>
      <c r="S56" s="215" t="e">
        <f>SUM((SUMIF($B$4:$B$34,Overall_AVG[[#This Row],[Baller]],$S$4:$S$34))/Overall_AVG[[#This Row],[Games Played]])</f>
        <v>#DIV/0!</v>
      </c>
      <c r="T56" s="215" t="e">
        <f>SUM((SUMIF($B$4:$B$34,Overall_AVG[[#This Row],[Baller]],$T$4:$T$34))/Overall_AVG[[#This Row],[Games Played]])</f>
        <v>#DIV/0!</v>
      </c>
      <c r="U56" s="215" t="e">
        <f>SUM((SUMIF($B$4:$B$34,Overall_AVG[[#This Row],[Baller]],$U$4:$U$34))/Overall_AVG[[#This Row],[Games Played]])</f>
        <v>#DIV/0!</v>
      </c>
      <c r="V56" s="215" t="e">
        <f>SUM((SUMIF($B$4:$B$34,Overall_AVG[[#This Row],[Baller]],$V$4:$V$34))/Overall_AVG[[#This Row],[Games Played]])</f>
        <v>#DIV/0!</v>
      </c>
      <c r="W56" s="215" t="e">
        <f>SUM((SUMIF($B$4:$B$34,Overall_AVG[[#This Row],[Baller]],$W$4:$W$34))/Overall_AVG[[#This Row],[Games Played]])</f>
        <v>#DIV/0!</v>
      </c>
      <c r="X56" s="215" t="e">
        <f>SUM((SUMIF($B$4:$B$34,Overall_AVG[[#This Row],[Baller]],$X$4:$X$34))/Overall_AVG[[#This Row],[Games Played]])</f>
        <v>#DIV/0!</v>
      </c>
      <c r="Y56" s="215" t="e">
        <f>SUM((SUMIF($B$4:$B$34,Overall_AVG[[#This Row],[Baller]],$Y$4:$Y$34))/Overall_AVG[[#This Row],[Games Played]])</f>
        <v>#DIV/0!</v>
      </c>
      <c r="Z56" s="204" t="e">
        <f>Overall_AVG[[#This Row],[Dimes]]/Overall_AVG[[#This Row],[Turnovers]]</f>
        <v>#DIV/0!</v>
      </c>
    </row>
    <row r="57" spans="1:26" hidden="1" x14ac:dyDescent="0.2">
      <c r="A57" s="14" t="s">
        <v>47</v>
      </c>
      <c r="B57" t="s">
        <v>97</v>
      </c>
      <c r="C57" t="s">
        <v>132</v>
      </c>
      <c r="D57" s="86">
        <f t="shared" si="0"/>
        <v>0</v>
      </c>
      <c r="E57" s="215" t="e">
        <f>SUM((SUMIF($B$4:$B$34,Overall_AVG[[#This Row],[Baller]],$E$4:$E$34))/Overall_AVG[[#This Row],[Games Played]])</f>
        <v>#DIV/0!</v>
      </c>
      <c r="F57" s="215" t="e">
        <f>SUM((SUMIF($B$4:$B$34,Overall_AVG[[#This Row],[Baller]],$F$4:$F$34))/Overall_AVG[[#This Row],[Games Played]])</f>
        <v>#DIV/0!</v>
      </c>
      <c r="G57" s="203" t="e">
        <f>Overall_AVG[[#This Row],[Total FGM]]/Overall_AVG[[#This Row],[Total FGA]]</f>
        <v>#DIV/0!</v>
      </c>
      <c r="H57" s="216" t="e">
        <f>SUM((SUMIF($B$4:$B$34,Overall_AVG[[#This Row],[Baller]],$H$4:$H$34))/Overall_AVG[[#This Row],[Games Played]])</f>
        <v>#DIV/0!</v>
      </c>
      <c r="I57" s="92" t="e">
        <f>SUM((SUMIF($B$4:$B$34,Overall_AVG[[#This Row],[Baller]],$I$4:$I$34))/Overall_AVG[[#This Row],[Games Played]])</f>
        <v>#DIV/0!</v>
      </c>
      <c r="J57" s="91" t="e">
        <f>Overall_AVG[[#This Row],[2PT FGM]]/Overall_AVG[[#This Row],[2PT FGA]]</f>
        <v>#DIV/0!</v>
      </c>
      <c r="K57" s="92" t="e">
        <f>SUM((SUMIF($B$4:$B$34,Overall_AVG[[#This Row],[Baller]],$K$4:$K$34))/Overall_AVG[[#This Row],[Games Played]])</f>
        <v>#DIV/0!</v>
      </c>
      <c r="L57" s="92" t="e">
        <f>SUM((SUMIF($B$4:$B$34,Overall_AVG[[#This Row],[Baller]],$L$4:$L$34))/Overall_AVG[[#This Row],[Games Played]])</f>
        <v>#DIV/0!</v>
      </c>
      <c r="M57" s="91" t="e">
        <f>Overall_AVG[[#This Row],[3PT FGM]]/Overall_AVG[[#This Row],[3PT FGA]]</f>
        <v>#DIV/0!</v>
      </c>
      <c r="N57" s="92" t="e">
        <f>SUM((SUMIF($B$4:$B$34,Overall_AVG[[#This Row],[Baller]],$N$4:$N$34))/Overall_AVG[[#This Row],[Games Played]])</f>
        <v>#DIV/0!</v>
      </c>
      <c r="O57" s="92" t="e">
        <f>SUM((SUMIF($B$4:$B$34,Overall_AVG[[#This Row],[Baller]],$O$4:$O$34))/Overall_AVG[[#This Row],[Games Played]])</f>
        <v>#DIV/0!</v>
      </c>
      <c r="P57" s="99" t="e">
        <f>Overall_AVG[[#This Row],[FTM]]/Overall_AVG[[#This Row],[FTA]]</f>
        <v>#DIV/0!</v>
      </c>
      <c r="Q57" s="215" t="e">
        <f>SUM((SUMIF($B$4:$B$34,Overall_AVG[[#This Row],[Baller]],$Q$4:$Q$34))/Overall_AVG[[#This Row],[Games Played]])</f>
        <v>#DIV/0!</v>
      </c>
      <c r="R57" s="215" t="e">
        <f>SUM((SUMIF($B$4:$B$34,Overall_AVG[[#This Row],[Baller]],$R$4:$R$34))/Overall_AVG[[#This Row],[Games Played]])</f>
        <v>#DIV/0!</v>
      </c>
      <c r="S57" s="215" t="e">
        <f>SUM((SUMIF($B$4:$B$34,Overall_AVG[[#This Row],[Baller]],$S$4:$S$34))/Overall_AVG[[#This Row],[Games Played]])</f>
        <v>#DIV/0!</v>
      </c>
      <c r="T57" s="215" t="e">
        <f>SUM((SUMIF($B$4:$B$34,Overall_AVG[[#This Row],[Baller]],$T$4:$T$34))/Overall_AVG[[#This Row],[Games Played]])</f>
        <v>#DIV/0!</v>
      </c>
      <c r="U57" s="215" t="e">
        <f>SUM((SUMIF($B$4:$B$34,Overall_AVG[[#This Row],[Baller]],$U$4:$U$34))/Overall_AVG[[#This Row],[Games Played]])</f>
        <v>#DIV/0!</v>
      </c>
      <c r="V57" s="215" t="e">
        <f>SUM((SUMIF($B$4:$B$34,Overall_AVG[[#This Row],[Baller]],$V$4:$V$34))/Overall_AVG[[#This Row],[Games Played]])</f>
        <v>#DIV/0!</v>
      </c>
      <c r="W57" s="215" t="e">
        <f>SUM((SUMIF($B$4:$B$34,Overall_AVG[[#This Row],[Baller]],$W$4:$W$34))/Overall_AVG[[#This Row],[Games Played]])</f>
        <v>#DIV/0!</v>
      </c>
      <c r="X57" s="215" t="e">
        <f>SUM((SUMIF($B$4:$B$34,Overall_AVG[[#This Row],[Baller]],$X$4:$X$34))/Overall_AVG[[#This Row],[Games Played]])</f>
        <v>#DIV/0!</v>
      </c>
      <c r="Y57" s="215" t="e">
        <f>SUM((SUMIF($B$4:$B$34,Overall_AVG[[#This Row],[Baller]],$Y$4:$Y$34))/Overall_AVG[[#This Row],[Games Played]])</f>
        <v>#DIV/0!</v>
      </c>
      <c r="Z57" s="204" t="e">
        <f>Overall_AVG[[#This Row],[Dimes]]/Overall_AVG[[#This Row],[Turnovers]]</f>
        <v>#DIV/0!</v>
      </c>
    </row>
    <row r="58" spans="1:26" hidden="1" x14ac:dyDescent="0.2">
      <c r="A58" s="14" t="s">
        <v>42</v>
      </c>
      <c r="B58" t="s">
        <v>101</v>
      </c>
      <c r="C58" t="s">
        <v>132</v>
      </c>
      <c r="D58" s="86">
        <f t="shared" si="0"/>
        <v>0</v>
      </c>
      <c r="E58" s="215" t="e">
        <f>SUM((SUMIF($B$4:$B$34,Overall_AVG[[#This Row],[Baller]],$E$4:$E$34))/Overall_AVG[[#This Row],[Games Played]])</f>
        <v>#DIV/0!</v>
      </c>
      <c r="F58" s="215" t="e">
        <f>SUM((SUMIF($B$4:$B$34,Overall_AVG[[#This Row],[Baller]],$F$4:$F$34))/Overall_AVG[[#This Row],[Games Played]])</f>
        <v>#DIV/0!</v>
      </c>
      <c r="G58" s="203" t="e">
        <f>Overall_AVG[[#This Row],[Total FGM]]/Overall_AVG[[#This Row],[Total FGA]]</f>
        <v>#DIV/0!</v>
      </c>
      <c r="H58" s="216" t="e">
        <f>SUM((SUMIF($B$4:$B$34,Overall_AVG[[#This Row],[Baller]],$H$4:$H$34))/Overall_AVG[[#This Row],[Games Played]])</f>
        <v>#DIV/0!</v>
      </c>
      <c r="I58" s="92" t="e">
        <f>SUM((SUMIF($B$4:$B$34,Overall_AVG[[#This Row],[Baller]],$I$4:$I$34))/Overall_AVG[[#This Row],[Games Played]])</f>
        <v>#DIV/0!</v>
      </c>
      <c r="J58" s="91" t="e">
        <f>Overall_AVG[[#This Row],[2PT FGM]]/Overall_AVG[[#This Row],[2PT FGA]]</f>
        <v>#DIV/0!</v>
      </c>
      <c r="K58" s="92" t="e">
        <f>SUM((SUMIF($B$4:$B$34,Overall_AVG[[#This Row],[Baller]],$K$4:$K$34))/Overall_AVG[[#This Row],[Games Played]])</f>
        <v>#DIV/0!</v>
      </c>
      <c r="L58" s="92" t="e">
        <f>SUM((SUMIF($B$4:$B$34,Overall_AVG[[#This Row],[Baller]],$L$4:$L$34))/Overall_AVG[[#This Row],[Games Played]])</f>
        <v>#DIV/0!</v>
      </c>
      <c r="M58" s="91" t="e">
        <f>Overall_AVG[[#This Row],[3PT FGM]]/Overall_AVG[[#This Row],[3PT FGA]]</f>
        <v>#DIV/0!</v>
      </c>
      <c r="N58" s="92" t="e">
        <f>SUM((SUMIF($B$4:$B$34,Overall_AVG[[#This Row],[Baller]],$N$4:$N$34))/Overall_AVG[[#This Row],[Games Played]])</f>
        <v>#DIV/0!</v>
      </c>
      <c r="O58" s="92" t="e">
        <f>SUM((SUMIF($B$4:$B$34,Overall_AVG[[#This Row],[Baller]],$O$4:$O$34))/Overall_AVG[[#This Row],[Games Played]])</f>
        <v>#DIV/0!</v>
      </c>
      <c r="P58" s="99" t="e">
        <f>Overall_AVG[[#This Row],[FTM]]/Overall_AVG[[#This Row],[FTA]]</f>
        <v>#DIV/0!</v>
      </c>
      <c r="Q58" s="215" t="e">
        <f>SUM((SUMIF($B$4:$B$34,Overall_AVG[[#This Row],[Baller]],$Q$4:$Q$34))/Overall_AVG[[#This Row],[Games Played]])</f>
        <v>#DIV/0!</v>
      </c>
      <c r="R58" s="215" t="e">
        <f>SUM((SUMIF($B$4:$B$34,Overall_AVG[[#This Row],[Baller]],$R$4:$R$34))/Overall_AVG[[#This Row],[Games Played]])</f>
        <v>#DIV/0!</v>
      </c>
      <c r="S58" s="215" t="e">
        <f>SUM((SUMIF($B$4:$B$34,Overall_AVG[[#This Row],[Baller]],$S$4:$S$34))/Overall_AVG[[#This Row],[Games Played]])</f>
        <v>#DIV/0!</v>
      </c>
      <c r="T58" s="215" t="e">
        <f>SUM((SUMIF($B$4:$B$34,Overall_AVG[[#This Row],[Baller]],$T$4:$T$34))/Overall_AVG[[#This Row],[Games Played]])</f>
        <v>#DIV/0!</v>
      </c>
      <c r="U58" s="215" t="e">
        <f>SUM((SUMIF($B$4:$B$34,Overall_AVG[[#This Row],[Baller]],$U$4:$U$34))/Overall_AVG[[#This Row],[Games Played]])</f>
        <v>#DIV/0!</v>
      </c>
      <c r="V58" s="215" t="e">
        <f>SUM((SUMIF($B$4:$B$34,Overall_AVG[[#This Row],[Baller]],$V$4:$V$34))/Overall_AVG[[#This Row],[Games Played]])</f>
        <v>#DIV/0!</v>
      </c>
      <c r="W58" s="215" t="e">
        <f>SUM((SUMIF($B$4:$B$34,Overall_AVG[[#This Row],[Baller]],$W$4:$W$34))/Overall_AVG[[#This Row],[Games Played]])</f>
        <v>#DIV/0!</v>
      </c>
      <c r="X58" s="215" t="e">
        <f>SUM((SUMIF($B$4:$B$34,Overall_AVG[[#This Row],[Baller]],$X$4:$X$34))/Overall_AVG[[#This Row],[Games Played]])</f>
        <v>#DIV/0!</v>
      </c>
      <c r="Y58" s="215" t="e">
        <f>SUM((SUMIF($B$4:$B$34,Overall_AVG[[#This Row],[Baller]],$Y$4:$Y$34))/Overall_AVG[[#This Row],[Games Played]])</f>
        <v>#DIV/0!</v>
      </c>
      <c r="Z58" s="204" t="e">
        <f>Overall_AVG[[#This Row],[Dimes]]/Overall_AVG[[#This Row],[Turnovers]]</f>
        <v>#DIV/0!</v>
      </c>
    </row>
    <row r="59" spans="1:26" hidden="1" x14ac:dyDescent="0.2">
      <c r="A59" s="14" t="s">
        <v>48</v>
      </c>
      <c r="B59" t="s">
        <v>99</v>
      </c>
      <c r="C59" t="s">
        <v>132</v>
      </c>
      <c r="D59" s="86">
        <f t="shared" si="0"/>
        <v>0</v>
      </c>
      <c r="E59" s="215" t="e">
        <f>SUM((SUMIF($B$4:$B$34,Overall_AVG[[#This Row],[Baller]],$E$4:$E$34))/Overall_AVG[[#This Row],[Games Played]])</f>
        <v>#DIV/0!</v>
      </c>
      <c r="F59" s="215" t="e">
        <f>SUM((SUMIF($B$4:$B$34,Overall_AVG[[#This Row],[Baller]],$F$4:$F$34))/Overall_AVG[[#This Row],[Games Played]])</f>
        <v>#DIV/0!</v>
      </c>
      <c r="G59" s="203" t="e">
        <f>Overall_AVG[[#This Row],[Total FGM]]/Overall_AVG[[#This Row],[Total FGA]]</f>
        <v>#DIV/0!</v>
      </c>
      <c r="H59" s="216" t="e">
        <f>SUM((SUMIF($B$4:$B$34,Overall_AVG[[#This Row],[Baller]],$H$4:$H$34))/Overall_AVG[[#This Row],[Games Played]])</f>
        <v>#DIV/0!</v>
      </c>
      <c r="I59" s="92" t="e">
        <f>SUM((SUMIF($B$4:$B$34,Overall_AVG[[#This Row],[Baller]],$I$4:$I$34))/Overall_AVG[[#This Row],[Games Played]])</f>
        <v>#DIV/0!</v>
      </c>
      <c r="J59" s="91" t="e">
        <f>Overall_AVG[[#This Row],[2PT FGM]]/Overall_AVG[[#This Row],[2PT FGA]]</f>
        <v>#DIV/0!</v>
      </c>
      <c r="K59" s="92" t="e">
        <f>SUM((SUMIF($B$4:$B$34,Overall_AVG[[#This Row],[Baller]],$K$4:$K$34))/Overall_AVG[[#This Row],[Games Played]])</f>
        <v>#DIV/0!</v>
      </c>
      <c r="L59" s="92" t="e">
        <f>SUM((SUMIF($B$4:$B$34,Overall_AVG[[#This Row],[Baller]],$L$4:$L$34))/Overall_AVG[[#This Row],[Games Played]])</f>
        <v>#DIV/0!</v>
      </c>
      <c r="M59" s="91" t="e">
        <f>Overall_AVG[[#This Row],[3PT FGM]]/Overall_AVG[[#This Row],[3PT FGA]]</f>
        <v>#DIV/0!</v>
      </c>
      <c r="N59" s="92" t="e">
        <f>SUM((SUMIF($B$4:$B$34,Overall_AVG[[#This Row],[Baller]],$N$4:$N$34))/Overall_AVG[[#This Row],[Games Played]])</f>
        <v>#DIV/0!</v>
      </c>
      <c r="O59" s="92" t="e">
        <f>SUM((SUMIF($B$4:$B$34,Overall_AVG[[#This Row],[Baller]],$O$4:$O$34))/Overall_AVG[[#This Row],[Games Played]])</f>
        <v>#DIV/0!</v>
      </c>
      <c r="P59" s="99" t="e">
        <f>Overall_AVG[[#This Row],[FTM]]/Overall_AVG[[#This Row],[FTA]]</f>
        <v>#DIV/0!</v>
      </c>
      <c r="Q59" s="215" t="e">
        <f>SUM((SUMIF($B$4:$B$34,Overall_AVG[[#This Row],[Baller]],$Q$4:$Q$34))/Overall_AVG[[#This Row],[Games Played]])</f>
        <v>#DIV/0!</v>
      </c>
      <c r="R59" s="215" t="e">
        <f>SUM((SUMIF($B$4:$B$34,Overall_AVG[[#This Row],[Baller]],$R$4:$R$34))/Overall_AVG[[#This Row],[Games Played]])</f>
        <v>#DIV/0!</v>
      </c>
      <c r="S59" s="215" t="e">
        <f>SUM((SUMIF($B$4:$B$34,Overall_AVG[[#This Row],[Baller]],$S$4:$S$34))/Overall_AVG[[#This Row],[Games Played]])</f>
        <v>#DIV/0!</v>
      </c>
      <c r="T59" s="215" t="e">
        <f>SUM((SUMIF($B$4:$B$34,Overall_AVG[[#This Row],[Baller]],$T$4:$T$34))/Overall_AVG[[#This Row],[Games Played]])</f>
        <v>#DIV/0!</v>
      </c>
      <c r="U59" s="215" t="e">
        <f>SUM((SUMIF($B$4:$B$34,Overall_AVG[[#This Row],[Baller]],$U$4:$U$34))/Overall_AVG[[#This Row],[Games Played]])</f>
        <v>#DIV/0!</v>
      </c>
      <c r="V59" s="215" t="e">
        <f>SUM((SUMIF($B$4:$B$34,Overall_AVG[[#This Row],[Baller]],$V$4:$V$34))/Overall_AVG[[#This Row],[Games Played]])</f>
        <v>#DIV/0!</v>
      </c>
      <c r="W59" s="215" t="e">
        <f>SUM((SUMIF($B$4:$B$34,Overall_AVG[[#This Row],[Baller]],$W$4:$W$34))/Overall_AVG[[#This Row],[Games Played]])</f>
        <v>#DIV/0!</v>
      </c>
      <c r="X59" s="215" t="e">
        <f>SUM((SUMIF($B$4:$B$34,Overall_AVG[[#This Row],[Baller]],$X$4:$X$34))/Overall_AVG[[#This Row],[Games Played]])</f>
        <v>#DIV/0!</v>
      </c>
      <c r="Y59" s="215" t="e">
        <f>SUM((SUMIF($B$4:$B$34,Overall_AVG[[#This Row],[Baller]],$Y$4:$Y$34))/Overall_AVG[[#This Row],[Games Played]])</f>
        <v>#DIV/0!</v>
      </c>
      <c r="Z59" s="204" t="e">
        <f>Overall_AVG[[#This Row],[Dimes]]/Overall_AVG[[#This Row],[Turnovers]]</f>
        <v>#DIV/0!</v>
      </c>
    </row>
    <row r="60" spans="1:26" hidden="1" x14ac:dyDescent="0.2">
      <c r="A60" s="14" t="s">
        <v>51</v>
      </c>
      <c r="B60" t="s">
        <v>102</v>
      </c>
      <c r="C60" t="s">
        <v>132</v>
      </c>
      <c r="D60" s="86">
        <f t="shared" si="0"/>
        <v>0</v>
      </c>
      <c r="E60" s="215" t="e">
        <f>SUM((SUMIF($B$4:$B$34,Overall_AVG[[#This Row],[Baller]],$E$4:$E$34))/Overall_AVG[[#This Row],[Games Played]])</f>
        <v>#DIV/0!</v>
      </c>
      <c r="F60" s="215" t="e">
        <f>SUM((SUMIF($B$4:$B$34,Overall_AVG[[#This Row],[Baller]],$F$4:$F$34))/Overall_AVG[[#This Row],[Games Played]])</f>
        <v>#DIV/0!</v>
      </c>
      <c r="G60" s="203" t="e">
        <f>Overall_AVG[[#This Row],[Total FGM]]/Overall_AVG[[#This Row],[Total FGA]]</f>
        <v>#DIV/0!</v>
      </c>
      <c r="H60" s="216" t="e">
        <f>SUM((SUMIF($B$4:$B$34,Overall_AVG[[#This Row],[Baller]],$H$4:$H$34))/Overall_AVG[[#This Row],[Games Played]])</f>
        <v>#DIV/0!</v>
      </c>
      <c r="I60" s="92" t="e">
        <f>SUM((SUMIF($B$4:$B$34,Overall_AVG[[#This Row],[Baller]],$I$4:$I$34))/Overall_AVG[[#This Row],[Games Played]])</f>
        <v>#DIV/0!</v>
      </c>
      <c r="J60" s="91" t="e">
        <f>Overall_AVG[[#This Row],[2PT FGM]]/Overall_AVG[[#This Row],[2PT FGA]]</f>
        <v>#DIV/0!</v>
      </c>
      <c r="K60" s="92" t="e">
        <f>SUM((SUMIF($B$4:$B$34,Overall_AVG[[#This Row],[Baller]],$K$4:$K$34))/Overall_AVG[[#This Row],[Games Played]])</f>
        <v>#DIV/0!</v>
      </c>
      <c r="L60" s="92" t="e">
        <f>SUM((SUMIF($B$4:$B$34,Overall_AVG[[#This Row],[Baller]],$L$4:$L$34))/Overall_AVG[[#This Row],[Games Played]])</f>
        <v>#DIV/0!</v>
      </c>
      <c r="M60" s="91" t="e">
        <f>Overall_AVG[[#This Row],[3PT FGM]]/Overall_AVG[[#This Row],[3PT FGA]]</f>
        <v>#DIV/0!</v>
      </c>
      <c r="N60" s="92" t="e">
        <f>SUM((SUMIF($B$4:$B$34,Overall_AVG[[#This Row],[Baller]],$N$4:$N$34))/Overall_AVG[[#This Row],[Games Played]])</f>
        <v>#DIV/0!</v>
      </c>
      <c r="O60" s="92" t="e">
        <f>SUM((SUMIF($B$4:$B$34,Overall_AVG[[#This Row],[Baller]],$O$4:$O$34))/Overall_AVG[[#This Row],[Games Played]])</f>
        <v>#DIV/0!</v>
      </c>
      <c r="P60" s="99" t="e">
        <f>Overall_AVG[[#This Row],[FTM]]/Overall_AVG[[#This Row],[FTA]]</f>
        <v>#DIV/0!</v>
      </c>
      <c r="Q60" s="215" t="e">
        <f>SUM((SUMIF($B$4:$B$34,Overall_AVG[[#This Row],[Baller]],$Q$4:$Q$34))/Overall_AVG[[#This Row],[Games Played]])</f>
        <v>#DIV/0!</v>
      </c>
      <c r="R60" s="215" t="e">
        <f>SUM((SUMIF($B$4:$B$34,Overall_AVG[[#This Row],[Baller]],$R$4:$R$34))/Overall_AVG[[#This Row],[Games Played]])</f>
        <v>#DIV/0!</v>
      </c>
      <c r="S60" s="215" t="e">
        <f>SUM((SUMIF($B$4:$B$34,Overall_AVG[[#This Row],[Baller]],$S$4:$S$34))/Overall_AVG[[#This Row],[Games Played]])</f>
        <v>#DIV/0!</v>
      </c>
      <c r="T60" s="215" t="e">
        <f>SUM((SUMIF($B$4:$B$34,Overall_AVG[[#This Row],[Baller]],$T$4:$T$34))/Overall_AVG[[#This Row],[Games Played]])</f>
        <v>#DIV/0!</v>
      </c>
      <c r="U60" s="215" t="e">
        <f>SUM((SUMIF($B$4:$B$34,Overall_AVG[[#This Row],[Baller]],$U$4:$U$34))/Overall_AVG[[#This Row],[Games Played]])</f>
        <v>#DIV/0!</v>
      </c>
      <c r="V60" s="215" t="e">
        <f>SUM((SUMIF($B$4:$B$34,Overall_AVG[[#This Row],[Baller]],$V$4:$V$34))/Overall_AVG[[#This Row],[Games Played]])</f>
        <v>#DIV/0!</v>
      </c>
      <c r="W60" s="215" t="e">
        <f>SUM((SUMIF($B$4:$B$34,Overall_AVG[[#This Row],[Baller]],$W$4:$W$34))/Overall_AVG[[#This Row],[Games Played]])</f>
        <v>#DIV/0!</v>
      </c>
      <c r="X60" s="215" t="e">
        <f>SUM((SUMIF($B$4:$B$34,Overall_AVG[[#This Row],[Baller]],$X$4:$X$34))/Overall_AVG[[#This Row],[Games Played]])</f>
        <v>#DIV/0!</v>
      </c>
      <c r="Y60" s="215" t="e">
        <f>SUM((SUMIF($B$4:$B$34,Overall_AVG[[#This Row],[Baller]],$Y$4:$Y$34))/Overall_AVG[[#This Row],[Games Played]])</f>
        <v>#DIV/0!</v>
      </c>
      <c r="Z60" s="204" t="e">
        <f>Overall_AVG[[#This Row],[Dimes]]/Overall_AVG[[#This Row],[Turnovers]]</f>
        <v>#DIV/0!</v>
      </c>
    </row>
    <row r="61" spans="1:26" hidden="1" x14ac:dyDescent="0.2">
      <c r="A61" s="14" t="s">
        <v>43</v>
      </c>
      <c r="B61" t="s">
        <v>104</v>
      </c>
      <c r="C61" t="s">
        <v>132</v>
      </c>
      <c r="D61" s="86">
        <f t="shared" si="0"/>
        <v>0</v>
      </c>
      <c r="E61" s="215" t="e">
        <f>SUM((SUMIF($B$4:$B$34,Overall_AVG[[#This Row],[Baller]],$E$4:$E$34))/Overall_AVG[[#This Row],[Games Played]])</f>
        <v>#DIV/0!</v>
      </c>
      <c r="F61" s="215" t="e">
        <f>SUM((SUMIF($B$4:$B$34,Overall_AVG[[#This Row],[Baller]],$F$4:$F$34))/Overall_AVG[[#This Row],[Games Played]])</f>
        <v>#DIV/0!</v>
      </c>
      <c r="G61" s="203" t="e">
        <f>Overall_AVG[[#This Row],[Total FGM]]/Overall_AVG[[#This Row],[Total FGA]]</f>
        <v>#DIV/0!</v>
      </c>
      <c r="H61" s="216" t="e">
        <f>SUM((SUMIF($B$4:$B$34,Overall_AVG[[#This Row],[Baller]],$H$4:$H$34))/Overall_AVG[[#This Row],[Games Played]])</f>
        <v>#DIV/0!</v>
      </c>
      <c r="I61" s="92" t="e">
        <f>SUM((SUMIF($B$4:$B$34,Overall_AVG[[#This Row],[Baller]],$I$4:$I$34))/Overall_AVG[[#This Row],[Games Played]])</f>
        <v>#DIV/0!</v>
      </c>
      <c r="J61" s="91" t="e">
        <f>Overall_AVG[[#This Row],[2PT FGM]]/Overall_AVG[[#This Row],[2PT FGA]]</f>
        <v>#DIV/0!</v>
      </c>
      <c r="K61" s="92" t="e">
        <f>SUM((SUMIF($B$4:$B$34,Overall_AVG[[#This Row],[Baller]],$K$4:$K$34))/Overall_AVG[[#This Row],[Games Played]])</f>
        <v>#DIV/0!</v>
      </c>
      <c r="L61" s="92" t="e">
        <f>SUM((SUMIF($B$4:$B$34,Overall_AVG[[#This Row],[Baller]],$L$4:$L$34))/Overall_AVG[[#This Row],[Games Played]])</f>
        <v>#DIV/0!</v>
      </c>
      <c r="M61" s="91" t="e">
        <f>Overall_AVG[[#This Row],[3PT FGM]]/Overall_AVG[[#This Row],[3PT FGA]]</f>
        <v>#DIV/0!</v>
      </c>
      <c r="N61" s="92" t="e">
        <f>SUM((SUMIF($B$4:$B$34,Overall_AVG[[#This Row],[Baller]],$N$4:$N$34))/Overall_AVG[[#This Row],[Games Played]])</f>
        <v>#DIV/0!</v>
      </c>
      <c r="O61" s="92" t="e">
        <f>SUM((SUMIF($B$4:$B$34,Overall_AVG[[#This Row],[Baller]],$O$4:$O$34))/Overall_AVG[[#This Row],[Games Played]])</f>
        <v>#DIV/0!</v>
      </c>
      <c r="P61" s="99" t="e">
        <f>Overall_AVG[[#This Row],[FTM]]/Overall_AVG[[#This Row],[FTA]]</f>
        <v>#DIV/0!</v>
      </c>
      <c r="Q61" s="215" t="e">
        <f>SUM((SUMIF($B$4:$B$34,Overall_AVG[[#This Row],[Baller]],$Q$4:$Q$34))/Overall_AVG[[#This Row],[Games Played]])</f>
        <v>#DIV/0!</v>
      </c>
      <c r="R61" s="215" t="e">
        <f>SUM((SUMIF($B$4:$B$34,Overall_AVG[[#This Row],[Baller]],$R$4:$R$34))/Overall_AVG[[#This Row],[Games Played]])</f>
        <v>#DIV/0!</v>
      </c>
      <c r="S61" s="215" t="e">
        <f>SUM((SUMIF($B$4:$B$34,Overall_AVG[[#This Row],[Baller]],$S$4:$S$34))/Overall_AVG[[#This Row],[Games Played]])</f>
        <v>#DIV/0!</v>
      </c>
      <c r="T61" s="215" t="e">
        <f>SUM((SUMIF($B$4:$B$34,Overall_AVG[[#This Row],[Baller]],$T$4:$T$34))/Overall_AVG[[#This Row],[Games Played]])</f>
        <v>#DIV/0!</v>
      </c>
      <c r="U61" s="215" t="e">
        <f>SUM((SUMIF($B$4:$B$34,Overall_AVG[[#This Row],[Baller]],$U$4:$U$34))/Overall_AVG[[#This Row],[Games Played]])</f>
        <v>#DIV/0!</v>
      </c>
      <c r="V61" s="215" t="e">
        <f>SUM((SUMIF($B$4:$B$34,Overall_AVG[[#This Row],[Baller]],$V$4:$V$34))/Overall_AVG[[#This Row],[Games Played]])</f>
        <v>#DIV/0!</v>
      </c>
      <c r="W61" s="215" t="e">
        <f>SUM((SUMIF($B$4:$B$34,Overall_AVG[[#This Row],[Baller]],$W$4:$W$34))/Overall_AVG[[#This Row],[Games Played]])</f>
        <v>#DIV/0!</v>
      </c>
      <c r="X61" s="215" t="e">
        <f>SUM((SUMIF($B$4:$B$34,Overall_AVG[[#This Row],[Baller]],$X$4:$X$34))/Overall_AVG[[#This Row],[Games Played]])</f>
        <v>#DIV/0!</v>
      </c>
      <c r="Y61" s="215" t="e">
        <f>SUM((SUMIF($B$4:$B$34,Overall_AVG[[#This Row],[Baller]],$Y$4:$Y$34))/Overall_AVG[[#This Row],[Games Played]])</f>
        <v>#DIV/0!</v>
      </c>
      <c r="Z61" s="204" t="e">
        <f>Overall_AVG[[#This Row],[Dimes]]/Overall_AVG[[#This Row],[Turnovers]]</f>
        <v>#DIV/0!</v>
      </c>
    </row>
    <row r="62" spans="1:26" hidden="1" x14ac:dyDescent="0.2">
      <c r="A62" s="14" t="s">
        <v>45</v>
      </c>
      <c r="B62" t="s">
        <v>90</v>
      </c>
      <c r="C62" t="s">
        <v>132</v>
      </c>
      <c r="D62" s="193">
        <f t="shared" si="0"/>
        <v>0</v>
      </c>
      <c r="E62" s="215" t="e">
        <f>SUM((SUMIF($B$4:$B$34,Overall_AVG[[#This Row],[Baller]],$E$4:$E$34))/Overall_AVG[[#This Row],[Games Played]])</f>
        <v>#DIV/0!</v>
      </c>
      <c r="F62" s="204" t="e">
        <f>SUM((SUMIF($B$4:$B$34,Overall_AVG[[#This Row],[Baller]],$F$4:$F$34))/Overall_AVG[[#This Row],[Games Played]])</f>
        <v>#DIV/0!</v>
      </c>
      <c r="G62" s="206" t="e">
        <f>Overall_AVG[[#This Row],[Total FGM]]/Overall_AVG[[#This Row],[Total FGA]]</f>
        <v>#DIV/0!</v>
      </c>
      <c r="H62" s="216" t="e">
        <f>SUM((SUMIF($B$4:$B$34,Overall_AVG[[#This Row],[Baller]],$H$4:$H$34))/Overall_AVG[[#This Row],[Games Played]])</f>
        <v>#DIV/0!</v>
      </c>
      <c r="I62" s="204" t="e">
        <f>SUM((SUMIF($B$4:$B$34,Overall_AVG[[#This Row],[Baller]],$I$4:$I$34))/Overall_AVG[[#This Row],[Games Played]])</f>
        <v>#DIV/0!</v>
      </c>
      <c r="J62" s="206" t="e">
        <f>Overall_AVG[[#This Row],[2PT FGM]]/Overall_AVG[[#This Row],[2PT FGA]]</f>
        <v>#DIV/0!</v>
      </c>
      <c r="K62" s="215" t="e">
        <f>SUM((SUMIF($B$4:$B$34,Overall_AVG[[#This Row],[Baller]],$K$4:$K$34))/Overall_AVG[[#This Row],[Games Played]])</f>
        <v>#DIV/0!</v>
      </c>
      <c r="L62" s="204" t="e">
        <f>SUM((SUMIF($B$4:$B$34,Overall_AVG[[#This Row],[Baller]],$L$4:$L$34))/Overall_AVG[[#This Row],[Games Played]])</f>
        <v>#DIV/0!</v>
      </c>
      <c r="M62" s="206" t="e">
        <f>Overall_AVG[[#This Row],[3PT FGM]]/Overall_AVG[[#This Row],[3PT FGA]]</f>
        <v>#DIV/0!</v>
      </c>
      <c r="N62" s="215" t="e">
        <f>SUM((SUMIF($B$4:$B$34,Overall_AVG[[#This Row],[Baller]],$N$4:$N$34))/Overall_AVG[[#This Row],[Games Played]])</f>
        <v>#DIV/0!</v>
      </c>
      <c r="O62" s="204" t="e">
        <f>SUM((SUMIF($B$4:$B$34,Overall_AVG[[#This Row],[Baller]],$O$4:$O$34))/Overall_AVG[[#This Row],[Games Played]])</f>
        <v>#DIV/0!</v>
      </c>
      <c r="P62" s="210" t="e">
        <f>Overall_AVG[[#This Row],[FTM]]/Overall_AVG[[#This Row],[FTA]]</f>
        <v>#DIV/0!</v>
      </c>
      <c r="Q62" s="215" t="e">
        <f>SUM((SUMIF($B$4:$B$34,Overall_AVG[[#This Row],[Baller]],$Q$4:$Q$34))/Overall_AVG[[#This Row],[Games Played]])</f>
        <v>#DIV/0!</v>
      </c>
      <c r="R62" s="215" t="e">
        <f>SUM((SUMIF($B$4:$B$34,Overall_AVG[[#This Row],[Baller]],$R$4:$R$34))/Overall_AVG[[#This Row],[Games Played]])</f>
        <v>#DIV/0!</v>
      </c>
      <c r="S62" s="215" t="e">
        <f>SUM((SUMIF($B$4:$B$34,Overall_AVG[[#This Row],[Baller]],$S$4:$S$34))/Overall_AVG[[#This Row],[Games Played]])</f>
        <v>#DIV/0!</v>
      </c>
      <c r="T62" s="215" t="e">
        <f>SUM((SUMIF($B$4:$B$34,Overall_AVG[[#This Row],[Baller]],$T$4:$T$34))/Overall_AVG[[#This Row],[Games Played]])</f>
        <v>#DIV/0!</v>
      </c>
      <c r="U62" s="215" t="e">
        <f>SUM((SUMIF($B$4:$B$34,Overall_AVG[[#This Row],[Baller]],$U$4:$U$34))/Overall_AVG[[#This Row],[Games Played]])</f>
        <v>#DIV/0!</v>
      </c>
      <c r="V62" s="215" t="e">
        <f>SUM((SUMIF($B$4:$B$34,Overall_AVG[[#This Row],[Baller]],$V$4:$V$34))/Overall_AVG[[#This Row],[Games Played]])</f>
        <v>#DIV/0!</v>
      </c>
      <c r="W62" s="215" t="e">
        <f>SUM((SUMIF($B$4:$B$34,Overall_AVG[[#This Row],[Baller]],$W$4:$W$34))/Overall_AVG[[#This Row],[Games Played]])</f>
        <v>#DIV/0!</v>
      </c>
      <c r="X62" s="215" t="e">
        <f>SUM((SUMIF($B$4:$B$34,Overall_AVG[[#This Row],[Baller]],$X$4:$X$34))/Overall_AVG[[#This Row],[Games Played]])</f>
        <v>#DIV/0!</v>
      </c>
      <c r="Y62" s="204" t="e">
        <f>SUM((SUMIF($B$4:$B$34,Overall_AVG[[#This Row],[Baller]],$Y$4:$Y$34))/Overall_AVG[[#This Row],[Games Played]])</f>
        <v>#DIV/0!</v>
      </c>
      <c r="Z62" s="206" t="e">
        <f>Overall_AVG[[#This Row],[Dimes]]/Overall_AVG[[#This Row],[Turnovers]]</f>
        <v>#DIV/0!</v>
      </c>
    </row>
    <row r="63" spans="1:26" x14ac:dyDescent="0.2">
      <c r="A63" s="16" t="s">
        <v>37</v>
      </c>
      <c r="B63" t="s">
        <v>100</v>
      </c>
      <c r="C63" t="s">
        <v>209</v>
      </c>
      <c r="D63" s="86">
        <f t="shared" si="0"/>
        <v>5</v>
      </c>
      <c r="E63" s="215">
        <f>SUM((SUMIF($B$4:$B$34,Overall_AVG[[#This Row],[Baller]],$E$4:$E$34))/Overall_AVG[[#This Row],[Games Played]])</f>
        <v>5.4</v>
      </c>
      <c r="F63" s="215">
        <f>SUM((SUMIF($B$4:$B$34,Overall_AVG[[#This Row],[Baller]],$F$4:$F$34))/Overall_AVG[[#This Row],[Games Played]])</f>
        <v>12.2</v>
      </c>
      <c r="G63" s="203">
        <f>Overall_AVG[[#This Row],[Total FGM]]/Overall_AVG[[#This Row],[Total FGA]]</f>
        <v>0.44262295081967218</v>
      </c>
      <c r="H63" s="216">
        <f>SUM((SUMIF($B$4:$B$34,Overall_AVG[[#This Row],[Baller]],$H$4:$H$34))/Overall_AVG[[#This Row],[Games Played]])</f>
        <v>2.2000000000000002</v>
      </c>
      <c r="I63" s="92">
        <f>SUM((SUMIF($B$4:$B$34,Overall_AVG[[#This Row],[Baller]],$I$4:$I$34))/Overall_AVG[[#This Row],[Games Played]])</f>
        <v>3.6</v>
      </c>
      <c r="J63" s="91">
        <f>Overall_AVG[[#This Row],[2PT FGM]]/Overall_AVG[[#This Row],[2PT FGA]]</f>
        <v>0.61111111111111116</v>
      </c>
      <c r="K63" s="92">
        <f>SUM((SUMIF($B$4:$B$34,Overall_AVG[[#This Row],[Baller]],$K$4:$K$34))/Overall_AVG[[#This Row],[Games Played]])</f>
        <v>3.2</v>
      </c>
      <c r="L63" s="92">
        <f>SUM((SUMIF($B$4:$B$34,Overall_AVG[[#This Row],[Baller]],$L$4:$L$34))/Overall_AVG[[#This Row],[Games Played]])</f>
        <v>8.6</v>
      </c>
      <c r="M63" s="91">
        <f>Overall_AVG[[#This Row],[3PT FGM]]/Overall_AVG[[#This Row],[3PT FGA]]</f>
        <v>0.372093023255814</v>
      </c>
      <c r="N63" s="92">
        <f>SUM((SUMIF($B$4:$B$34,Overall_AVG[[#This Row],[Baller]],$N$4:$N$34))/Overall_AVG[[#This Row],[Games Played]])</f>
        <v>0</v>
      </c>
      <c r="O63" s="92">
        <f>SUM((SUMIF($B$4:$B$34,Overall_AVG[[#This Row],[Baller]],$O$4:$O$34))/Overall_AVG[[#This Row],[Games Played]])</f>
        <v>0</v>
      </c>
      <c r="P63" s="99" t="e">
        <f>Overall_AVG[[#This Row],[FTM]]/Overall_AVG[[#This Row],[FTA]]</f>
        <v>#DIV/0!</v>
      </c>
      <c r="Q63" s="215">
        <f>SUM((SUMIF($B$4:$B$34,Overall_AVG[[#This Row],[Baller]],$Q$4:$Q$34))/Overall_AVG[[#This Row],[Games Played]])</f>
        <v>14</v>
      </c>
      <c r="R63" s="215">
        <f>SUM((SUMIF($B$4:$B$34,Overall_AVG[[#This Row],[Baller]],$R$4:$R$34))/Overall_AVG[[#This Row],[Games Played]])</f>
        <v>0</v>
      </c>
      <c r="S63" s="215">
        <f>SUM((SUMIF($B$4:$B$34,Overall_AVG[[#This Row],[Baller]],$S$4:$S$34))/Overall_AVG[[#This Row],[Games Played]])</f>
        <v>2.4</v>
      </c>
      <c r="T63" s="215">
        <f>SUM((SUMIF($B$4:$B$34,Overall_AVG[[#This Row],[Baller]],$T$4:$T$34))/Overall_AVG[[#This Row],[Games Played]])</f>
        <v>0.2</v>
      </c>
      <c r="U63" s="215">
        <f>SUM((SUMIF($B$4:$B$34,Overall_AVG[[#This Row],[Baller]],$U$4:$U$34))/Overall_AVG[[#This Row],[Games Played]])</f>
        <v>2.6</v>
      </c>
      <c r="V63" s="215">
        <f>SUM((SUMIF($B$4:$B$34,Overall_AVG[[#This Row],[Baller]],$V$4:$V$34))/Overall_AVG[[#This Row],[Games Played]])</f>
        <v>2.8</v>
      </c>
      <c r="W63" s="215">
        <f>SUM((SUMIF($B$4:$B$34,Overall_AVG[[#This Row],[Baller]],$W$4:$W$34))/Overall_AVG[[#This Row],[Games Played]])</f>
        <v>0.8</v>
      </c>
      <c r="X63" s="215">
        <f>SUM((SUMIF($B$4:$B$34,Overall_AVG[[#This Row],[Baller]],$X$4:$X$34))/Overall_AVG[[#This Row],[Games Played]])</f>
        <v>0.8</v>
      </c>
      <c r="Y63" s="215">
        <f>SUM((SUMIF($B$4:$B$34,Overall_AVG[[#This Row],[Baller]],$Y$4:$Y$34))/Overall_AVG[[#This Row],[Games Played]])</f>
        <v>1.2</v>
      </c>
      <c r="Z63" s="204">
        <f>Overall_AVG[[#This Row],[Dimes]]/Overall_AVG[[#This Row],[Turnovers]]</f>
        <v>2.3333333333333335</v>
      </c>
    </row>
    <row r="64" spans="1:26" x14ac:dyDescent="0.2">
      <c r="A64" s="14" t="s">
        <v>32</v>
      </c>
      <c r="B64" t="s">
        <v>103</v>
      </c>
      <c r="C64" t="s">
        <v>209</v>
      </c>
      <c r="D64" s="86">
        <f t="shared" si="0"/>
        <v>5</v>
      </c>
      <c r="E64" s="215">
        <f>SUM((SUMIF($B$4:$B$34,Overall_AVG[[#This Row],[Baller]],$E$4:$E$34))/Overall_AVG[[#This Row],[Games Played]])</f>
        <v>2</v>
      </c>
      <c r="F64" s="215">
        <f>SUM((SUMIF($B$4:$B$34,Overall_AVG[[#This Row],[Baller]],$F$4:$F$34))/Overall_AVG[[#This Row],[Games Played]])</f>
        <v>8</v>
      </c>
      <c r="G64" s="203">
        <f>Overall_AVG[[#This Row],[Total FGM]]/Overall_AVG[[#This Row],[Total FGA]]</f>
        <v>0.25</v>
      </c>
      <c r="H64" s="216">
        <f>SUM((SUMIF($B$4:$B$34,Overall_AVG[[#This Row],[Baller]],$H$4:$H$34))/Overall_AVG[[#This Row],[Games Played]])</f>
        <v>1.2</v>
      </c>
      <c r="I64" s="92">
        <f>SUM((SUMIF($B$4:$B$34,Overall_AVG[[#This Row],[Baller]],$I$4:$I$34))/Overall_AVG[[#This Row],[Games Played]])</f>
        <v>3</v>
      </c>
      <c r="J64" s="91">
        <f>Overall_AVG[[#This Row],[2PT FGM]]/Overall_AVG[[#This Row],[2PT FGA]]</f>
        <v>0.39999999999999997</v>
      </c>
      <c r="K64" s="92">
        <f>SUM((SUMIF($B$4:$B$34,Overall_AVG[[#This Row],[Baller]],$K$4:$K$34))/Overall_AVG[[#This Row],[Games Played]])</f>
        <v>0.8</v>
      </c>
      <c r="L64" s="92">
        <f>SUM((SUMIF($B$4:$B$34,Overall_AVG[[#This Row],[Baller]],$L$4:$L$34))/Overall_AVG[[#This Row],[Games Played]])</f>
        <v>5</v>
      </c>
      <c r="M64" s="91">
        <f>Overall_AVG[[#This Row],[3PT FGM]]/Overall_AVG[[#This Row],[3PT FGA]]</f>
        <v>0.16</v>
      </c>
      <c r="N64" s="92">
        <f>SUM((SUMIF($B$4:$B$34,Overall_AVG[[#This Row],[Baller]],$N$4:$N$34))/Overall_AVG[[#This Row],[Games Played]])</f>
        <v>0</v>
      </c>
      <c r="O64" s="92">
        <f>SUM((SUMIF($B$4:$B$34,Overall_AVG[[#This Row],[Baller]],$O$4:$O$34))/Overall_AVG[[#This Row],[Games Played]])</f>
        <v>0</v>
      </c>
      <c r="P64" s="99" t="e">
        <f>Overall_AVG[[#This Row],[FTM]]/Overall_AVG[[#This Row],[FTA]]</f>
        <v>#DIV/0!</v>
      </c>
      <c r="Q64" s="215">
        <f>SUM((SUMIF($B$4:$B$34,Overall_AVG[[#This Row],[Baller]],$Q$4:$Q$34))/Overall_AVG[[#This Row],[Games Played]])</f>
        <v>4.8</v>
      </c>
      <c r="R64" s="215">
        <f>SUM((SUMIF($B$4:$B$34,Overall_AVG[[#This Row],[Baller]],$R$4:$R$34))/Overall_AVG[[#This Row],[Games Played]])</f>
        <v>0.2</v>
      </c>
      <c r="S64" s="215">
        <f>SUM((SUMIF($B$4:$B$34,Overall_AVG[[#This Row],[Baller]],$S$4:$S$34))/Overall_AVG[[#This Row],[Games Played]])</f>
        <v>4.2</v>
      </c>
      <c r="T64" s="215">
        <f>SUM((SUMIF($B$4:$B$34,Overall_AVG[[#This Row],[Baller]],$T$4:$T$34))/Overall_AVG[[#This Row],[Games Played]])</f>
        <v>0.8</v>
      </c>
      <c r="U64" s="215">
        <f>SUM((SUMIF($B$4:$B$34,Overall_AVG[[#This Row],[Baller]],$U$4:$U$34))/Overall_AVG[[#This Row],[Games Played]])</f>
        <v>5</v>
      </c>
      <c r="V64" s="215">
        <f>SUM((SUMIF($B$4:$B$34,Overall_AVG[[#This Row],[Baller]],$V$4:$V$34))/Overall_AVG[[#This Row],[Games Played]])</f>
        <v>4.5999999999999996</v>
      </c>
      <c r="W64" s="215">
        <f>SUM((SUMIF($B$4:$B$34,Overall_AVG[[#This Row],[Baller]],$W$4:$W$34))/Overall_AVG[[#This Row],[Games Played]])</f>
        <v>1.2</v>
      </c>
      <c r="X64" s="215">
        <f>SUM((SUMIF($B$4:$B$34,Overall_AVG[[#This Row],[Baller]],$X$4:$X$34))/Overall_AVG[[#This Row],[Games Played]])</f>
        <v>0.4</v>
      </c>
      <c r="Y64" s="215">
        <f>SUM((SUMIF($B$4:$B$34,Overall_AVG[[#This Row],[Baller]],$Y$4:$Y$34))/Overall_AVG[[#This Row],[Games Played]])</f>
        <v>2.4</v>
      </c>
      <c r="Z64" s="204">
        <f>Overall_AVG[[#This Row],[Dimes]]/Overall_AVG[[#This Row],[Turnovers]]</f>
        <v>1.9166666666666665</v>
      </c>
    </row>
    <row r="65" spans="1:26" x14ac:dyDescent="0.2">
      <c r="A65" s="14" t="s">
        <v>29</v>
      </c>
      <c r="B65" t="s">
        <v>24</v>
      </c>
      <c r="C65" t="s">
        <v>209</v>
      </c>
      <c r="D65" s="86">
        <f t="shared" si="0"/>
        <v>4</v>
      </c>
      <c r="E65" s="215">
        <f>SUM((SUMIF($B$4:$B$34,Overall_AVG[[#This Row],[Baller]],$E$4:$E$34))/Overall_AVG[[#This Row],[Games Played]])</f>
        <v>4.75</v>
      </c>
      <c r="F65" s="215">
        <f>SUM((SUMIF($B$4:$B$34,Overall_AVG[[#This Row],[Baller]],$F$4:$F$34))/Overall_AVG[[#This Row],[Games Played]])</f>
        <v>8.25</v>
      </c>
      <c r="G65" s="203">
        <f>Overall_AVG[[#This Row],[Total FGM]]/Overall_AVG[[#This Row],[Total FGA]]</f>
        <v>0.5757575757575758</v>
      </c>
      <c r="H65" s="216">
        <f>SUM((SUMIF($B$4:$B$34,Overall_AVG[[#This Row],[Baller]],$H$4:$H$34))/Overall_AVG[[#This Row],[Games Played]])</f>
        <v>3.25</v>
      </c>
      <c r="I65" s="92">
        <f>SUM((SUMIF($B$4:$B$34,Overall_AVG[[#This Row],[Baller]],$I$4:$I$34))/Overall_AVG[[#This Row],[Games Played]])</f>
        <v>4.5</v>
      </c>
      <c r="J65" s="91">
        <f>Overall_AVG[[#This Row],[2PT FGM]]/Overall_AVG[[#This Row],[2PT FGA]]</f>
        <v>0.72222222222222221</v>
      </c>
      <c r="K65" s="92">
        <f>SUM((SUMIF($B$4:$B$34,Overall_AVG[[#This Row],[Baller]],$K$4:$K$34))/Overall_AVG[[#This Row],[Games Played]])</f>
        <v>1.5</v>
      </c>
      <c r="L65" s="92">
        <f>SUM((SUMIF($B$4:$B$34,Overall_AVG[[#This Row],[Baller]],$L$4:$L$34))/Overall_AVG[[#This Row],[Games Played]])</f>
        <v>3.75</v>
      </c>
      <c r="M65" s="91">
        <f>Overall_AVG[[#This Row],[3PT FGM]]/Overall_AVG[[#This Row],[3PT FGA]]</f>
        <v>0.4</v>
      </c>
      <c r="N65" s="92">
        <f>SUM((SUMIF($B$4:$B$34,Overall_AVG[[#This Row],[Baller]],$N$4:$N$34))/Overall_AVG[[#This Row],[Games Played]])</f>
        <v>0.25</v>
      </c>
      <c r="O65" s="92">
        <f>SUM((SUMIF($B$4:$B$34,Overall_AVG[[#This Row],[Baller]],$O$4:$O$34))/Overall_AVG[[#This Row],[Games Played]])</f>
        <v>0.25</v>
      </c>
      <c r="P65" s="99">
        <f>Overall_AVG[[#This Row],[FTM]]/Overall_AVG[[#This Row],[FTA]]</f>
        <v>1</v>
      </c>
      <c r="Q65" s="215">
        <f>SUM((SUMIF($B$4:$B$34,Overall_AVG[[#This Row],[Baller]],$Q$4:$Q$34))/Overall_AVG[[#This Row],[Games Played]])</f>
        <v>11.25</v>
      </c>
      <c r="R65" s="215">
        <f>SUM((SUMIF($B$4:$B$34,Overall_AVG[[#This Row],[Baller]],$R$4:$R$34))/Overall_AVG[[#This Row],[Games Played]])</f>
        <v>0.5</v>
      </c>
      <c r="S65" s="215">
        <f>SUM((SUMIF($B$4:$B$34,Overall_AVG[[#This Row],[Baller]],$S$4:$S$34))/Overall_AVG[[#This Row],[Games Played]])</f>
        <v>6</v>
      </c>
      <c r="T65" s="215">
        <f>SUM((SUMIF($B$4:$B$34,Overall_AVG[[#This Row],[Baller]],$T$4:$T$34))/Overall_AVG[[#This Row],[Games Played]])</f>
        <v>0.75</v>
      </c>
      <c r="U65" s="215">
        <f>SUM((SUMIF($B$4:$B$34,Overall_AVG[[#This Row],[Baller]],$U$4:$U$34))/Overall_AVG[[#This Row],[Games Played]])</f>
        <v>6.75</v>
      </c>
      <c r="V65" s="215">
        <f>SUM((SUMIF($B$4:$B$34,Overall_AVG[[#This Row],[Baller]],$V$4:$V$34))/Overall_AVG[[#This Row],[Games Played]])</f>
        <v>4.75</v>
      </c>
      <c r="W65" s="215">
        <f>SUM((SUMIF($B$4:$B$34,Overall_AVG[[#This Row],[Baller]],$W$4:$W$34))/Overall_AVG[[#This Row],[Games Played]])</f>
        <v>1.75</v>
      </c>
      <c r="X65" s="215">
        <f>SUM((SUMIF($B$4:$B$34,Overall_AVG[[#This Row],[Baller]],$X$4:$X$34))/Overall_AVG[[#This Row],[Games Played]])</f>
        <v>0.25</v>
      </c>
      <c r="Y65" s="215">
        <f>SUM((SUMIF($B$4:$B$34,Overall_AVG[[#This Row],[Baller]],$Y$4:$Y$34))/Overall_AVG[[#This Row],[Games Played]])</f>
        <v>0.5</v>
      </c>
      <c r="Z65" s="204">
        <f>Overall_AVG[[#This Row],[Dimes]]/Overall_AVG[[#This Row],[Turnovers]]</f>
        <v>9.5</v>
      </c>
    </row>
    <row r="66" spans="1:26" x14ac:dyDescent="0.2">
      <c r="A66" s="14" t="s">
        <v>33</v>
      </c>
      <c r="B66" t="s">
        <v>135</v>
      </c>
      <c r="C66" t="s">
        <v>209</v>
      </c>
      <c r="D66" s="86">
        <f t="shared" si="0"/>
        <v>5</v>
      </c>
      <c r="E66" s="215">
        <f>SUM((SUMIF($B$4:$B$34,Overall_AVG[[#This Row],[Baller]],$E$4:$E$34))/Overall_AVG[[#This Row],[Games Played]])</f>
        <v>4.2</v>
      </c>
      <c r="F66" s="215">
        <f>SUM((SUMIF($B$4:$B$34,Overall_AVG[[#This Row],[Baller]],$F$4:$F$34))/Overall_AVG[[#This Row],[Games Played]])</f>
        <v>5.8</v>
      </c>
      <c r="G66" s="203">
        <f>Overall_AVG[[#This Row],[Total FGM]]/Overall_AVG[[#This Row],[Total FGA]]</f>
        <v>0.72413793103448276</v>
      </c>
      <c r="H66" s="216">
        <f>SUM((SUMIF($B$4:$B$34,Overall_AVG[[#This Row],[Baller]],$H$4:$H$34))/Overall_AVG[[#This Row],[Games Played]])</f>
        <v>4.2</v>
      </c>
      <c r="I66" s="92">
        <f>SUM((SUMIF($B$4:$B$34,Overall_AVG[[#This Row],[Baller]],$I$4:$I$34))/Overall_AVG[[#This Row],[Games Played]])</f>
        <v>5.6</v>
      </c>
      <c r="J66" s="91">
        <f>Overall_AVG[[#This Row],[2PT FGM]]/Overall_AVG[[#This Row],[2PT FGA]]</f>
        <v>0.75000000000000011</v>
      </c>
      <c r="K66" s="92">
        <f>SUM((SUMIF($B$4:$B$34,Overall_AVG[[#This Row],[Baller]],$K$4:$K$34))/Overall_AVG[[#This Row],[Games Played]])</f>
        <v>0</v>
      </c>
      <c r="L66" s="92">
        <f>SUM((SUMIF($B$4:$B$34,Overall_AVG[[#This Row],[Baller]],$L$4:$L$34))/Overall_AVG[[#This Row],[Games Played]])</f>
        <v>0.2</v>
      </c>
      <c r="M66" s="91">
        <f>Overall_AVG[[#This Row],[3PT FGM]]/Overall_AVG[[#This Row],[3PT FGA]]</f>
        <v>0</v>
      </c>
      <c r="N66" s="92">
        <f>SUM((SUMIF($B$4:$B$34,Overall_AVG[[#This Row],[Baller]],$N$4:$N$34))/Overall_AVG[[#This Row],[Games Played]])</f>
        <v>0</v>
      </c>
      <c r="O66" s="92">
        <f>SUM((SUMIF($B$4:$B$34,Overall_AVG[[#This Row],[Baller]],$O$4:$O$34))/Overall_AVG[[#This Row],[Games Played]])</f>
        <v>0.2</v>
      </c>
      <c r="P66" s="99">
        <f>Overall_AVG[[#This Row],[FTM]]/Overall_AVG[[#This Row],[FTA]]</f>
        <v>0</v>
      </c>
      <c r="Q66" s="215">
        <f>SUM((SUMIF($B$4:$B$34,Overall_AVG[[#This Row],[Baller]],$Q$4:$Q$34))/Overall_AVG[[#This Row],[Games Played]])</f>
        <v>8.4</v>
      </c>
      <c r="R66" s="215">
        <f>SUM((SUMIF($B$4:$B$34,Overall_AVG[[#This Row],[Baller]],$R$4:$R$34))/Overall_AVG[[#This Row],[Games Played]])</f>
        <v>3.6</v>
      </c>
      <c r="S66" s="215">
        <f>SUM((SUMIF($B$4:$B$34,Overall_AVG[[#This Row],[Baller]],$S$4:$S$34))/Overall_AVG[[#This Row],[Games Played]])</f>
        <v>4.4000000000000004</v>
      </c>
      <c r="T66" s="215">
        <f>SUM((SUMIF($B$4:$B$34,Overall_AVG[[#This Row],[Baller]],$T$4:$T$34))/Overall_AVG[[#This Row],[Games Played]])</f>
        <v>2.4</v>
      </c>
      <c r="U66" s="215">
        <f>SUM((SUMIF($B$4:$B$34,Overall_AVG[[#This Row],[Baller]],$U$4:$U$34))/Overall_AVG[[#This Row],[Games Played]])</f>
        <v>6.8</v>
      </c>
      <c r="V66" s="215">
        <f>SUM((SUMIF($B$4:$B$34,Overall_AVG[[#This Row],[Baller]],$V$4:$V$34))/Overall_AVG[[#This Row],[Games Played]])</f>
        <v>1.2</v>
      </c>
      <c r="W66" s="215">
        <f>SUM((SUMIF($B$4:$B$34,Overall_AVG[[#This Row],[Baller]],$W$4:$W$34))/Overall_AVG[[#This Row],[Games Played]])</f>
        <v>1.2</v>
      </c>
      <c r="X66" s="215">
        <f>SUM((SUMIF($B$4:$B$34,Overall_AVG[[#This Row],[Baller]],$X$4:$X$34))/Overall_AVG[[#This Row],[Games Played]])</f>
        <v>0.8</v>
      </c>
      <c r="Y66" s="215">
        <f>SUM((SUMIF($B$4:$B$34,Overall_AVG[[#This Row],[Baller]],$Y$4:$Y$34))/Overall_AVG[[#This Row],[Games Played]])</f>
        <v>2</v>
      </c>
      <c r="Z66" s="204">
        <f>Overall_AVG[[#This Row],[Dimes]]/Overall_AVG[[#This Row],[Turnovers]]</f>
        <v>0.6</v>
      </c>
    </row>
    <row r="67" spans="1:26" ht="16" hidden="1" thickBot="1" x14ac:dyDescent="0.25">
      <c r="A67" s="14" t="s">
        <v>206</v>
      </c>
      <c r="B67" t="s">
        <v>207</v>
      </c>
      <c r="C67" t="s">
        <v>208</v>
      </c>
      <c r="D67" s="86">
        <f t="shared" si="0"/>
        <v>5</v>
      </c>
      <c r="E67" s="215">
        <f>SUM((SUMIF($B$4:$B$34,Overall_AVG[[#This Row],[Baller]],$E$4:$E$34))/Overall_AVG[[#This Row],[Games Played]])</f>
        <v>3.6</v>
      </c>
      <c r="F67" s="215">
        <f>SUM((SUMIF($B$4:$B$34,Overall_AVG[[#This Row],[Baller]],$F$4:$F$34))/Overall_AVG[[#This Row],[Games Played]])</f>
        <v>7.6</v>
      </c>
      <c r="G67" s="203">
        <f>Overall_AVG[[#This Row],[Total FGM]]/Overall_AVG[[#This Row],[Total FGA]]</f>
        <v>0.47368421052631582</v>
      </c>
      <c r="H67" s="217">
        <f>SUM((SUMIF($B$4:$B$34,Overall_AVG[[#This Row],[Baller]],$H$4:$H$34))/Overall_AVG[[#This Row],[Games Played]])</f>
        <v>2.8</v>
      </c>
      <c r="I67" s="218">
        <f>SUM((SUMIF($B$4:$B$34,Overall_AVG[[#This Row],[Baller]],$I$4:$I$34))/Overall_AVG[[#This Row],[Games Played]])</f>
        <v>4.4000000000000004</v>
      </c>
      <c r="J67" s="213">
        <f>Overall_AVG[[#This Row],[2PT FGM]]/Overall_AVG[[#This Row],[2PT FGA]]</f>
        <v>0.63636363636363624</v>
      </c>
      <c r="K67" s="218">
        <f>SUM((SUMIF($B$4:$B$34,Overall_AVG[[#This Row],[Baller]],$K$4:$K$34))/Overall_AVG[[#This Row],[Games Played]])</f>
        <v>0.8</v>
      </c>
      <c r="L67" s="218">
        <f>SUM((SUMIF($B$4:$B$34,Overall_AVG[[#This Row],[Baller]],$L$4:$L$34))/Overall_AVG[[#This Row],[Games Played]])</f>
        <v>3.2</v>
      </c>
      <c r="M67" s="213">
        <f>Overall_AVG[[#This Row],[3PT FGM]]/Overall_AVG[[#This Row],[3PT FGA]]</f>
        <v>0.25</v>
      </c>
      <c r="N67" s="218">
        <f>SUM((SUMIF($B$4:$B$34,Overall_AVG[[#This Row],[Baller]],$N$4:$N$34))/Overall_AVG[[#This Row],[Games Played]])</f>
        <v>0</v>
      </c>
      <c r="O67" s="218">
        <f>SUM((SUMIF($B$4:$B$34,Overall_AVG[[#This Row],[Baller]],$O$4:$O$34))/Overall_AVG[[#This Row],[Games Played]])</f>
        <v>0</v>
      </c>
      <c r="P67" s="214" t="e">
        <f>Overall_AVG[[#This Row],[FTM]]/Overall_AVG[[#This Row],[FTA]]</f>
        <v>#DIV/0!</v>
      </c>
      <c r="Q67" s="215">
        <f>SUM((SUMIF($B$4:$B$34,Overall_AVG[[#This Row],[Baller]],$Q$4:$Q$34))/Overall_AVG[[#This Row],[Games Played]])</f>
        <v>8</v>
      </c>
      <c r="R67" s="215">
        <f>SUM((SUMIF($B$4:$B$34,Overall_AVG[[#This Row],[Baller]],$R$4:$R$34))/Overall_AVG[[#This Row],[Games Played]])</f>
        <v>2</v>
      </c>
      <c r="S67" s="215">
        <f>SUM((SUMIF($B$4:$B$34,Overall_AVG[[#This Row],[Baller]],$S$4:$S$34))/Overall_AVG[[#This Row],[Games Played]])</f>
        <v>2.4</v>
      </c>
      <c r="T67" s="215">
        <f>SUM((SUMIF($B$4:$B$34,Overall_AVG[[#This Row],[Baller]],$T$4:$T$34))/Overall_AVG[[#This Row],[Games Played]])</f>
        <v>1.8</v>
      </c>
      <c r="U67" s="215">
        <f>SUM((SUMIF($B$4:$B$34,Overall_AVG[[#This Row],[Baller]],$U$4:$U$34))/Overall_AVG[[#This Row],[Games Played]])</f>
        <v>4.2</v>
      </c>
      <c r="V67" s="215">
        <f>SUM((SUMIF($B$4:$B$34,Overall_AVG[[#This Row],[Baller]],$V$4:$V$34))/Overall_AVG[[#This Row],[Games Played]])</f>
        <v>0.6</v>
      </c>
      <c r="W67" s="215">
        <f>SUM((SUMIF($B$4:$B$34,Overall_AVG[[#This Row],[Baller]],$W$4:$W$34))/Overall_AVG[[#This Row],[Games Played]])</f>
        <v>0.4</v>
      </c>
      <c r="X67" s="215">
        <f>SUM((SUMIF($B$4:$B$34,Overall_AVG[[#This Row],[Baller]],$X$4:$X$34))/Overall_AVG[[#This Row],[Games Played]])</f>
        <v>0.2</v>
      </c>
      <c r="Y67" s="215">
        <f>SUM((SUMIF($B$4:$B$34,Overall_AVG[[#This Row],[Baller]],$Y$4:$Y$34))/Overall_AVG[[#This Row],[Games Played]])</f>
        <v>1</v>
      </c>
      <c r="Z67" s="204">
        <f>Overall_AVG[[#This Row],[Dimes]]/Overall_AVG[[#This Row],[Turnovers]]</f>
        <v>0.6</v>
      </c>
    </row>
    <row r="68" spans="1:26" x14ac:dyDescent="0.2">
      <c r="A68" s="14" t="s">
        <v>55</v>
      </c>
      <c r="B68" t="s">
        <v>85</v>
      </c>
      <c r="C68" t="s">
        <v>209</v>
      </c>
      <c r="D68" s="86">
        <f t="shared" si="0"/>
        <v>2</v>
      </c>
      <c r="E68" s="215">
        <f>SUM((SUMIF($B$4:$B$34,Overall_AVG[[#This Row],[Baller]],$E$4:$E$34))/Overall_AVG[[#This Row],[Games Played]])</f>
        <v>2</v>
      </c>
      <c r="F68" s="215">
        <f>SUM((SUMIF($B$4:$B$34,Overall_AVG[[#This Row],[Baller]],$F$4:$F$34))/Overall_AVG[[#This Row],[Games Played]])</f>
        <v>4.5</v>
      </c>
      <c r="G68" s="203">
        <f>Overall_AVG[[#This Row],[Total FGM]]/Overall_AVG[[#This Row],[Total FGA]]</f>
        <v>0.44444444444444442</v>
      </c>
      <c r="H68" s="216">
        <f>SUM((SUMIF($B$4:$B$34,Overall_AVG[[#This Row],[Baller]],$H$4:$H$34))/Overall_AVG[[#This Row],[Games Played]])</f>
        <v>0.5</v>
      </c>
      <c r="I68" s="92">
        <f>SUM((SUMIF($B$4:$B$34,Overall_AVG[[#This Row],[Baller]],$I$4:$I$34))/Overall_AVG[[#This Row],[Games Played]])</f>
        <v>1.5</v>
      </c>
      <c r="J68" s="91">
        <f>Overall_AVG[[#This Row],[2PT FGM]]/Overall_AVG[[#This Row],[2PT FGA]]</f>
        <v>0.33333333333333331</v>
      </c>
      <c r="K68" s="92">
        <f>SUM((SUMIF($B$4:$B$34,Overall_AVG[[#This Row],[Baller]],$K$4:$K$34))/Overall_AVG[[#This Row],[Games Played]])</f>
        <v>1.5</v>
      </c>
      <c r="L68" s="92">
        <f>SUM((SUMIF($B$4:$B$34,Overall_AVG[[#This Row],[Baller]],$L$4:$L$34))/Overall_AVG[[#This Row],[Games Played]])</f>
        <v>3</v>
      </c>
      <c r="M68" s="91">
        <f>Overall_AVG[[#This Row],[3PT FGM]]/Overall_AVG[[#This Row],[3PT FGA]]</f>
        <v>0.5</v>
      </c>
      <c r="N68" s="92">
        <f>SUM((SUMIF($B$4:$B$34,Overall_AVG[[#This Row],[Baller]],$N$4:$N$34))/Overall_AVG[[#This Row],[Games Played]])</f>
        <v>0</v>
      </c>
      <c r="O68" s="92">
        <f>SUM((SUMIF($B$4:$B$34,Overall_AVG[[#This Row],[Baller]],$O$4:$O$34))/Overall_AVG[[#This Row],[Games Played]])</f>
        <v>0</v>
      </c>
      <c r="P68" s="99" t="e">
        <f>Overall_AVG[[#This Row],[FTM]]/Overall_AVG[[#This Row],[FTA]]</f>
        <v>#DIV/0!</v>
      </c>
      <c r="Q68" s="215">
        <f>SUM((SUMIF($B$4:$B$34,Overall_AVG[[#This Row],[Baller]],$Q$4:$Q$34))/Overall_AVG[[#This Row],[Games Played]])</f>
        <v>5.5</v>
      </c>
      <c r="R68" s="215">
        <f>SUM((SUMIF($B$4:$B$34,Overall_AVG[[#This Row],[Baller]],$R$4:$R$34))/Overall_AVG[[#This Row],[Games Played]])</f>
        <v>0</v>
      </c>
      <c r="S68" s="215">
        <f>SUM((SUMIF($B$4:$B$34,Overall_AVG[[#This Row],[Baller]],$S$4:$S$34))/Overall_AVG[[#This Row],[Games Played]])</f>
        <v>0.5</v>
      </c>
      <c r="T68" s="215">
        <f>SUM((SUMIF($B$4:$B$34,Overall_AVG[[#This Row],[Baller]],$T$4:$T$34))/Overall_AVG[[#This Row],[Games Played]])</f>
        <v>0.5</v>
      </c>
      <c r="U68" s="215">
        <f>SUM((SUMIF($B$4:$B$34,Overall_AVG[[#This Row],[Baller]],$U$4:$U$34))/Overall_AVG[[#This Row],[Games Played]])</f>
        <v>1</v>
      </c>
      <c r="V68" s="215">
        <f>SUM((SUMIF($B$4:$B$34,Overall_AVG[[#This Row],[Baller]],$V$4:$V$34))/Overall_AVG[[#This Row],[Games Played]])</f>
        <v>0</v>
      </c>
      <c r="W68" s="215">
        <f>SUM((SUMIF($B$4:$B$34,Overall_AVG[[#This Row],[Baller]],$W$4:$W$34))/Overall_AVG[[#This Row],[Games Played]])</f>
        <v>0.5</v>
      </c>
      <c r="X68" s="215">
        <f>SUM((SUMIF($B$4:$B$34,Overall_AVG[[#This Row],[Baller]],$X$4:$X$34))/Overall_AVG[[#This Row],[Games Played]])</f>
        <v>0</v>
      </c>
      <c r="Y68" s="215">
        <f>SUM((SUMIF($B$4:$B$34,Overall_AVG[[#This Row],[Baller]],$Y$4:$Y$34))/Overall_AVG[[#This Row],[Games Played]])</f>
        <v>1</v>
      </c>
      <c r="Z68" s="204">
        <f>Overall_AVG[[#This Row],[Dimes]]/Overall_AVG[[#This Row],[Turnovers]]</f>
        <v>0</v>
      </c>
    </row>
    <row r="71" spans="1:26" x14ac:dyDescent="0.2">
      <c r="J71" s="87"/>
      <c r="N71" s="13"/>
      <c r="O71"/>
    </row>
  </sheetData>
  <pageMargins left="0.7" right="0.7" top="0.75" bottom="0.75" header="0.3" footer="0.3"/>
  <tableParts count="2">
    <tablePart r:id="rId1"/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F07C-B906-4563-947B-02B0914F7B5A}">
  <sheetPr>
    <tabColor theme="1"/>
  </sheetPr>
  <dimension ref="A1:X25"/>
  <sheetViews>
    <sheetView showGridLines="0" zoomScale="95" zoomScaleNormal="95" workbookViewId="0">
      <selection activeCell="H38" sqref="H38"/>
    </sheetView>
  </sheetViews>
  <sheetFormatPr baseColWidth="10" defaultColWidth="8.83203125" defaultRowHeight="15" x14ac:dyDescent="0.2"/>
  <cols>
    <col min="1" max="1" width="25.5" customWidth="1"/>
    <col min="2" max="2" width="15.5" customWidth="1"/>
    <col min="3" max="3" width="12.33203125" customWidth="1"/>
    <col min="4" max="4" width="11.6640625" customWidth="1"/>
    <col min="5" max="5" width="14" customWidth="1"/>
    <col min="6" max="6" width="11" customWidth="1"/>
    <col min="7" max="7" width="10.5" customWidth="1"/>
    <col min="8" max="8" width="10.6640625" customWidth="1"/>
    <col min="9" max="9" width="11" customWidth="1"/>
    <col min="10" max="10" width="10.5" customWidth="1"/>
    <col min="11" max="11" width="10.6640625" customWidth="1"/>
    <col min="15" max="15" width="11.83203125" customWidth="1"/>
    <col min="17" max="17" width="13.5" customWidth="1"/>
    <col min="18" max="18" width="13.1640625" customWidth="1"/>
    <col min="19" max="19" width="11.5" customWidth="1"/>
    <col min="21" max="21" width="10.1640625" customWidth="1"/>
    <col min="23" max="23" width="12.33203125" customWidth="1"/>
    <col min="24" max="24" width="11.6640625" customWidth="1"/>
  </cols>
  <sheetData>
    <row r="1" spans="1:24" x14ac:dyDescent="0.2">
      <c r="A1" t="s">
        <v>153</v>
      </c>
    </row>
    <row r="2" spans="1:24" ht="16" thickBot="1" x14ac:dyDescent="0.25">
      <c r="A2" s="121" t="s">
        <v>75</v>
      </c>
      <c r="B2" s="121"/>
      <c r="C2" s="121"/>
      <c r="D2" s="122"/>
      <c r="E2" s="121"/>
      <c r="F2" s="121"/>
      <c r="G2" s="122"/>
      <c r="H2" s="121"/>
      <c r="I2" s="121"/>
      <c r="J2" s="122"/>
      <c r="K2" s="121"/>
      <c r="L2" s="121"/>
      <c r="M2" s="122"/>
      <c r="N2" s="121"/>
      <c r="O2" s="121"/>
      <c r="P2" s="121"/>
      <c r="Q2" s="121"/>
      <c r="R2" s="121"/>
      <c r="S2" s="121"/>
      <c r="T2" s="121"/>
      <c r="U2" s="121"/>
      <c r="V2" s="121"/>
      <c r="W2" s="122"/>
      <c r="X2" s="121"/>
    </row>
    <row r="3" spans="1:24" ht="16" x14ac:dyDescent="0.2">
      <c r="A3" s="123" t="s">
        <v>23</v>
      </c>
      <c r="B3" s="123" t="s">
        <v>138</v>
      </c>
      <c r="C3" s="54" t="s">
        <v>0</v>
      </c>
      <c r="D3" s="54" t="s">
        <v>1</v>
      </c>
      <c r="E3" s="88" t="s">
        <v>2</v>
      </c>
      <c r="F3" s="110" t="s">
        <v>3</v>
      </c>
      <c r="G3" s="111" t="s">
        <v>4</v>
      </c>
      <c r="H3" s="112" t="s">
        <v>5</v>
      </c>
      <c r="I3" s="111" t="s">
        <v>6</v>
      </c>
      <c r="J3" s="111" t="s">
        <v>7</v>
      </c>
      <c r="K3" s="112" t="s">
        <v>8</v>
      </c>
      <c r="L3" s="111" t="s">
        <v>9</v>
      </c>
      <c r="M3" s="111" t="s">
        <v>10</v>
      </c>
      <c r="N3" s="113" t="s">
        <v>11</v>
      </c>
      <c r="O3" s="54" t="s">
        <v>12</v>
      </c>
      <c r="P3" s="54" t="s">
        <v>13</v>
      </c>
      <c r="Q3" s="54" t="s">
        <v>14</v>
      </c>
      <c r="R3" s="54" t="s">
        <v>15</v>
      </c>
      <c r="S3" s="54" t="s">
        <v>16</v>
      </c>
      <c r="T3" s="54" t="s">
        <v>17</v>
      </c>
      <c r="U3" s="54" t="s">
        <v>18</v>
      </c>
      <c r="V3" s="54" t="s">
        <v>19</v>
      </c>
      <c r="W3" s="54" t="s">
        <v>20</v>
      </c>
      <c r="X3" s="88" t="s">
        <v>21</v>
      </c>
    </row>
    <row r="4" spans="1:24" x14ac:dyDescent="0.2">
      <c r="A4" s="164" t="s">
        <v>208</v>
      </c>
      <c r="B4" s="86">
        <f>SUMIF(RR_TEAM_TOT[[#All],[Team]],OVERALL_TEAM_TOT[[#This Row],[Team]],RR_TEAM_TOT[[#All],[Games Played]])+SUMIF(PO_TEAM_TOT[[#All],[Team]],OVERALL_TEAM_TOT[[#This Row],[Team]],PO_TEAM_TOT[[#All],[Games Played]])</f>
        <v>5</v>
      </c>
      <c r="C4" s="194">
        <f>SUMIF(Overall!$C$3:$C$34,A4,Overall!$E$3:$E$34)</f>
        <v>61</v>
      </c>
      <c r="D4" s="194">
        <f>SUMIF(Overall!$C$3:$C$34,A4,Overall!$F$3:$F$34)</f>
        <v>164</v>
      </c>
      <c r="E4" s="195">
        <f>OVERALL_TEAM_TOT[[#This Row],[Total FGM]]/OVERALL_TEAM_TOT[[#This Row],[Total FGA]]</f>
        <v>0.37195121951219512</v>
      </c>
      <c r="F4" s="196">
        <f>SUMIF(Overall!$C$3:$C$34,A4,Overall!$H$3:$H$34)</f>
        <v>36</v>
      </c>
      <c r="G4" s="197">
        <f>SUMIF(Overall!$C$3:$C$34,A4,Overall!$I$3:$I$34)</f>
        <v>76</v>
      </c>
      <c r="H4" s="198">
        <f>OVERALL_TEAM_TOT[[#This Row],[2PT FGM]]/OVERALL_TEAM_TOT[[#This Row],[2PT FGA]]</f>
        <v>0.47368421052631576</v>
      </c>
      <c r="I4" s="197">
        <f>SUMIF(Overall!$C$3:$C$34,A4,Overall!$K$3:$K$34)</f>
        <v>25</v>
      </c>
      <c r="J4" s="197">
        <f>SUMIF(Overall!$C$3:$C$34,A4,Overall!$L$3:$L$34)</f>
        <v>88</v>
      </c>
      <c r="K4" s="198">
        <f>OVERALL_TEAM_TOT[[#This Row],[3PT FGM]]/OVERALL_TEAM_TOT[[#This Row],[3PT FGA]]</f>
        <v>0.28409090909090912</v>
      </c>
      <c r="L4" s="197">
        <f>SUMIF(Overall!$C$3:$C$34,A4,Overall!$N$3:$N$34)</f>
        <v>2</v>
      </c>
      <c r="M4" s="197">
        <f>SUMIF(Overall!$C$3:$C$34,A4,Overall!$O$3:$O$34)</f>
        <v>2</v>
      </c>
      <c r="N4" s="199">
        <f>OVERALL_TEAM_TOT[[#This Row],[FTM]]/OVERALL_TEAM_TOT[[#This Row],[FTA]]</f>
        <v>1</v>
      </c>
      <c r="O4" s="194">
        <f>SUMIF(Overall!$C$3:$C$34,A4,Overall!$Q$3:$Q$34)</f>
        <v>149</v>
      </c>
      <c r="P4" s="194">
        <f>SUMIF(Overall!$C$3:$C$34,A4,Overall!$R$3:$R$34)</f>
        <v>12</v>
      </c>
      <c r="Q4" s="194">
        <f>SUMIF(Overall!$C$3:$C$34,A4,Overall!$S$3:$S$34)</f>
        <v>50</v>
      </c>
      <c r="R4" s="194">
        <f>SUMIF(Overall!$C$3:$C$34,A4,Overall!$T$3:$T$34)</f>
        <v>26</v>
      </c>
      <c r="S4" s="194">
        <f>SUMIF(Overall!$C$3:$C$34,A4,Overall!$U$3:$U$34)</f>
        <v>76</v>
      </c>
      <c r="T4" s="194">
        <f>SUMIF(Overall!$C$3:$C$34,A4,Overall!$V$3:$V$34)</f>
        <v>38</v>
      </c>
      <c r="U4" s="194">
        <f>SUMIF(Overall!$C$3:$C$34,A4,Overall!$W$3:$W$34)</f>
        <v>21</v>
      </c>
      <c r="V4" s="194">
        <f>SUMIF(Overall!$C$3:$C$34,A4,Overall!$X$3:$X$34)</f>
        <v>5</v>
      </c>
      <c r="W4" s="194">
        <f>SUMIF(Overall!$C$3:$C$34,A4,Overall!$Y$3:$Y$34)</f>
        <v>29</v>
      </c>
      <c r="X4" s="169">
        <f>OVERALL_TEAM_TOT[[#This Row],[Dimes]]/OVERALL_TEAM_TOT[[#This Row],[Turnovers]]</f>
        <v>1.3103448275862069</v>
      </c>
    </row>
    <row r="5" spans="1:24" x14ac:dyDescent="0.2">
      <c r="A5" s="164" t="s">
        <v>209</v>
      </c>
      <c r="B5" s="86">
        <f>SUMIF(RR_TEAM_TOT[[#All],[Team]],OVERALL_TEAM_TOT[[#This Row],[Team]],RR_TEAM_TOT[[#All],[Games Played]])+SUMIF(PO_TEAM_TOT[[#All],[Team]],OVERALL_TEAM_TOT[[#This Row],[Team]],PO_TEAM_TOT[[#All],[Games Played]])</f>
        <v>5</v>
      </c>
      <c r="C5" s="194">
        <f>SUMIF(Overall!$C$3:$C$34,A5,Overall!$E$3:$E$34)</f>
        <v>81</v>
      </c>
      <c r="D5" s="194">
        <f>SUMIF(Overall!$C$3:$C$34,A5,Overall!$F$3:$F$34)</f>
        <v>172</v>
      </c>
      <c r="E5" s="195">
        <f>OVERALL_TEAM_TOT[[#This Row],[Total FGM]]/OVERALL_TEAM_TOT[[#This Row],[Total FGA]]</f>
        <v>0.47093023255813954</v>
      </c>
      <c r="F5" s="196">
        <f>SUMIF(Overall!$C$3:$C$34,A5,Overall!$H$3:$H$34)</f>
        <v>52</v>
      </c>
      <c r="G5" s="197">
        <f>SUMIF(Overall!$C$3:$C$34,A5,Overall!$I$3:$I$34)</f>
        <v>82</v>
      </c>
      <c r="H5" s="198">
        <f>OVERALL_TEAM_TOT[[#This Row],[2PT FGM]]/OVERALL_TEAM_TOT[[#This Row],[2PT FGA]]</f>
        <v>0.63414634146341464</v>
      </c>
      <c r="I5" s="197">
        <f>SUMIF(Overall!$C$3:$C$34,A5,Overall!$K$3:$K$34)</f>
        <v>29</v>
      </c>
      <c r="J5" s="197">
        <f>SUMIF(Overall!$C$3:$C$34,A5,Overall!$L$3:$L$34)</f>
        <v>90</v>
      </c>
      <c r="K5" s="198">
        <f>OVERALL_TEAM_TOT[[#This Row],[3PT FGM]]/OVERALL_TEAM_TOT[[#This Row],[3PT FGA]]</f>
        <v>0.32222222222222224</v>
      </c>
      <c r="L5" s="197">
        <f>SUMIF(Overall!$C$3:$C$34,A5,Overall!$N$3:$N$34)</f>
        <v>1</v>
      </c>
      <c r="M5" s="197">
        <f>SUMIF(Overall!$C$3:$C$34,A5,Overall!$O$3:$O$34)</f>
        <v>2</v>
      </c>
      <c r="N5" s="199">
        <f>OVERALL_TEAM_TOT[[#This Row],[FTM]]/OVERALL_TEAM_TOT[[#This Row],[FTA]]</f>
        <v>0.5</v>
      </c>
      <c r="O5" s="194">
        <f>SUMIF(Overall!$C$3:$C$34,A5,Overall!$Q$3:$Q$34)</f>
        <v>192</v>
      </c>
      <c r="P5" s="194">
        <f>SUMIF(Overall!$C$3:$C$34,A5,Overall!$R$3:$R$34)</f>
        <v>21</v>
      </c>
      <c r="Q5" s="194">
        <f>SUMIF(Overall!$C$3:$C$34,A5,Overall!$S$3:$S$34)</f>
        <v>80</v>
      </c>
      <c r="R5" s="194">
        <f>SUMIF(Overall!$C$3:$C$34,A5,Overall!$T$3:$T$34)</f>
        <v>21</v>
      </c>
      <c r="S5" s="194">
        <f>SUMIF(Overall!$C$3:$C$34,A5,Overall!$U$3:$U$34)</f>
        <v>101</v>
      </c>
      <c r="T5" s="194">
        <f>SUMIF(Overall!$C$3:$C$34,A5,Overall!$V$3:$V$34)</f>
        <v>62</v>
      </c>
      <c r="U5" s="194">
        <f>SUMIF(Overall!$C$3:$C$34,A5,Overall!$W$3:$W$34)</f>
        <v>24</v>
      </c>
      <c r="V5" s="194">
        <f>SUMIF(Overall!$C$3:$C$34,A5,Overall!$X$3:$X$34)</f>
        <v>11</v>
      </c>
      <c r="W5" s="194">
        <f>SUMIF(Overall!$C$3:$C$34,A5,Overall!$Y$3:$Y$34)</f>
        <v>32</v>
      </c>
      <c r="X5" s="169">
        <f>OVERALL_TEAM_TOT[[#This Row],[Dimes]]/OVERALL_TEAM_TOT[[#This Row],[Turnovers]]</f>
        <v>1.9375</v>
      </c>
    </row>
    <row r="6" spans="1:24" hidden="1" x14ac:dyDescent="0.2">
      <c r="A6" s="164"/>
      <c r="B6" s="86">
        <f>SUMIF(RR_TEAM_TOT[[#All],[Team]],OVERALL_TEAM_TOT[[#This Row],[Team]],RR_TEAM_TOT[[#All],[Games Played]])+SUMIF(PO_TEAM_TOT[[#All],[Team]],OVERALL_TEAM_TOT[[#This Row],[Team]],PO_TEAM_TOT[[#All],[Games Played]])</f>
        <v>0</v>
      </c>
      <c r="C6" s="194">
        <f>SUMIF(Overall!$C$3:$C$34,A6,Overall!$E$3:$E$34)</f>
        <v>0</v>
      </c>
      <c r="D6" s="194">
        <f>SUMIF(Overall!$C$3:$C$34,A6,Overall!$F$3:$F$34)</f>
        <v>0</v>
      </c>
      <c r="E6" s="195" t="e">
        <f>OVERALL_TEAM_TOT[[#This Row],[Total FGM]]/OVERALL_TEAM_TOT[[#This Row],[Total FGA]]</f>
        <v>#DIV/0!</v>
      </c>
      <c r="F6" s="196">
        <f>SUMIF(Overall!$C$3:$C$34,A6,Overall!$H$3:$H$34)</f>
        <v>0</v>
      </c>
      <c r="G6" s="197">
        <f>SUMIF(Overall!$C$3:$C$34,A6,Overall!$I$3:$I$34)</f>
        <v>0</v>
      </c>
      <c r="H6" s="198" t="e">
        <f>OVERALL_TEAM_TOT[[#This Row],[2PT FGM]]/OVERALL_TEAM_TOT[[#This Row],[2PT FGA]]</f>
        <v>#DIV/0!</v>
      </c>
      <c r="I6" s="197">
        <f>SUMIF(Overall!$C$3:$C$34,A6,Overall!$K$3:$K$34)</f>
        <v>0</v>
      </c>
      <c r="J6" s="197">
        <f>SUMIF(Overall!$C$3:$C$34,A6,Overall!$L$3:$L$34)</f>
        <v>0</v>
      </c>
      <c r="K6" s="198" t="e">
        <f>OVERALL_TEAM_TOT[[#This Row],[3PT FGM]]/OVERALL_TEAM_TOT[[#This Row],[3PT FGA]]</f>
        <v>#DIV/0!</v>
      </c>
      <c r="L6" s="197">
        <f>SUMIF(Overall!$C$3:$C$34,A6,Overall!$N$3:$N$34)</f>
        <v>0</v>
      </c>
      <c r="M6" s="197">
        <f>SUMIF(Overall!$C$3:$C$34,A6,Overall!$O$3:$O$34)</f>
        <v>0</v>
      </c>
      <c r="N6" s="199" t="e">
        <f>OVERALL_TEAM_TOT[[#This Row],[FTM]]/OVERALL_TEAM_TOT[[#This Row],[FTA]]</f>
        <v>#DIV/0!</v>
      </c>
      <c r="O6" s="194">
        <f>SUMIF(Overall!$C$3:$C$34,A6,Overall!$Q$3:$Q$34)</f>
        <v>0</v>
      </c>
      <c r="P6" s="194">
        <f>SUMIF(Overall!$C$3:$C$34,A6,Overall!$R$3:$R$34)</f>
        <v>0</v>
      </c>
      <c r="Q6" s="194">
        <f>SUMIF(Overall!$C$3:$C$34,A6,Overall!$S$3:$S$34)</f>
        <v>0</v>
      </c>
      <c r="R6" s="194">
        <f>SUMIF(Overall!$C$3:$C$34,A6,Overall!$T$3:$T$34)</f>
        <v>0</v>
      </c>
      <c r="S6" s="194">
        <f>SUMIF(Overall!$C$3:$C$34,A6,Overall!$U$3:$U$34)</f>
        <v>0</v>
      </c>
      <c r="T6" s="194">
        <f>SUMIF(Overall!$C$3:$C$34,A6,Overall!$V$3:$V$34)</f>
        <v>0</v>
      </c>
      <c r="U6" s="194">
        <f>SUMIF(Overall!$C$3:$C$34,A6,Overall!$W$3:$W$34)</f>
        <v>0</v>
      </c>
      <c r="V6" s="194">
        <f>SUMIF(Overall!$C$3:$C$34,A6,Overall!$X$3:$X$34)</f>
        <v>0</v>
      </c>
      <c r="W6" s="194">
        <f>SUMIF(Overall!$C$3:$C$34,A6,Overall!$Y$3:$Y$34)</f>
        <v>0</v>
      </c>
      <c r="X6" s="169" t="e">
        <f>OVERALL_TEAM_TOT[[#This Row],[Dimes]]/OVERALL_TEAM_TOT[[#This Row],[Turnovers]]</f>
        <v>#DIV/0!</v>
      </c>
    </row>
    <row r="7" spans="1:24" hidden="1" x14ac:dyDescent="0.2">
      <c r="A7" s="164"/>
      <c r="B7" s="86">
        <f>SUMIF(RR_TEAM_TOT[[#All],[Team]],OVERALL_TEAM_TOT[[#This Row],[Team]],RR_TEAM_TOT[[#All],[Games Played]])+SUMIF(PO_TEAM_TOT[[#All],[Team]],OVERALL_TEAM_TOT[[#This Row],[Team]],PO_TEAM_TOT[[#All],[Games Played]])</f>
        <v>0</v>
      </c>
      <c r="C7" s="194">
        <f>SUMIF(Overall!$C$3:$C$34,A7,Overall!$E$3:$E$34)</f>
        <v>0</v>
      </c>
      <c r="D7" s="194">
        <f>SUMIF(Overall!$C$3:$C$34,A7,Overall!$F$3:$F$34)</f>
        <v>0</v>
      </c>
      <c r="E7" s="195" t="e">
        <f>OVERALL_TEAM_TOT[[#This Row],[Total FGM]]/OVERALL_TEAM_TOT[[#This Row],[Total FGA]]</f>
        <v>#DIV/0!</v>
      </c>
      <c r="F7" s="196">
        <f>SUMIF(Overall!$C$3:$C$34,A7,Overall!$H$3:$H$34)</f>
        <v>0</v>
      </c>
      <c r="G7" s="197">
        <f>SUMIF(Overall!$C$3:$C$34,A7,Overall!$I$3:$I$34)</f>
        <v>0</v>
      </c>
      <c r="H7" s="198" t="e">
        <f>OVERALL_TEAM_TOT[[#This Row],[2PT FGM]]/OVERALL_TEAM_TOT[[#This Row],[2PT FGA]]</f>
        <v>#DIV/0!</v>
      </c>
      <c r="I7" s="197">
        <f>SUMIF(Overall!$C$3:$C$34,A7,Overall!$K$3:$K$34)</f>
        <v>0</v>
      </c>
      <c r="J7" s="197">
        <f>SUMIF(Overall!$C$3:$C$34,A7,Overall!$L$3:$L$34)</f>
        <v>0</v>
      </c>
      <c r="K7" s="198" t="e">
        <f>OVERALL_TEAM_TOT[[#This Row],[3PT FGM]]/OVERALL_TEAM_TOT[[#This Row],[3PT FGA]]</f>
        <v>#DIV/0!</v>
      </c>
      <c r="L7" s="197">
        <f>SUMIF(Overall!$C$3:$C$34,A7,Overall!$N$3:$N$34)</f>
        <v>0</v>
      </c>
      <c r="M7" s="197">
        <f>SUMIF(Overall!$C$3:$C$34,A7,Overall!$O$3:$O$34)</f>
        <v>0</v>
      </c>
      <c r="N7" s="199" t="e">
        <f>OVERALL_TEAM_TOT[[#This Row],[FTM]]/OVERALL_TEAM_TOT[[#This Row],[FTA]]</f>
        <v>#DIV/0!</v>
      </c>
      <c r="O7" s="194">
        <f>SUMIF(Overall!$C$3:$C$34,A7,Overall!$Q$3:$Q$34)</f>
        <v>0</v>
      </c>
      <c r="P7" s="194">
        <f>SUMIF(Overall!$C$3:$C$34,A7,Overall!$R$3:$R$34)</f>
        <v>0</v>
      </c>
      <c r="Q7" s="194">
        <f>SUMIF(Overall!$C$3:$C$34,A7,Overall!$S$3:$S$34)</f>
        <v>0</v>
      </c>
      <c r="R7" s="194">
        <f>SUMIF(Overall!$C$3:$C$34,A7,Overall!$T$3:$T$34)</f>
        <v>0</v>
      </c>
      <c r="S7" s="194">
        <f>SUMIF(Overall!$C$3:$C$34,A7,Overall!$U$3:$U$34)</f>
        <v>0</v>
      </c>
      <c r="T7" s="194">
        <f>SUMIF(Overall!$C$3:$C$34,A7,Overall!$V$3:$V$34)</f>
        <v>0</v>
      </c>
      <c r="U7" s="194">
        <f>SUMIF(Overall!$C$3:$C$34,A7,Overall!$W$3:$W$34)</f>
        <v>0</v>
      </c>
      <c r="V7" s="194">
        <f>SUMIF(Overall!$C$3:$C$34,A7,Overall!$X$3:$X$34)</f>
        <v>0</v>
      </c>
      <c r="W7" s="194">
        <f>SUMIF(Overall!$C$3:$C$34,A7,Overall!$Y$3:$Y$34)</f>
        <v>0</v>
      </c>
      <c r="X7" s="169" t="e">
        <f>OVERALL_TEAM_TOT[[#This Row],[Dimes]]/OVERALL_TEAM_TOT[[#This Row],[Turnovers]]</f>
        <v>#DIV/0!</v>
      </c>
    </row>
    <row r="8" spans="1:24" hidden="1" x14ac:dyDescent="0.2">
      <c r="A8" s="58"/>
      <c r="B8" s="86"/>
      <c r="C8" s="86">
        <f>SUMIF(Overall!$C$3:$C$34,A8,Overall!$E$3:$E$34)</f>
        <v>0</v>
      </c>
      <c r="D8" s="86">
        <f>SUMIF(Overall!$C$3:$C$34,A8,Overall!$F$3:$F$34)</f>
        <v>0</v>
      </c>
      <c r="E8" s="124" t="e">
        <f>OVERALL_TEAM_TOT[[#This Row],[Total FGM]]/OVERALL_TEAM_TOT[[#This Row],[Total FGA]]</f>
        <v>#DIV/0!</v>
      </c>
      <c r="F8" s="126">
        <f>SUMIF(Overall!$C$3:$C$34,A8,Overall!$H$3:$H$34)</f>
        <v>0</v>
      </c>
      <c r="G8" s="127">
        <f>SUMIF(Overall!$C$3:$C$34,A8,Overall!$I$3:$I$34)</f>
        <v>0</v>
      </c>
      <c r="H8" s="128" t="e">
        <f>OVERALL_TEAM_TOT[[#This Row],[2PT FGM]]/OVERALL_TEAM_TOT[[#This Row],[2PT FGA]]</f>
        <v>#DIV/0!</v>
      </c>
      <c r="I8" s="127">
        <f>SUMIF(Overall!$C$3:$C$34,A8,Overall!$K$3:$K$34)</f>
        <v>0</v>
      </c>
      <c r="J8" s="127">
        <f>SUMIF(Overall!$C$3:$C$34,A8,Overall!$L$3:$L$34)</f>
        <v>0</v>
      </c>
      <c r="K8" s="128" t="e">
        <f>OVERALL_TEAM_TOT[[#This Row],[3PT FGM]]/OVERALL_TEAM_TOT[[#This Row],[3PT FGA]]</f>
        <v>#DIV/0!</v>
      </c>
      <c r="L8" s="127">
        <f>SUMIF(Overall!$C$3:$C$34,A8,Overall!$N$3:$N$34)</f>
        <v>0</v>
      </c>
      <c r="M8" s="127">
        <f>SUMIF(Overall!$C$3:$C$34,A8,Overall!$O$3:$O$34)</f>
        <v>0</v>
      </c>
      <c r="N8" s="129" t="e">
        <f>OVERALL_TEAM_TOT[[#This Row],[FTM]]/OVERALL_TEAM_TOT[[#This Row],[FTA]]</f>
        <v>#DIV/0!</v>
      </c>
      <c r="O8" s="86">
        <f>SUMIF(Overall!$C$3:$C$34,A8,Overall!$Q$3:$Q$34)</f>
        <v>0</v>
      </c>
      <c r="P8" s="86">
        <f>SUMIF(Overall!$C$3:$C$34,A8,Overall!$R$3:$R$34)</f>
        <v>0</v>
      </c>
      <c r="Q8" s="86">
        <f>SUMIF(Overall!$C$3:$C$34,A8,Overall!$S$3:$S$34)</f>
        <v>0</v>
      </c>
      <c r="R8" s="86">
        <f>SUMIF(Overall!$C$3:$C$34,A8,Overall!$T$3:$T$34)</f>
        <v>0</v>
      </c>
      <c r="S8" s="86">
        <f>SUMIF(Overall!$C$3:$C$34,A8,Overall!$U$3:$U$34)</f>
        <v>0</v>
      </c>
      <c r="T8" s="86">
        <f>SUMIF(Overall!$C$3:$C$34,A8,Overall!$V$3:$V$34)</f>
        <v>0</v>
      </c>
      <c r="U8" s="86">
        <f>SUMIF(Overall!$C$3:$C$34,A8,Overall!$W$3:$W$34)</f>
        <v>0</v>
      </c>
      <c r="V8" s="86">
        <f>SUMIF(Overall!$C$3:$C$34,A8,Overall!$X$3:$X$34)</f>
        <v>0</v>
      </c>
      <c r="W8" s="86">
        <f>SUMIF(Overall!$C$3:$C$34,A8,Overall!$Y$3:$Y$34)</f>
        <v>0</v>
      </c>
      <c r="X8" s="125" t="e">
        <f>OVERALL_TEAM_TOT[[#This Row],[Dimes]]/OVERALL_TEAM_TOT[[#This Row],[Turnovers]]</f>
        <v>#DIV/0!</v>
      </c>
    </row>
    <row r="9" spans="1:24" ht="16" thickBot="1" x14ac:dyDescent="0.25">
      <c r="B9" s="86"/>
      <c r="C9" s="86">
        <f>SUBTOTAL(109,OVERALL_TEAM_TOT[Total FGM])</f>
        <v>142</v>
      </c>
      <c r="D9" s="86">
        <f>SUBTOTAL(109,OVERALL_TEAM_TOT[Total FGA])</f>
        <v>336</v>
      </c>
      <c r="E9" s="132">
        <f>OVERALL_TEAM_TOT[[#Totals],[Total FGM]]/OVERALL_TEAM_TOT[[#Totals],[Total FGA]]</f>
        <v>0.42261904761904762</v>
      </c>
      <c r="F9" s="143">
        <f>SUBTOTAL(109,OVERALL_TEAM_TOT[2PT FGM])</f>
        <v>88</v>
      </c>
      <c r="G9" s="144">
        <f>SUBTOTAL(109,OVERALL_TEAM_TOT[2PT FGA])</f>
        <v>158</v>
      </c>
      <c r="H9" s="145">
        <f>OVERALL_TEAM_TOT[[#Totals],[2PT FGM]]/OVERALL_TEAM_TOT[[#Totals],[2PT FGA]]</f>
        <v>0.55696202531645567</v>
      </c>
      <c r="I9" s="144">
        <f>SUBTOTAL(109,OVERALL_TEAM_TOT[3PT FGM])</f>
        <v>54</v>
      </c>
      <c r="J9" s="144">
        <f>SUBTOTAL(109,OVERALL_TEAM_TOT[3PT FGA])</f>
        <v>178</v>
      </c>
      <c r="K9" s="145">
        <f>OVERALL_TEAM_TOT[[#Totals],[3PT FGM]]/OVERALL_TEAM_TOT[[#Totals],[3PT FGA]]</f>
        <v>0.30337078651685395</v>
      </c>
      <c r="L9" s="144">
        <f>SUBTOTAL(109,OVERALL_TEAM_TOT[FTM])</f>
        <v>3</v>
      </c>
      <c r="M9" s="144">
        <f>SUBTOTAL(109,OVERALL_TEAM_TOT[FTA])</f>
        <v>4</v>
      </c>
      <c r="N9" s="146">
        <f>OVERALL_TEAM_TOT[[#Totals],[FTM]]/OVERALL_TEAM_TOT[[#Totals],[FTA]]</f>
        <v>0.75</v>
      </c>
      <c r="O9" s="86">
        <f>SUBTOTAL(109,OVERALL_TEAM_TOT[TOTAL POINTS])</f>
        <v>341</v>
      </c>
      <c r="P9" s="86">
        <f>SUBTOTAL(109,OVERALL_TEAM_TOT[Dunks])</f>
        <v>33</v>
      </c>
      <c r="Q9" s="86">
        <f>SUBTOTAL(109,OVERALL_TEAM_TOT[Def. Boards])</f>
        <v>130</v>
      </c>
      <c r="R9" s="86">
        <f>SUBTOTAL(109,OVERALL_TEAM_TOT[Off. Boards])</f>
        <v>47</v>
      </c>
      <c r="S9" s="86">
        <f>SUBTOTAL(109,OVERALL_TEAM_TOT[Total Boards])</f>
        <v>177</v>
      </c>
      <c r="T9" s="86">
        <f>SUBTOTAL(109,OVERALL_TEAM_TOT[Dimes])</f>
        <v>100</v>
      </c>
      <c r="U9" s="86">
        <f>SUBTOTAL(109,OVERALL_TEAM_TOT[Cookies])</f>
        <v>45</v>
      </c>
      <c r="V9" s="86">
        <f>SUBTOTAL(109,OVERALL_TEAM_TOT[Swats])</f>
        <v>16</v>
      </c>
      <c r="W9" s="86">
        <f>SUBTOTAL(109,OVERALL_TEAM_TOT[Turnovers])</f>
        <v>61</v>
      </c>
      <c r="X9" s="125">
        <f>OVERALL_TEAM_TOT[[#Totals],[Dimes]]/OVERALL_TEAM_TOT[[#Totals],[Turnovers]]</f>
        <v>1.639344262295082</v>
      </c>
    </row>
    <row r="12" spans="1:24" ht="16" thickBot="1" x14ac:dyDescent="0.25">
      <c r="A12" s="134" t="s">
        <v>139</v>
      </c>
      <c r="B12" s="134"/>
      <c r="C12" s="134"/>
      <c r="D12" s="135"/>
      <c r="E12" s="134"/>
      <c r="F12" s="134"/>
      <c r="G12" s="135"/>
      <c r="H12" s="134"/>
      <c r="I12" s="134"/>
      <c r="J12" s="135"/>
      <c r="K12" s="134"/>
      <c r="L12" s="134"/>
      <c r="M12" s="135"/>
      <c r="N12" s="134"/>
      <c r="O12" s="134"/>
      <c r="P12" s="134"/>
      <c r="Q12" s="134"/>
      <c r="R12" s="134"/>
      <c r="S12" s="134"/>
      <c r="T12" s="134"/>
      <c r="U12" s="134"/>
      <c r="V12" s="134"/>
      <c r="W12" s="135"/>
      <c r="X12" s="134"/>
    </row>
    <row r="13" spans="1:24" ht="16" x14ac:dyDescent="0.2">
      <c r="A13" s="123" t="s">
        <v>23</v>
      </c>
      <c r="B13" s="123" t="s">
        <v>138</v>
      </c>
      <c r="C13" s="54" t="s">
        <v>0</v>
      </c>
      <c r="D13" s="54" t="s">
        <v>1</v>
      </c>
      <c r="E13" s="88" t="s">
        <v>2</v>
      </c>
      <c r="F13" s="110" t="s">
        <v>3</v>
      </c>
      <c r="G13" s="111" t="s">
        <v>4</v>
      </c>
      <c r="H13" s="112" t="s">
        <v>5</v>
      </c>
      <c r="I13" s="111" t="s">
        <v>6</v>
      </c>
      <c r="J13" s="111" t="s">
        <v>7</v>
      </c>
      <c r="K13" s="112" t="s">
        <v>8</v>
      </c>
      <c r="L13" s="111" t="s">
        <v>9</v>
      </c>
      <c r="M13" s="111" t="s">
        <v>10</v>
      </c>
      <c r="N13" s="113" t="s">
        <v>11</v>
      </c>
      <c r="O13" s="54" t="s">
        <v>12</v>
      </c>
      <c r="P13" s="54" t="s">
        <v>13</v>
      </c>
      <c r="Q13" s="54" t="s">
        <v>14</v>
      </c>
      <c r="R13" s="54" t="s">
        <v>15</v>
      </c>
      <c r="S13" s="54" t="s">
        <v>16</v>
      </c>
      <c r="T13" s="54" t="s">
        <v>17</v>
      </c>
      <c r="U13" s="54" t="s">
        <v>18</v>
      </c>
      <c r="V13" s="54" t="s">
        <v>19</v>
      </c>
      <c r="W13" s="54" t="s">
        <v>20</v>
      </c>
      <c r="X13" s="88" t="s">
        <v>21</v>
      </c>
    </row>
    <row r="14" spans="1:24" x14ac:dyDescent="0.2">
      <c r="A14" s="164" t="s">
        <v>208</v>
      </c>
      <c r="B14" s="86">
        <f>SUMIF(OVERALL_TEAM_TOT[[#All],[Team]],OVERALL_TEAM_AVG[[#This Row],[Team]],OVERALL_TEAM_TOT[[#All],[Games Played]])</f>
        <v>5</v>
      </c>
      <c r="C14" s="200">
        <f>SUM(SUMIF($A$4:$A$8,OVERALL_TEAM_AVG[[#This Row],[Team]],$C$4:$C$8)/B14)</f>
        <v>12.2</v>
      </c>
      <c r="D14" s="200">
        <f>SUM(SUMIF($A$4:$A$8,OVERALL_TEAM_AVG[[#This Row],[Team]],$D$4:$D$8)/B14)</f>
        <v>32.799999999999997</v>
      </c>
      <c r="E14" s="195">
        <f>OVERALL_TEAM_AVG[[#This Row],[Total FGM]]/OVERALL_TEAM_AVG[[#This Row],[Total FGA]]</f>
        <v>0.37195121951219512</v>
      </c>
      <c r="F14" s="201">
        <f>SUM(SUMIF($A$4:$A$8,OVERALL_TEAM_AVG[[#This Row],[Team]],$F$4:$F$8)/B14)</f>
        <v>7.2</v>
      </c>
      <c r="G14" s="202">
        <f>SUM(SUMIF($A$4:$A$8,OVERALL_TEAM_AVG[[#This Row],[Team]],$G$4:$G$8)/B14)</f>
        <v>15.2</v>
      </c>
      <c r="H14" s="198">
        <f>OVERALL_TEAM_AVG[[#This Row],[2PT FGM]]/OVERALL_TEAM_AVG[[#This Row],[2PT FGA]]</f>
        <v>0.47368421052631582</v>
      </c>
      <c r="I14" s="202">
        <f>SUM(SUMIF($A$4:$A$8,OVERALL_TEAM_AVG[[#This Row],[Team]],$I$4:$I$8)/B14)</f>
        <v>5</v>
      </c>
      <c r="J14" s="202">
        <f>SUM(SUMIF($A$4:$A$8,OVERALL_TEAM_AVG[[#This Row],[Team]],$J$4:$J$8)/B14)</f>
        <v>17.600000000000001</v>
      </c>
      <c r="K14" s="198">
        <f>OVERALL_TEAM_AVG[[#This Row],[3PT FGM]]/OVERALL_TEAM_AVG[[#This Row],[3PT FGA]]</f>
        <v>0.28409090909090906</v>
      </c>
      <c r="L14" s="202">
        <f>SUM(SUMIF($A$4:$A$8,OVERALL_TEAM_AVG[[#This Row],[Team]],$L$4:$L$8)/B14)</f>
        <v>0.4</v>
      </c>
      <c r="M14" s="202">
        <f>SUM(SUMIF($A$4:$A$8,OVERALL_TEAM_AVG[[#This Row],[Team]],$M$4:$M$8)/B14)</f>
        <v>0.4</v>
      </c>
      <c r="N14" s="199">
        <f>OVERALL_TEAM_AVG[[#This Row],[FTM]]/OVERALL_TEAM_AVG[[#This Row],[FTA]]</f>
        <v>1</v>
      </c>
      <c r="O14" s="200">
        <f>SUM(SUMIF($A$4:$A$8,OVERALL_TEAM_AVG[[#This Row],[Team]],$O$4:$O$8)/B14)</f>
        <v>29.8</v>
      </c>
      <c r="P14" s="200">
        <f>SUM(SUMIF($A$4:$A$8,OVERALL_TEAM_AVG[[#This Row],[Team]],$P$4:$P$8)/B14)</f>
        <v>2.4</v>
      </c>
      <c r="Q14" s="200">
        <f>SUM(SUMIF($A$4:$A$8,OVERALL_TEAM_AVG[[#This Row],[Team]],$Q$4:$Q$8)/B14)</f>
        <v>10</v>
      </c>
      <c r="R14" s="200">
        <f>SUM(SUMIF($A$4:$A$8,OVERALL_TEAM_AVG[[#This Row],[Team]],$R$4:$R$8)/B14)</f>
        <v>5.2</v>
      </c>
      <c r="S14" s="200">
        <f>SUM(SUMIF($A$4:$A$8,OVERALL_TEAM_AVG[[#This Row],[Team]],$S$4:$S$8)/B14)</f>
        <v>15.2</v>
      </c>
      <c r="T14" s="200">
        <f>SUM(SUMIF($A$4:$A$8,OVERALL_TEAM_AVG[[#This Row],[Team]],$T$4:$T$8)/B14)</f>
        <v>7.6</v>
      </c>
      <c r="U14" s="200">
        <f>SUM(SUMIF($A$4:$A$8,OVERALL_TEAM_AVG[[#This Row],[Team]],$U$4:$U$8)/B14)</f>
        <v>4.2</v>
      </c>
      <c r="V14" s="200">
        <f>SUM(SUMIF($A$4:$A$8,OVERALL_TEAM_AVG[[#This Row],[Team]],$V$4:$V$8)/B14)</f>
        <v>1</v>
      </c>
      <c r="W14" s="200">
        <f>SUM(SUMIF($A$4:$A$8,OVERALL_TEAM_AVG[[#This Row],[Team]],$W$4:$W$8)/B14)</f>
        <v>5.8</v>
      </c>
      <c r="X14" s="169">
        <f>OVERALL_TEAM_AVG[[#This Row],[Dimes]]/OVERALL_TEAM_AVG[[#This Row],[Turnovers]]</f>
        <v>1.3103448275862069</v>
      </c>
    </row>
    <row r="15" spans="1:24" x14ac:dyDescent="0.2">
      <c r="A15" s="164" t="s">
        <v>209</v>
      </c>
      <c r="B15" s="86">
        <f>SUMIF(OVERALL_TEAM_TOT[[#All],[Team]],OVERALL_TEAM_AVG[[#This Row],[Team]],OVERALL_TEAM_TOT[[#All],[Games Played]])</f>
        <v>5</v>
      </c>
      <c r="C15" s="200">
        <f>SUM(SUMIF($A$4:$A$8,OVERALL_TEAM_AVG[[#This Row],[Team]],$C$4:$C$8)/B15)</f>
        <v>16.2</v>
      </c>
      <c r="D15" s="200">
        <f>SUM(SUMIF($A$4:$A$8,OVERALL_TEAM_AVG[[#This Row],[Team]],$D$4:$D$8)/B15)</f>
        <v>34.4</v>
      </c>
      <c r="E15" s="195">
        <f>OVERALL_TEAM_AVG[[#This Row],[Total FGM]]/OVERALL_TEAM_AVG[[#This Row],[Total FGA]]</f>
        <v>0.47093023255813954</v>
      </c>
      <c r="F15" s="201">
        <f>SUM(SUMIF($A$4:$A$8,OVERALL_TEAM_AVG[[#This Row],[Team]],$F$4:$F$8)/B15)</f>
        <v>10.4</v>
      </c>
      <c r="G15" s="202">
        <f>SUM(SUMIF($A$4:$A$8,OVERALL_TEAM_AVG[[#This Row],[Team]],$G$4:$G$8)/B15)</f>
        <v>16.399999999999999</v>
      </c>
      <c r="H15" s="198">
        <f>OVERALL_TEAM_AVG[[#This Row],[2PT FGM]]/OVERALL_TEAM_AVG[[#This Row],[2PT FGA]]</f>
        <v>0.63414634146341475</v>
      </c>
      <c r="I15" s="202">
        <f>SUM(SUMIF($A$4:$A$8,OVERALL_TEAM_AVG[[#This Row],[Team]],$I$4:$I$8)/B15)</f>
        <v>5.8</v>
      </c>
      <c r="J15" s="202">
        <f>SUM(SUMIF($A$4:$A$8,OVERALL_TEAM_AVG[[#This Row],[Team]],$J$4:$J$8)/B15)</f>
        <v>18</v>
      </c>
      <c r="K15" s="198">
        <f>OVERALL_TEAM_AVG[[#This Row],[3PT FGM]]/OVERALL_TEAM_AVG[[#This Row],[3PT FGA]]</f>
        <v>0.32222222222222219</v>
      </c>
      <c r="L15" s="202">
        <f>SUM(SUMIF($A$4:$A$8,OVERALL_TEAM_AVG[[#This Row],[Team]],$L$4:$L$8)/B15)</f>
        <v>0.2</v>
      </c>
      <c r="M15" s="202">
        <f>SUM(SUMIF($A$4:$A$8,OVERALL_TEAM_AVG[[#This Row],[Team]],$M$4:$M$8)/B15)</f>
        <v>0.4</v>
      </c>
      <c r="N15" s="199">
        <f>OVERALL_TEAM_AVG[[#This Row],[FTM]]/OVERALL_TEAM_AVG[[#This Row],[FTA]]</f>
        <v>0.5</v>
      </c>
      <c r="O15" s="200">
        <f>SUM(SUMIF($A$4:$A$8,OVERALL_TEAM_AVG[[#This Row],[Team]],$O$4:$O$8)/B15)</f>
        <v>38.4</v>
      </c>
      <c r="P15" s="200">
        <f>SUM(SUMIF($A$4:$A$8,OVERALL_TEAM_AVG[[#This Row],[Team]],$P$4:$P$8)/B15)</f>
        <v>4.2</v>
      </c>
      <c r="Q15" s="200">
        <f>SUM(SUMIF($A$4:$A$8,OVERALL_TEAM_AVG[[#This Row],[Team]],$Q$4:$Q$8)/B15)</f>
        <v>16</v>
      </c>
      <c r="R15" s="200">
        <f>SUM(SUMIF($A$4:$A$8,OVERALL_TEAM_AVG[[#This Row],[Team]],$R$4:$R$8)/B15)</f>
        <v>4.2</v>
      </c>
      <c r="S15" s="200">
        <f>SUM(SUMIF($A$4:$A$8,OVERALL_TEAM_AVG[[#This Row],[Team]],$S$4:$S$8)/B15)</f>
        <v>20.2</v>
      </c>
      <c r="T15" s="200">
        <f>SUM(SUMIF($A$4:$A$8,OVERALL_TEAM_AVG[[#This Row],[Team]],$T$4:$T$8)/B15)</f>
        <v>12.4</v>
      </c>
      <c r="U15" s="200">
        <f>SUM(SUMIF($A$4:$A$8,OVERALL_TEAM_AVG[[#This Row],[Team]],$U$4:$U$8)/B15)</f>
        <v>4.8</v>
      </c>
      <c r="V15" s="200">
        <f>SUM(SUMIF($A$4:$A$8,OVERALL_TEAM_AVG[[#This Row],[Team]],$V$4:$V$8)/B15)</f>
        <v>2.2000000000000002</v>
      </c>
      <c r="W15" s="200">
        <f>SUM(SUMIF($A$4:$A$8,OVERALL_TEAM_AVG[[#This Row],[Team]],$W$4:$W$8)/B15)</f>
        <v>6.4</v>
      </c>
      <c r="X15" s="169">
        <f>OVERALL_TEAM_AVG[[#This Row],[Dimes]]/OVERALL_TEAM_AVG[[#This Row],[Turnovers]]</f>
        <v>1.9375</v>
      </c>
    </row>
    <row r="16" spans="1:24" hidden="1" x14ac:dyDescent="0.2">
      <c r="A16" s="164"/>
      <c r="B16" s="86">
        <f>SUMIF(OVERALL_TEAM_TOT[[#All],[Team]],OVERALL_TEAM_AVG[[#This Row],[Team]],OVERALL_TEAM_TOT[[#All],[Games Played]])</f>
        <v>0</v>
      </c>
      <c r="C16" s="200" t="e">
        <f>SUM(SUMIF($A$4:$A$8,OVERALL_TEAM_AVG[[#This Row],[Team]],$C$4:$C$8)/B16)</f>
        <v>#DIV/0!</v>
      </c>
      <c r="D16" s="200" t="e">
        <f>SUM(SUMIF($A$4:$A$8,OVERALL_TEAM_AVG[[#This Row],[Team]],$D$4:$D$8)/B16)</f>
        <v>#DIV/0!</v>
      </c>
      <c r="E16" s="195" t="e">
        <f>OVERALL_TEAM_AVG[[#This Row],[Total FGM]]/OVERALL_TEAM_AVG[[#This Row],[Total FGA]]</f>
        <v>#DIV/0!</v>
      </c>
      <c r="F16" s="201" t="e">
        <f>SUM(SUMIF($A$4:$A$8,OVERALL_TEAM_AVG[[#This Row],[Team]],$F$4:$F$8)/B16)</f>
        <v>#DIV/0!</v>
      </c>
      <c r="G16" s="202" t="e">
        <f>SUM(SUMIF($A$4:$A$8,OVERALL_TEAM_AVG[[#This Row],[Team]],$G$4:$G$8)/B16)</f>
        <v>#DIV/0!</v>
      </c>
      <c r="H16" s="198" t="e">
        <f>OVERALL_TEAM_AVG[[#This Row],[2PT FGM]]/OVERALL_TEAM_AVG[[#This Row],[2PT FGA]]</f>
        <v>#DIV/0!</v>
      </c>
      <c r="I16" s="202" t="e">
        <f>SUM(SUMIF($A$4:$A$8,OVERALL_TEAM_AVG[[#This Row],[Team]],$I$4:$I$8)/B16)</f>
        <v>#DIV/0!</v>
      </c>
      <c r="J16" s="202" t="e">
        <f>SUM(SUMIF($A$4:$A$8,OVERALL_TEAM_AVG[[#This Row],[Team]],$J$4:$J$8)/B16)</f>
        <v>#DIV/0!</v>
      </c>
      <c r="K16" s="198" t="e">
        <f>OVERALL_TEAM_AVG[[#This Row],[3PT FGM]]/OVERALL_TEAM_AVG[[#This Row],[3PT FGA]]</f>
        <v>#DIV/0!</v>
      </c>
      <c r="L16" s="202" t="e">
        <f>SUM(SUMIF($A$4:$A$8,OVERALL_TEAM_AVG[[#This Row],[Team]],$L$4:$L$8)/B16)</f>
        <v>#DIV/0!</v>
      </c>
      <c r="M16" s="202" t="e">
        <f>SUM(SUMIF($A$4:$A$8,OVERALL_TEAM_AVG[[#This Row],[Team]],$M$4:$M$8)/B16)</f>
        <v>#DIV/0!</v>
      </c>
      <c r="N16" s="199" t="e">
        <f>OVERALL_TEAM_AVG[[#This Row],[FTM]]/OVERALL_TEAM_AVG[[#This Row],[FTA]]</f>
        <v>#DIV/0!</v>
      </c>
      <c r="O16" s="200" t="e">
        <f>SUM(SUMIF($A$4:$A$8,OVERALL_TEAM_AVG[[#This Row],[Team]],$O$4:$O$8)/B16)</f>
        <v>#DIV/0!</v>
      </c>
      <c r="P16" s="200" t="e">
        <f>SUM(SUMIF($A$4:$A$8,OVERALL_TEAM_AVG[[#This Row],[Team]],$P$4:$P$8)/B16)</f>
        <v>#DIV/0!</v>
      </c>
      <c r="Q16" s="200" t="e">
        <f>SUM(SUMIF($A$4:$A$8,OVERALL_TEAM_AVG[[#This Row],[Team]],$Q$4:$Q$8)/B16)</f>
        <v>#DIV/0!</v>
      </c>
      <c r="R16" s="200" t="e">
        <f>SUM(SUMIF($A$4:$A$8,OVERALL_TEAM_AVG[[#This Row],[Team]],$R$4:$R$8)/B16)</f>
        <v>#DIV/0!</v>
      </c>
      <c r="S16" s="200" t="e">
        <f>SUM(SUMIF($A$4:$A$8,OVERALL_TEAM_AVG[[#This Row],[Team]],$S$4:$S$8)/B16)</f>
        <v>#DIV/0!</v>
      </c>
      <c r="T16" s="200" t="e">
        <f>SUM(SUMIF($A$4:$A$8,OVERALL_TEAM_AVG[[#This Row],[Team]],$T$4:$T$8)/B16)</f>
        <v>#DIV/0!</v>
      </c>
      <c r="U16" s="200" t="e">
        <f>SUM(SUMIF($A$4:$A$8,OVERALL_TEAM_AVG[[#This Row],[Team]],$U$4:$U$8)/B16)</f>
        <v>#DIV/0!</v>
      </c>
      <c r="V16" s="200" t="e">
        <f>SUM(SUMIF($A$4:$A$8,OVERALL_TEAM_AVG[[#This Row],[Team]],$V$4:$V$8)/B16)</f>
        <v>#DIV/0!</v>
      </c>
      <c r="W16" s="200" t="e">
        <f>SUM(SUMIF($A$4:$A$8,OVERALL_TEAM_AVG[[#This Row],[Team]],$W$4:$W$8)/B16)</f>
        <v>#DIV/0!</v>
      </c>
      <c r="X16" s="169" t="e">
        <f>OVERALL_TEAM_AVG[[#This Row],[Dimes]]/OVERALL_TEAM_AVG[[#This Row],[Turnovers]]</f>
        <v>#DIV/0!</v>
      </c>
    </row>
    <row r="17" spans="1:24" hidden="1" x14ac:dyDescent="0.2">
      <c r="A17" s="164"/>
      <c r="B17" s="86">
        <f>SUMIF(OVERALL_TEAM_TOT[[#All],[Team]],OVERALL_TEAM_AVG[[#This Row],[Team]],OVERALL_TEAM_TOT[[#All],[Games Played]])</f>
        <v>0</v>
      </c>
      <c r="C17" s="200" t="e">
        <f>SUM(SUMIF($A$4:$A$8,OVERALL_TEAM_AVG[[#This Row],[Team]],$C$4:$C$8)/B17)</f>
        <v>#DIV/0!</v>
      </c>
      <c r="D17" s="200" t="e">
        <f>SUM(SUMIF($A$4:$A$8,OVERALL_TEAM_AVG[[#This Row],[Team]],$D$4:$D$8)/B17)</f>
        <v>#DIV/0!</v>
      </c>
      <c r="E17" s="195" t="e">
        <f>OVERALL_TEAM_AVG[[#This Row],[Total FGM]]/OVERALL_TEAM_AVG[[#This Row],[Total FGA]]</f>
        <v>#DIV/0!</v>
      </c>
      <c r="F17" s="201" t="e">
        <f>SUM(SUMIF($A$4:$A$8,OVERALL_TEAM_AVG[[#This Row],[Team]],$F$4:$F$8)/B17)</f>
        <v>#DIV/0!</v>
      </c>
      <c r="G17" s="202" t="e">
        <f>SUM(SUMIF($A$4:$A$8,OVERALL_TEAM_AVG[[#This Row],[Team]],$G$4:$G$8)/B17)</f>
        <v>#DIV/0!</v>
      </c>
      <c r="H17" s="198" t="e">
        <f>OVERALL_TEAM_AVG[[#This Row],[2PT FGM]]/OVERALL_TEAM_AVG[[#This Row],[2PT FGA]]</f>
        <v>#DIV/0!</v>
      </c>
      <c r="I17" s="202" t="e">
        <f>SUM(SUMIF($A$4:$A$8,OVERALL_TEAM_AVG[[#This Row],[Team]],$I$4:$I$8)/B17)</f>
        <v>#DIV/0!</v>
      </c>
      <c r="J17" s="202" t="e">
        <f>SUM(SUMIF($A$4:$A$8,OVERALL_TEAM_AVG[[#This Row],[Team]],$J$4:$J$8)/B17)</f>
        <v>#DIV/0!</v>
      </c>
      <c r="K17" s="198" t="e">
        <f>OVERALL_TEAM_AVG[[#This Row],[3PT FGM]]/OVERALL_TEAM_AVG[[#This Row],[3PT FGA]]</f>
        <v>#DIV/0!</v>
      </c>
      <c r="L17" s="202" t="e">
        <f>SUM(SUMIF($A$4:$A$8,OVERALL_TEAM_AVG[[#This Row],[Team]],$L$4:$L$8)/B17)</f>
        <v>#DIV/0!</v>
      </c>
      <c r="M17" s="202" t="e">
        <f>SUM(SUMIF($A$4:$A$8,OVERALL_TEAM_AVG[[#This Row],[Team]],$M$4:$M$8)/B17)</f>
        <v>#DIV/0!</v>
      </c>
      <c r="N17" s="199" t="e">
        <f>OVERALL_TEAM_AVG[[#This Row],[FTM]]/OVERALL_TEAM_AVG[[#This Row],[FTA]]</f>
        <v>#DIV/0!</v>
      </c>
      <c r="O17" s="200" t="e">
        <f>SUM(SUMIF($A$4:$A$8,OVERALL_TEAM_AVG[[#This Row],[Team]],$O$4:$O$8)/B17)</f>
        <v>#DIV/0!</v>
      </c>
      <c r="P17" s="200" t="e">
        <f>SUM(SUMIF($A$4:$A$8,OVERALL_TEAM_AVG[[#This Row],[Team]],$P$4:$P$8)/B17)</f>
        <v>#DIV/0!</v>
      </c>
      <c r="Q17" s="200" t="e">
        <f>SUM(SUMIF($A$4:$A$8,OVERALL_TEAM_AVG[[#This Row],[Team]],$Q$4:$Q$8)/B17)</f>
        <v>#DIV/0!</v>
      </c>
      <c r="R17" s="200" t="e">
        <f>SUM(SUMIF($A$4:$A$8,OVERALL_TEAM_AVG[[#This Row],[Team]],$R$4:$R$8)/B17)</f>
        <v>#DIV/0!</v>
      </c>
      <c r="S17" s="200" t="e">
        <f>SUM(SUMIF($A$4:$A$8,OVERALL_TEAM_AVG[[#This Row],[Team]],$S$4:$S$8)/B17)</f>
        <v>#DIV/0!</v>
      </c>
      <c r="T17" s="200" t="e">
        <f>SUM(SUMIF($A$4:$A$8,OVERALL_TEAM_AVG[[#This Row],[Team]],$T$4:$T$8)/B17)</f>
        <v>#DIV/0!</v>
      </c>
      <c r="U17" s="200" t="e">
        <f>SUM(SUMIF($A$4:$A$8,OVERALL_TEAM_AVG[[#This Row],[Team]],$U$4:$U$8)/B17)</f>
        <v>#DIV/0!</v>
      </c>
      <c r="V17" s="200" t="e">
        <f>SUM(SUMIF($A$4:$A$8,OVERALL_TEAM_AVG[[#This Row],[Team]],$V$4:$V$8)/B17)</f>
        <v>#DIV/0!</v>
      </c>
      <c r="W17" s="200" t="e">
        <f>SUM(SUMIF($A$4:$A$8,OVERALL_TEAM_AVG[[#This Row],[Team]],$W$4:$W$8)/B17)</f>
        <v>#DIV/0!</v>
      </c>
      <c r="X17" s="169" t="e">
        <f>OVERALL_TEAM_AVG[[#This Row],[Dimes]]/OVERALL_TEAM_AVG[[#This Row],[Turnovers]]</f>
        <v>#DIV/0!</v>
      </c>
    </row>
    <row r="18" spans="1:24" ht="16" hidden="1" thickBot="1" x14ac:dyDescent="0.25">
      <c r="A18" s="58"/>
      <c r="B18" s="86"/>
      <c r="C18" s="136" t="e">
        <f>SUM(SUMIF($A$4:$A$8,OVERALL_TEAM_AVG[[#This Row],[Team]],$C$4:$C$8)/B18)</f>
        <v>#DIV/0!</v>
      </c>
      <c r="D18" s="136" t="e">
        <f>SUM(SUMIF($A$4:$A$8,OVERALL_TEAM_AVG[[#This Row],[Team]],$D$4:$D$8)/B18)</f>
        <v>#DIV/0!</v>
      </c>
      <c r="E18" s="124" t="e">
        <f>OVERALL_TEAM_AVG[[#This Row],[Total FGM]]/OVERALL_TEAM_AVG[[#This Row],[Total FGA]]</f>
        <v>#DIV/0!</v>
      </c>
      <c r="F18" s="138" t="e">
        <f>SUM(SUMIF($A$4:$A$8,OVERALL_TEAM_AVG[[#This Row],[Team]],$F$4:$F$8)/B18)</f>
        <v>#DIV/0!</v>
      </c>
      <c r="G18" s="139" t="e">
        <f>SUM(SUMIF($A$4:$A$8,OVERALL_TEAM_AVG[[#This Row],[Team]],$G$4:$G$8)/B18)</f>
        <v>#DIV/0!</v>
      </c>
      <c r="H18" s="130" t="e">
        <f>OVERALL_TEAM_AVG[[#This Row],[2PT FGM]]/OVERALL_TEAM_AVG[[#This Row],[2PT FGA]]</f>
        <v>#DIV/0!</v>
      </c>
      <c r="I18" s="139" t="e">
        <f>SUM(SUMIF($A$4:$A$8,OVERALL_TEAM_AVG[[#This Row],[Team]],$I$4:$I$8)/B18)</f>
        <v>#DIV/0!</v>
      </c>
      <c r="J18" s="139" t="e">
        <f>SUM(SUMIF($A$4:$A$8,OVERALL_TEAM_AVG[[#This Row],[Team]],$J$4:$J$8)/B18)</f>
        <v>#DIV/0!</v>
      </c>
      <c r="K18" s="130" t="e">
        <f>OVERALL_TEAM_AVG[[#This Row],[3PT FGM]]/OVERALL_TEAM_AVG[[#This Row],[3PT FGA]]</f>
        <v>#DIV/0!</v>
      </c>
      <c r="L18" s="139" t="e">
        <f>SUM(SUMIF($A$4:$A$8,OVERALL_TEAM_AVG[[#This Row],[Team]],$L$4:$L$8)/B18)</f>
        <v>#DIV/0!</v>
      </c>
      <c r="M18" s="139" t="e">
        <f>SUM(SUMIF($A$4:$A$8,OVERALL_TEAM_AVG[[#This Row],[Team]],$M$4:$M$8)/B18)</f>
        <v>#DIV/0!</v>
      </c>
      <c r="N18" s="131" t="e">
        <f>OVERALL_TEAM_AVG[[#This Row],[FTM]]/OVERALL_TEAM_AVG[[#This Row],[FTA]]</f>
        <v>#DIV/0!</v>
      </c>
      <c r="O18" s="136" t="e">
        <f>SUM(SUMIF($A$4:$A$8,OVERALL_TEAM_AVG[[#This Row],[Team]],$O$4:$O$8)/B18)</f>
        <v>#DIV/0!</v>
      </c>
      <c r="P18" s="136" t="e">
        <f>SUM(SUMIF($A$4:$A$8,OVERALL_TEAM_AVG[[#This Row],[Team]],$P$4:$P$8)/B18)</f>
        <v>#DIV/0!</v>
      </c>
      <c r="Q18" s="136" t="e">
        <f>SUM(SUMIF($A$4:$A$8,OVERALL_TEAM_AVG[[#This Row],[Team]],$Q$4:$Q$8)/B18)</f>
        <v>#DIV/0!</v>
      </c>
      <c r="R18" s="136" t="e">
        <f>SUM(SUMIF($A$4:$A$8,OVERALL_TEAM_AVG[[#This Row],[Team]],$R$4:$R$8)/B18)</f>
        <v>#DIV/0!</v>
      </c>
      <c r="S18" s="136" t="e">
        <f>SUM(SUMIF($A$4:$A$8,OVERALL_TEAM_AVG[[#This Row],[Team]],$S$4:$S$8)/B18)</f>
        <v>#DIV/0!</v>
      </c>
      <c r="T18" s="136" t="e">
        <f>SUM(SUMIF($A$4:$A$8,OVERALL_TEAM_AVG[[#This Row],[Team]],$T$4:$T$8)/B18)</f>
        <v>#DIV/0!</v>
      </c>
      <c r="U18" s="136" t="e">
        <f>SUM(SUMIF($A$4:$A$8,OVERALL_TEAM_AVG[[#This Row],[Team]],$U$4:$U$8)/B18)</f>
        <v>#DIV/0!</v>
      </c>
      <c r="V18" s="136" t="e">
        <f>SUM(SUMIF($A$4:$A$8,OVERALL_TEAM_AVG[[#This Row],[Team]],$V$4:$V$8)/B18)</f>
        <v>#DIV/0!</v>
      </c>
      <c r="W18" s="136" t="e">
        <f>SUM(SUMIF($A$4:$A$8,OVERALL_TEAM_AVG[[#This Row],[Team]],$W$4:$W$8)/B18)</f>
        <v>#DIV/0!</v>
      </c>
      <c r="X18" s="125" t="e">
        <f>OVERALL_TEAM_AVG[[#This Row],[Dimes]]/OVERALL_TEAM_AVG[[#This Row],[Turnovers]]</f>
        <v>#DIV/0!</v>
      </c>
    </row>
    <row r="19" spans="1:24" x14ac:dyDescent="0.2">
      <c r="B19" s="86"/>
      <c r="C19" s="136">
        <f>SUBTOTAL(101,OVERALL_TEAM_AVG[Total FGM])</f>
        <v>14.2</v>
      </c>
      <c r="D19" s="136">
        <f>SUBTOTAL(101,OVERALL_TEAM_AVG[Total FGA])</f>
        <v>33.599999999999994</v>
      </c>
      <c r="E19" s="140">
        <f>OVERALL_TEAM_AVG[[#Totals],[Total FGM]]/OVERALL_TEAM_AVG[[#Totals],[Total FGA]]</f>
        <v>0.42261904761904767</v>
      </c>
      <c r="F19" s="137">
        <f>SUBTOTAL(101,OVERALL_TEAM_AVG[2PT FGM])</f>
        <v>8.8000000000000007</v>
      </c>
      <c r="G19" s="136">
        <f>SUBTOTAL(101,OVERALL_TEAM_AVG[2PT FGA])</f>
        <v>15.799999999999999</v>
      </c>
      <c r="H19" s="140">
        <f>OVERALL_TEAM_AVG[[#Totals],[2PT FGM]]/OVERALL_TEAM_AVG[[#Totals],[2PT FGA]]</f>
        <v>0.55696202531645578</v>
      </c>
      <c r="I19" s="136">
        <f>SUBTOTAL(101,OVERALL_TEAM_AVG[3PT FGM])</f>
        <v>5.4</v>
      </c>
      <c r="J19" s="136">
        <f>SUBTOTAL(101,OVERALL_TEAM_AVG[3PT FGA])</f>
        <v>17.8</v>
      </c>
      <c r="K19" s="140">
        <f>OVERALL_TEAM_AVG[[#Totals],[3PT FGM]]/OVERALL_TEAM_AVG[[#Totals],[3PT FGA]]</f>
        <v>0.30337078651685395</v>
      </c>
      <c r="L19" s="136">
        <f>SUBTOTAL(101,OVERALL_TEAM_AVG[FTM])</f>
        <v>0.30000000000000004</v>
      </c>
      <c r="M19" s="136">
        <f>SUBTOTAL(101,OVERALL_TEAM_AVG[FTA])</f>
        <v>0.4</v>
      </c>
      <c r="N19" s="141">
        <f>OVERALL_TEAM_AVG[[#Totals],[FTM]]/OVERALL_TEAM_AVG[[#Totals],[FTA]]</f>
        <v>0.75000000000000011</v>
      </c>
      <c r="O19" s="136">
        <f>SUBTOTAL(101,OVERALL_TEAM_AVG[TOTAL POINTS])</f>
        <v>34.1</v>
      </c>
      <c r="P19" s="136">
        <f>SUBTOTAL(101,OVERALL_TEAM_AVG[Dunks])</f>
        <v>3.3</v>
      </c>
      <c r="Q19" s="136">
        <f>SUBTOTAL(101,OVERALL_TEAM_AVG[Def. Boards])</f>
        <v>13</v>
      </c>
      <c r="R19" s="136">
        <f>SUBTOTAL(101,OVERALL_TEAM_AVG[Off. Boards])</f>
        <v>4.7</v>
      </c>
      <c r="S19" s="136">
        <f>SUBTOTAL(101,OVERALL_TEAM_AVG[Total Boards])</f>
        <v>17.7</v>
      </c>
      <c r="T19" s="136">
        <f>SUBTOTAL(101,OVERALL_TEAM_AVG[Dimes])</f>
        <v>10</v>
      </c>
      <c r="U19" s="136">
        <f>SUBTOTAL(101,OVERALL_TEAM_AVG[Cookies])</f>
        <v>4.5</v>
      </c>
      <c r="V19" s="136">
        <f>SUBTOTAL(101,OVERALL_TEAM_AVG[Swats])</f>
        <v>1.6</v>
      </c>
      <c r="W19" s="136">
        <f>SUBTOTAL(101,OVERALL_TEAM_AVG[Turnovers])</f>
        <v>6.1</v>
      </c>
      <c r="X19" s="125">
        <f>OVERALL_TEAM_AVG[[#Totals],[Dimes]]/OVERALL_TEAM_AVG[[#Totals],[Turnovers]]</f>
        <v>1.639344262295082</v>
      </c>
    </row>
    <row r="25" spans="1:24" x14ac:dyDescent="0.2">
      <c r="K25" s="13"/>
    </row>
  </sheetData>
  <pageMargins left="0.7" right="0.7" top="0.75" bottom="0.75" header="0.3" footer="0.3"/>
  <tableParts count="2">
    <tablePart r:id="rId1"/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B734E-F81D-4A9A-A286-8F40A437CF6E}">
  <sheetPr>
    <tabColor theme="1"/>
  </sheetPr>
  <dimension ref="A1:Z72"/>
  <sheetViews>
    <sheetView showGridLines="0" zoomScale="85" zoomScaleNormal="85" workbookViewId="0">
      <selection activeCell="E19" sqref="E19"/>
    </sheetView>
  </sheetViews>
  <sheetFormatPr baseColWidth="10" defaultColWidth="8.83203125" defaultRowHeight="15" x14ac:dyDescent="0.2"/>
  <cols>
    <col min="1" max="1" width="18.33203125" bestFit="1" customWidth="1"/>
    <col min="2" max="2" width="21.5" customWidth="1"/>
    <col min="3" max="3" width="16.5" bestFit="1" customWidth="1"/>
    <col min="4" max="4" width="10.5" customWidth="1"/>
    <col min="5" max="5" width="13.6640625" customWidth="1"/>
    <col min="6" max="6" width="14" style="87" customWidth="1"/>
    <col min="7" max="7" width="11" customWidth="1"/>
    <col min="8" max="8" width="10.5" customWidth="1"/>
    <col min="9" max="9" width="10.6640625" style="87" customWidth="1"/>
    <col min="10" max="10" width="11" customWidth="1"/>
    <col min="11" max="11" width="10.5" customWidth="1"/>
    <col min="12" max="12" width="10.6640625" style="87" customWidth="1"/>
    <col min="15" max="15" width="9.1640625" style="87"/>
    <col min="16" max="16" width="15.6640625" customWidth="1"/>
    <col min="18" max="18" width="11.6640625" bestFit="1" customWidth="1"/>
    <col min="19" max="19" width="13" customWidth="1"/>
    <col min="20" max="20" width="14" customWidth="1"/>
    <col min="21" max="21" width="11.6640625" bestFit="1" customWidth="1"/>
    <col min="22" max="22" width="10.1640625" customWidth="1"/>
    <col min="23" max="23" width="10.6640625" bestFit="1" customWidth="1"/>
    <col min="24" max="24" width="12" customWidth="1"/>
    <col min="25" max="25" width="11.6640625" style="87" customWidth="1"/>
  </cols>
  <sheetData>
    <row r="1" spans="1:26" x14ac:dyDescent="0.2">
      <c r="A1" t="s">
        <v>136</v>
      </c>
    </row>
    <row r="2" spans="1:26" ht="16" thickBot="1" x14ac:dyDescent="0.25">
      <c r="A2" s="118" t="s">
        <v>75</v>
      </c>
      <c r="B2" s="118"/>
      <c r="C2" s="118"/>
      <c r="D2" s="118"/>
      <c r="E2" s="118"/>
      <c r="F2" s="119"/>
      <c r="G2" s="118"/>
      <c r="H2" s="118"/>
      <c r="I2" s="119"/>
      <c r="J2" s="118"/>
      <c r="K2" s="118"/>
      <c r="L2" s="119"/>
      <c r="M2" s="118"/>
      <c r="N2" s="118"/>
      <c r="O2" s="119"/>
      <c r="P2" s="118"/>
      <c r="Q2" s="118"/>
      <c r="R2" s="118"/>
      <c r="S2" s="118"/>
      <c r="T2" s="118"/>
      <c r="U2" s="118"/>
      <c r="V2" s="118"/>
      <c r="W2" s="118"/>
      <c r="X2" s="118"/>
      <c r="Y2" s="119"/>
      <c r="Z2" s="118"/>
    </row>
    <row r="3" spans="1:26" ht="30" customHeight="1" x14ac:dyDescent="0.2">
      <c r="A3" s="55" t="s">
        <v>25</v>
      </c>
      <c r="B3" s="55" t="s">
        <v>22</v>
      </c>
      <c r="C3" s="55" t="s">
        <v>23</v>
      </c>
      <c r="D3" s="55" t="s">
        <v>138</v>
      </c>
      <c r="E3" s="54" t="s">
        <v>0</v>
      </c>
      <c r="F3" s="54" t="s">
        <v>1</v>
      </c>
      <c r="G3" s="88" t="s">
        <v>2</v>
      </c>
      <c r="H3" s="110" t="s">
        <v>3</v>
      </c>
      <c r="I3" s="111" t="s">
        <v>4</v>
      </c>
      <c r="J3" s="112" t="s">
        <v>5</v>
      </c>
      <c r="K3" s="111" t="s">
        <v>6</v>
      </c>
      <c r="L3" s="111" t="s">
        <v>7</v>
      </c>
      <c r="M3" s="112" t="s">
        <v>8</v>
      </c>
      <c r="N3" s="111" t="s">
        <v>9</v>
      </c>
      <c r="O3" s="111" t="s">
        <v>10</v>
      </c>
      <c r="P3" s="113" t="s">
        <v>11</v>
      </c>
      <c r="Q3" s="54" t="s">
        <v>12</v>
      </c>
      <c r="R3" s="54" t="s">
        <v>13</v>
      </c>
      <c r="S3" s="54" t="s">
        <v>14</v>
      </c>
      <c r="T3" s="54" t="s">
        <v>15</v>
      </c>
      <c r="U3" s="54" t="s">
        <v>16</v>
      </c>
      <c r="V3" s="54" t="s">
        <v>17</v>
      </c>
      <c r="W3" s="54" t="s">
        <v>18</v>
      </c>
      <c r="X3" s="54" t="s">
        <v>19</v>
      </c>
      <c r="Y3" s="54" t="s">
        <v>20</v>
      </c>
      <c r="Z3" s="88" t="s">
        <v>21</v>
      </c>
    </row>
    <row r="4" spans="1:26" x14ac:dyDescent="0.2">
      <c r="A4" s="14" t="s">
        <v>35</v>
      </c>
      <c r="B4" t="s">
        <v>98</v>
      </c>
      <c r="C4" t="s">
        <v>208</v>
      </c>
      <c r="D4" s="86"/>
      <c r="E4" s="74">
        <f>SUMIF(RR_Games!$A:$A,$B:$B,RR_Games!B:B)</f>
        <v>0</v>
      </c>
      <c r="F4" s="74">
        <f>SUMIF(RR_Games!$A:$A,$B:$B,RR_Games!C:C)</f>
        <v>0</v>
      </c>
      <c r="G4" s="203" t="e">
        <f>RR_TOT[[#This Row],[Total FGM]]/RR_TOT[[#This Row],[Total FGA]]</f>
        <v>#DIV/0!</v>
      </c>
      <c r="H4" s="98">
        <f>SUMIF(RR_Games!$A:$A,$B:$B,RR_Games!E:E)</f>
        <v>0</v>
      </c>
      <c r="I4" s="19">
        <f>SUMIF(RR_Games!$A:$A,$B:$B,RR_Games!F:F)</f>
        <v>0</v>
      </c>
      <c r="J4" s="91" t="e">
        <f>RR_TOT[[#This Row],[2PT FGM]]/RR_TOT[[#This Row],[2PT FGA]]</f>
        <v>#DIV/0!</v>
      </c>
      <c r="K4" s="19">
        <f>SUMIF(RR_Games!$A:$A,$B:$B,RR_Games!H:H)</f>
        <v>0</v>
      </c>
      <c r="L4" s="19">
        <f>SUMIF(RR_Games!$A:$A,$B:$B,RR_Games!I:I)</f>
        <v>0</v>
      </c>
      <c r="M4" s="91" t="e">
        <f>RR_TOT[[#This Row],[3PT FGM]]/RR_TOT[[#This Row],[3PT FGA]]</f>
        <v>#DIV/0!</v>
      </c>
      <c r="N4" s="19">
        <f>SUMIF(RR_Games!$A:$A,$B:$B,RR_Games!K:K)</f>
        <v>0</v>
      </c>
      <c r="O4" s="19">
        <f>SUMIF(RR_Games!$A:$A,$B:$B,RR_Games!L:L)</f>
        <v>0</v>
      </c>
      <c r="P4" s="99" t="e">
        <f>RR_TOT[[#This Row],[FTM]]/RR_TOT[[#This Row],[FTA]]</f>
        <v>#DIV/0!</v>
      </c>
      <c r="Q4" s="74">
        <f>SUMIF(RR_Games!$A:$A,$B:$B,RR_Games!N:N)</f>
        <v>0</v>
      </c>
      <c r="R4" s="74">
        <f>SUMIF(RR_Games!$A:$A,$B:$B,RR_Games!O:O)</f>
        <v>0</v>
      </c>
      <c r="S4" s="74">
        <f>SUMIF(RR_Games!$A:$A,$B:$B,RR_Games!P:P)</f>
        <v>0</v>
      </c>
      <c r="T4" s="74">
        <f>SUMIF(RR_Games!$A:$A,$B:$B,RR_Games!Q:Q)</f>
        <v>0</v>
      </c>
      <c r="U4" s="74">
        <f>SUMIF(RR_Games!$A:$A,$B:$B,RR_Games!R:R)</f>
        <v>0</v>
      </c>
      <c r="V4" s="74">
        <f>SUMIF(RR_Games!$A:$A,$B:$B,RR_Games!S:S)</f>
        <v>0</v>
      </c>
      <c r="W4" s="74">
        <f>SUMIF(RR_Games!$A:$A,$B:$B,RR_Games!T:T)</f>
        <v>0</v>
      </c>
      <c r="X4" s="74">
        <f>SUMIF(RR_Games!$A:$A,$B:$B,RR_Games!U:U)</f>
        <v>0</v>
      </c>
      <c r="Y4" s="74">
        <f>SUMIF(RR_Games!$A:$A,$B:$B,RR_Games!V:V)</f>
        <v>0</v>
      </c>
      <c r="Z4" s="204" t="e">
        <f>RR_TOT[[#This Row],[Dimes]]/RR_TOT[[#This Row],[Turnovers]]</f>
        <v>#DIV/0!</v>
      </c>
    </row>
    <row r="5" spans="1:26" x14ac:dyDescent="0.2">
      <c r="A5" s="14" t="s">
        <v>36</v>
      </c>
      <c r="B5" t="s">
        <v>88</v>
      </c>
      <c r="C5" t="s">
        <v>208</v>
      </c>
      <c r="D5" s="86"/>
      <c r="E5" s="74">
        <f>SUMIF(RR_Games!$A:$A,$B:$B,RR_Games!B:B)</f>
        <v>0</v>
      </c>
      <c r="F5" s="74">
        <f>SUMIF(RR_Games!$A:$A,$B:$B,RR_Games!C:C)</f>
        <v>0</v>
      </c>
      <c r="G5" s="203" t="e">
        <f>RR_TOT[[#This Row],[Total FGM]]/RR_TOT[[#This Row],[Total FGA]]</f>
        <v>#DIV/0!</v>
      </c>
      <c r="H5" s="98">
        <f>SUMIF(RR_Games!$A:$A,$B:$B,RR_Games!E:E)</f>
        <v>0</v>
      </c>
      <c r="I5" s="19">
        <f>SUMIF(RR_Games!$A:$A,$B:$B,RR_Games!F:F)</f>
        <v>0</v>
      </c>
      <c r="J5" s="91" t="e">
        <f>RR_TOT[[#This Row],[2PT FGM]]/RR_TOT[[#This Row],[2PT FGA]]</f>
        <v>#DIV/0!</v>
      </c>
      <c r="K5" s="19">
        <f>SUMIF(RR_Games!$A:$A,$B:$B,RR_Games!H:H)</f>
        <v>0</v>
      </c>
      <c r="L5" s="19">
        <f>SUMIF(RR_Games!$A:$A,$B:$B,RR_Games!I:I)</f>
        <v>0</v>
      </c>
      <c r="M5" s="91" t="e">
        <f>RR_TOT[[#This Row],[3PT FGM]]/RR_TOT[[#This Row],[3PT FGA]]</f>
        <v>#DIV/0!</v>
      </c>
      <c r="N5" s="19">
        <f>SUMIF(RR_Games!$A:$A,$B:$B,RR_Games!K:K)</f>
        <v>0</v>
      </c>
      <c r="O5" s="19">
        <f>SUMIF(RR_Games!$A:$A,$B:$B,RR_Games!L:L)</f>
        <v>0</v>
      </c>
      <c r="P5" s="99" t="e">
        <f>RR_TOT[[#This Row],[FTM]]/RR_TOT[[#This Row],[FTA]]</f>
        <v>#DIV/0!</v>
      </c>
      <c r="Q5" s="74">
        <f>SUMIF(RR_Games!$A:$A,$B:$B,RR_Games!N:N)</f>
        <v>0</v>
      </c>
      <c r="R5" s="74">
        <f>SUMIF(RR_Games!$A:$A,$B:$B,RR_Games!O:O)</f>
        <v>0</v>
      </c>
      <c r="S5" s="74">
        <f>SUMIF(RR_Games!$A:$A,$B:$B,RR_Games!P:P)</f>
        <v>0</v>
      </c>
      <c r="T5" s="74">
        <f>SUMIF(RR_Games!$A:$A,$B:$B,RR_Games!Q:Q)</f>
        <v>0</v>
      </c>
      <c r="U5" s="74">
        <f>SUMIF(RR_Games!$A:$A,$B:$B,RR_Games!R:R)</f>
        <v>0</v>
      </c>
      <c r="V5" s="74">
        <f>SUMIF(RR_Games!$A:$A,$B:$B,RR_Games!S:S)</f>
        <v>0</v>
      </c>
      <c r="W5" s="74">
        <f>SUMIF(RR_Games!$A:$A,$B:$B,RR_Games!T:T)</f>
        <v>0</v>
      </c>
      <c r="X5" s="74">
        <f>SUMIF(RR_Games!$A:$A,$B:$B,RR_Games!U:U)</f>
        <v>0</v>
      </c>
      <c r="Y5" s="74">
        <f>SUMIF(RR_Games!$A:$A,$B:$B,RR_Games!V:V)</f>
        <v>0</v>
      </c>
      <c r="Z5" s="204" t="e">
        <f>RR_TOT[[#This Row],[Dimes]]/RR_TOT[[#This Row],[Turnovers]]</f>
        <v>#DIV/0!</v>
      </c>
    </row>
    <row r="6" spans="1:26" x14ac:dyDescent="0.2">
      <c r="A6" s="14" t="s">
        <v>40</v>
      </c>
      <c r="B6" t="s">
        <v>83</v>
      </c>
      <c r="C6" t="s">
        <v>208</v>
      </c>
      <c r="D6" s="86"/>
      <c r="E6" s="74">
        <f>SUMIF(RR_Games!$A:$A,$B:$B,RR_Games!B:B)</f>
        <v>0</v>
      </c>
      <c r="F6" s="74">
        <f>SUMIF(RR_Games!$A:$A,$B:$B,RR_Games!C:C)</f>
        <v>0</v>
      </c>
      <c r="G6" s="203" t="e">
        <f>RR_TOT[[#This Row],[Total FGM]]/RR_TOT[[#This Row],[Total FGA]]</f>
        <v>#DIV/0!</v>
      </c>
      <c r="H6" s="98">
        <f>SUMIF(RR_Games!$A:$A,$B:$B,RR_Games!E:E)</f>
        <v>0</v>
      </c>
      <c r="I6" s="19">
        <f>SUMIF(RR_Games!$A:$A,$B:$B,RR_Games!F:F)</f>
        <v>0</v>
      </c>
      <c r="J6" s="91" t="e">
        <f>RR_TOT[[#This Row],[2PT FGM]]/RR_TOT[[#This Row],[2PT FGA]]</f>
        <v>#DIV/0!</v>
      </c>
      <c r="K6" s="19">
        <f>SUMIF(RR_Games!$A:$A,$B:$B,RR_Games!H:H)</f>
        <v>0</v>
      </c>
      <c r="L6" s="19">
        <f>SUMIF(RR_Games!$A:$A,$B:$B,RR_Games!I:I)</f>
        <v>0</v>
      </c>
      <c r="M6" s="91" t="e">
        <f>RR_TOT[[#This Row],[3PT FGM]]/RR_TOT[[#This Row],[3PT FGA]]</f>
        <v>#DIV/0!</v>
      </c>
      <c r="N6" s="19">
        <f>SUMIF(RR_Games!$A:$A,$B:$B,RR_Games!K:K)</f>
        <v>0</v>
      </c>
      <c r="O6" s="19">
        <f>SUMIF(RR_Games!$A:$A,$B:$B,RR_Games!L:L)</f>
        <v>0</v>
      </c>
      <c r="P6" s="99" t="e">
        <f>RR_TOT[[#This Row],[FTM]]/RR_TOT[[#This Row],[FTA]]</f>
        <v>#DIV/0!</v>
      </c>
      <c r="Q6" s="74">
        <f>SUMIF(RR_Games!$A:$A,$B:$B,RR_Games!N:N)</f>
        <v>0</v>
      </c>
      <c r="R6" s="74">
        <f>SUMIF(RR_Games!$A:$A,$B:$B,RR_Games!O:O)</f>
        <v>0</v>
      </c>
      <c r="S6" s="74">
        <f>SUMIF(RR_Games!$A:$A,$B:$B,RR_Games!P:P)</f>
        <v>0</v>
      </c>
      <c r="T6" s="74">
        <f>SUMIF(RR_Games!$A:$A,$B:$B,RR_Games!Q:Q)</f>
        <v>0</v>
      </c>
      <c r="U6" s="74">
        <f>SUMIF(RR_Games!$A:$A,$B:$B,RR_Games!R:R)</f>
        <v>0</v>
      </c>
      <c r="V6" s="74">
        <f>SUMIF(RR_Games!$A:$A,$B:$B,RR_Games!S:S)</f>
        <v>0</v>
      </c>
      <c r="W6" s="74">
        <f>SUMIF(RR_Games!$A:$A,$B:$B,RR_Games!T:T)</f>
        <v>0</v>
      </c>
      <c r="X6" s="74">
        <f>SUMIF(RR_Games!$A:$A,$B:$B,RR_Games!U:U)</f>
        <v>0</v>
      </c>
      <c r="Y6" s="74">
        <f>SUMIF(RR_Games!$A:$A,$B:$B,RR_Games!V:V)</f>
        <v>0</v>
      </c>
      <c r="Z6" s="204" t="e">
        <f>RR_TOT[[#This Row],[Dimes]]/RR_TOT[[#This Row],[Turnovers]]</f>
        <v>#DIV/0!</v>
      </c>
    </row>
    <row r="7" spans="1:26" x14ac:dyDescent="0.2">
      <c r="A7" s="14" t="s">
        <v>30</v>
      </c>
      <c r="B7" t="s">
        <v>96</v>
      </c>
      <c r="C7" t="s">
        <v>208</v>
      </c>
      <c r="D7" s="86"/>
      <c r="E7" s="74">
        <f>SUMIF(RR_Games!$A:$A,$B:$B,RR_Games!B:B)</f>
        <v>0</v>
      </c>
      <c r="F7" s="74">
        <f>SUMIF(RR_Games!$A:$A,$B:$B,RR_Games!C:C)</f>
        <v>0</v>
      </c>
      <c r="G7" s="203" t="e">
        <f>RR_TOT[[#This Row],[Total FGM]]/RR_TOT[[#This Row],[Total FGA]]</f>
        <v>#DIV/0!</v>
      </c>
      <c r="H7" s="98">
        <f>SUMIF(RR_Games!$A:$A,$B:$B,RR_Games!E:E)</f>
        <v>0</v>
      </c>
      <c r="I7" s="19">
        <f>SUMIF(RR_Games!$A:$A,$B:$B,RR_Games!F:F)</f>
        <v>0</v>
      </c>
      <c r="J7" s="91" t="e">
        <f>RR_TOT[[#This Row],[2PT FGM]]/RR_TOT[[#This Row],[2PT FGA]]</f>
        <v>#DIV/0!</v>
      </c>
      <c r="K7" s="19">
        <f>SUMIF(RR_Games!$A:$A,$B:$B,RR_Games!H:H)</f>
        <v>0</v>
      </c>
      <c r="L7" s="19">
        <f>SUMIF(RR_Games!$A:$A,$B:$B,RR_Games!I:I)</f>
        <v>0</v>
      </c>
      <c r="M7" s="91" t="e">
        <f>RR_TOT[[#This Row],[3PT FGM]]/RR_TOT[[#This Row],[3PT FGA]]</f>
        <v>#DIV/0!</v>
      </c>
      <c r="N7" s="19">
        <f>SUMIF(RR_Games!$A:$A,$B:$B,RR_Games!K:K)</f>
        <v>0</v>
      </c>
      <c r="O7" s="19">
        <f>SUMIF(RR_Games!$A:$A,$B:$B,RR_Games!L:L)</f>
        <v>0</v>
      </c>
      <c r="P7" s="99" t="e">
        <f>RR_TOT[[#This Row],[FTM]]/RR_TOT[[#This Row],[FTA]]</f>
        <v>#DIV/0!</v>
      </c>
      <c r="Q7" s="74">
        <f>SUMIF(RR_Games!$A:$A,$B:$B,RR_Games!N:N)</f>
        <v>0</v>
      </c>
      <c r="R7" s="74">
        <f>SUMIF(RR_Games!$A:$A,$B:$B,RR_Games!O:O)</f>
        <v>0</v>
      </c>
      <c r="S7" s="74">
        <f>SUMIF(RR_Games!$A:$A,$B:$B,RR_Games!P:P)</f>
        <v>0</v>
      </c>
      <c r="T7" s="74">
        <f>SUMIF(RR_Games!$A:$A,$B:$B,RR_Games!Q:Q)</f>
        <v>0</v>
      </c>
      <c r="U7" s="74">
        <f>SUMIF(RR_Games!$A:$A,$B:$B,RR_Games!R:R)</f>
        <v>0</v>
      </c>
      <c r="V7" s="74">
        <f>SUMIF(RR_Games!$A:$A,$B:$B,RR_Games!S:S)</f>
        <v>0</v>
      </c>
      <c r="W7" s="74">
        <f>SUMIF(RR_Games!$A:$A,$B:$B,RR_Games!T:T)</f>
        <v>0</v>
      </c>
      <c r="X7" s="74">
        <f>SUMIF(RR_Games!$A:$A,$B:$B,RR_Games!U:U)</f>
        <v>0</v>
      </c>
      <c r="Y7" s="74">
        <f>SUMIF(RR_Games!$A:$A,$B:$B,RR_Games!V:V)</f>
        <v>0</v>
      </c>
      <c r="Z7" s="204" t="e">
        <f>RR_TOT[[#This Row],[Dimes]]/RR_TOT[[#This Row],[Turnovers]]</f>
        <v>#DIV/0!</v>
      </c>
    </row>
    <row r="8" spans="1:26" x14ac:dyDescent="0.2">
      <c r="A8" s="14" t="s">
        <v>206</v>
      </c>
      <c r="B8" t="s">
        <v>207</v>
      </c>
      <c r="C8" t="s">
        <v>208</v>
      </c>
      <c r="D8" s="86"/>
      <c r="E8" s="74">
        <f>SUMIF(RR_Games!$A:$A,$B:$B,RR_Games!B:B)</f>
        <v>0</v>
      </c>
      <c r="F8" s="74">
        <f>SUMIF(RR_Games!$A:$A,$B:$B,RR_Games!C:C)</f>
        <v>0</v>
      </c>
      <c r="G8" s="203" t="e">
        <f>RR_TOT[[#This Row],[Total FGM]]/RR_TOT[[#This Row],[Total FGA]]</f>
        <v>#DIV/0!</v>
      </c>
      <c r="H8" s="98">
        <f>SUMIF(RR_Games!$A:$A,$B:$B,RR_Games!E:E)</f>
        <v>0</v>
      </c>
      <c r="I8" s="19">
        <f>SUMIF(RR_Games!$A:$A,$B:$B,RR_Games!F:F)</f>
        <v>0</v>
      </c>
      <c r="J8" s="91" t="e">
        <f>RR_TOT[[#This Row],[2PT FGM]]/RR_TOT[[#This Row],[2PT FGA]]</f>
        <v>#DIV/0!</v>
      </c>
      <c r="K8" s="19">
        <f>SUMIF(RR_Games!$A:$A,$B:$B,RR_Games!H:H)</f>
        <v>0</v>
      </c>
      <c r="L8" s="19">
        <f>SUMIF(RR_Games!$A:$A,$B:$B,RR_Games!I:I)</f>
        <v>0</v>
      </c>
      <c r="M8" s="91" t="e">
        <f>RR_TOT[[#This Row],[3PT FGM]]/RR_TOT[[#This Row],[3PT FGA]]</f>
        <v>#DIV/0!</v>
      </c>
      <c r="N8" s="19">
        <f>SUMIF(RR_Games!$A:$A,$B:$B,RR_Games!K:K)</f>
        <v>0</v>
      </c>
      <c r="O8" s="19">
        <f>SUMIF(RR_Games!$A:$A,$B:$B,RR_Games!L:L)</f>
        <v>0</v>
      </c>
      <c r="P8" s="99" t="e">
        <f>RR_TOT[[#This Row],[FTM]]/RR_TOT[[#This Row],[FTA]]</f>
        <v>#DIV/0!</v>
      </c>
      <c r="Q8" s="74">
        <f>SUMIF(RR_Games!$A:$A,$B:$B,RR_Games!N:N)</f>
        <v>0</v>
      </c>
      <c r="R8" s="74">
        <f>SUMIF(RR_Games!$A:$A,$B:$B,RR_Games!O:O)</f>
        <v>0</v>
      </c>
      <c r="S8" s="74">
        <f>SUMIF(RR_Games!$A:$A,$B:$B,RR_Games!P:P)</f>
        <v>0</v>
      </c>
      <c r="T8" s="74">
        <f>SUMIF(RR_Games!$A:$A,$B:$B,RR_Games!Q:Q)</f>
        <v>0</v>
      </c>
      <c r="U8" s="74">
        <f>SUMIF(RR_Games!$A:$A,$B:$B,RR_Games!R:R)</f>
        <v>0</v>
      </c>
      <c r="V8" s="74">
        <f>SUMIF(RR_Games!$A:$A,$B:$B,RR_Games!S:S)</f>
        <v>0</v>
      </c>
      <c r="W8" s="74">
        <f>SUMIF(RR_Games!$A:$A,$B:$B,RR_Games!T:T)</f>
        <v>0</v>
      </c>
      <c r="X8" s="74">
        <f>SUMIF(RR_Games!$A:$A,$B:$B,RR_Games!U:U)</f>
        <v>0</v>
      </c>
      <c r="Y8" s="74">
        <f>SUMIF(RR_Games!$A:$A,$B:$B,RR_Games!V:V)</f>
        <v>0</v>
      </c>
      <c r="Z8" s="204" t="e">
        <f>RR_TOT[[#This Row],[Dimes]]/RR_TOT[[#This Row],[Turnovers]]</f>
        <v>#DIV/0!</v>
      </c>
    </row>
    <row r="9" spans="1:26" x14ac:dyDescent="0.2">
      <c r="A9" s="14" t="s">
        <v>44</v>
      </c>
      <c r="B9" t="s">
        <v>80</v>
      </c>
      <c r="C9" t="s">
        <v>132</v>
      </c>
      <c r="D9" s="86"/>
      <c r="E9" s="74">
        <f>SUMIF(RR_Games!$A:$A,$B:$B,RR_Games!B:B)</f>
        <v>0</v>
      </c>
      <c r="F9" s="74">
        <f>SUMIF(RR_Games!$A:$A,$B:$B,RR_Games!C:C)</f>
        <v>0</v>
      </c>
      <c r="G9" s="203" t="e">
        <f>RR_TOT[[#This Row],[Total FGM]]/RR_TOT[[#This Row],[Total FGA]]</f>
        <v>#DIV/0!</v>
      </c>
      <c r="H9" s="98">
        <f>SUMIF(RR_Games!$A:$A,$B:$B,RR_Games!E:E)</f>
        <v>0</v>
      </c>
      <c r="I9" s="19">
        <f>SUMIF(RR_Games!$A:$A,$B:$B,RR_Games!F:F)</f>
        <v>0</v>
      </c>
      <c r="J9" s="91" t="e">
        <f>RR_TOT[[#This Row],[2PT FGM]]/RR_TOT[[#This Row],[2PT FGA]]</f>
        <v>#DIV/0!</v>
      </c>
      <c r="K9" s="19">
        <f>SUMIF(RR_Games!$A:$A,$B:$B,RR_Games!H:H)</f>
        <v>0</v>
      </c>
      <c r="L9" s="19">
        <f>SUMIF(RR_Games!$A:$A,$B:$B,RR_Games!I:I)</f>
        <v>0</v>
      </c>
      <c r="M9" s="91" t="e">
        <f>RR_TOT[[#This Row],[3PT FGM]]/RR_TOT[[#This Row],[3PT FGA]]</f>
        <v>#DIV/0!</v>
      </c>
      <c r="N9" s="19">
        <f>SUMIF(RR_Games!$A:$A,$B:$B,RR_Games!K:K)</f>
        <v>0</v>
      </c>
      <c r="O9" s="19">
        <f>SUMIF(RR_Games!$A:$A,$B:$B,RR_Games!L:L)</f>
        <v>0</v>
      </c>
      <c r="P9" s="99" t="e">
        <f>RR_TOT[[#This Row],[FTM]]/RR_TOT[[#This Row],[FTA]]</f>
        <v>#DIV/0!</v>
      </c>
      <c r="Q9" s="74">
        <f>SUMIF(RR_Games!$A:$A,$B:$B,RR_Games!N:N)</f>
        <v>0</v>
      </c>
      <c r="R9" s="74">
        <f>SUMIF(RR_Games!$A:$A,$B:$B,RR_Games!O:O)</f>
        <v>0</v>
      </c>
      <c r="S9" s="74">
        <f>SUMIF(RR_Games!$A:$A,$B:$B,RR_Games!P:P)</f>
        <v>0</v>
      </c>
      <c r="T9" s="74">
        <f>SUMIF(RR_Games!$A:$A,$B:$B,RR_Games!Q:Q)</f>
        <v>0</v>
      </c>
      <c r="U9" s="74">
        <f>SUMIF(RR_Games!$A:$A,$B:$B,RR_Games!R:R)</f>
        <v>0</v>
      </c>
      <c r="V9" s="74">
        <f>SUMIF(RR_Games!$A:$A,$B:$B,RR_Games!S:S)</f>
        <v>0</v>
      </c>
      <c r="W9" s="74">
        <f>SUMIF(RR_Games!$A:$A,$B:$B,RR_Games!T:T)</f>
        <v>0</v>
      </c>
      <c r="X9" s="74">
        <f>SUMIF(RR_Games!$A:$A,$B:$B,RR_Games!U:U)</f>
        <v>0</v>
      </c>
      <c r="Y9" s="74">
        <f>SUMIF(RR_Games!$A:$A,$B:$B,RR_Games!V:V)</f>
        <v>0</v>
      </c>
      <c r="Z9" s="204" t="e">
        <f>RR_TOT[[#This Row],[Dimes]]/RR_TOT[[#This Row],[Turnovers]]</f>
        <v>#DIV/0!</v>
      </c>
    </row>
    <row r="10" spans="1:26" x14ac:dyDescent="0.2">
      <c r="A10" s="14" t="s">
        <v>52</v>
      </c>
      <c r="B10" t="s">
        <v>91</v>
      </c>
      <c r="C10" t="s">
        <v>132</v>
      </c>
      <c r="D10" s="86"/>
      <c r="E10" s="74">
        <f>SUMIF(RR_Games!$A:$A,$B:$B,RR_Games!B:B)</f>
        <v>0</v>
      </c>
      <c r="F10" s="74">
        <f>SUMIF(RR_Games!$A:$A,$B:$B,RR_Games!C:C)</f>
        <v>0</v>
      </c>
      <c r="G10" s="203" t="e">
        <f>RR_TOT[[#This Row],[Total FGM]]/RR_TOT[[#This Row],[Total FGA]]</f>
        <v>#DIV/0!</v>
      </c>
      <c r="H10" s="98">
        <f>SUMIF(RR_Games!$A:$A,$B:$B,RR_Games!E:E)</f>
        <v>0</v>
      </c>
      <c r="I10" s="19">
        <f>SUMIF(RR_Games!$A:$A,$B:$B,RR_Games!F:F)</f>
        <v>0</v>
      </c>
      <c r="J10" s="91" t="e">
        <f>RR_TOT[[#This Row],[2PT FGM]]/RR_TOT[[#This Row],[2PT FGA]]</f>
        <v>#DIV/0!</v>
      </c>
      <c r="K10" s="19">
        <f>SUMIF(RR_Games!$A:$A,$B:$B,RR_Games!H:H)</f>
        <v>0</v>
      </c>
      <c r="L10" s="19">
        <f>SUMIF(RR_Games!$A:$A,$B:$B,RR_Games!I:I)</f>
        <v>0</v>
      </c>
      <c r="M10" s="91" t="e">
        <f>RR_TOT[[#This Row],[3PT FGM]]/RR_TOT[[#This Row],[3PT FGA]]</f>
        <v>#DIV/0!</v>
      </c>
      <c r="N10" s="19">
        <f>SUMIF(RR_Games!$A:$A,$B:$B,RR_Games!K:K)</f>
        <v>0</v>
      </c>
      <c r="O10" s="19">
        <f>SUMIF(RR_Games!$A:$A,$B:$B,RR_Games!L:L)</f>
        <v>0</v>
      </c>
      <c r="P10" s="99" t="e">
        <f>RR_TOT[[#This Row],[FTM]]/RR_TOT[[#This Row],[FTA]]</f>
        <v>#DIV/0!</v>
      </c>
      <c r="Q10" s="74">
        <f>SUMIF(RR_Games!$A:$A,$B:$B,RR_Games!N:N)</f>
        <v>0</v>
      </c>
      <c r="R10" s="74">
        <f>SUMIF(RR_Games!$A:$A,$B:$B,RR_Games!O:O)</f>
        <v>0</v>
      </c>
      <c r="S10" s="74">
        <f>SUMIF(RR_Games!$A:$A,$B:$B,RR_Games!P:P)</f>
        <v>0</v>
      </c>
      <c r="T10" s="74">
        <f>SUMIF(RR_Games!$A:$A,$B:$B,RR_Games!Q:Q)</f>
        <v>0</v>
      </c>
      <c r="U10" s="74">
        <f>SUMIF(RR_Games!$A:$A,$B:$B,RR_Games!R:R)</f>
        <v>0</v>
      </c>
      <c r="V10" s="74">
        <f>SUMIF(RR_Games!$A:$A,$B:$B,RR_Games!S:S)</f>
        <v>0</v>
      </c>
      <c r="W10" s="74">
        <f>SUMIF(RR_Games!$A:$A,$B:$B,RR_Games!T:T)</f>
        <v>0</v>
      </c>
      <c r="X10" s="74">
        <f>SUMIF(RR_Games!$A:$A,$B:$B,RR_Games!U:U)</f>
        <v>0</v>
      </c>
      <c r="Y10" s="74">
        <f>SUMIF(RR_Games!$A:$A,$B:$B,RR_Games!V:V)</f>
        <v>0</v>
      </c>
      <c r="Z10" s="204" t="e">
        <f>RR_TOT[[#This Row],[Dimes]]/RR_TOT[[#This Row],[Turnovers]]</f>
        <v>#DIV/0!</v>
      </c>
    </row>
    <row r="11" spans="1:26" x14ac:dyDescent="0.2">
      <c r="A11" s="14" t="s">
        <v>53</v>
      </c>
      <c r="B11" t="s">
        <v>77</v>
      </c>
      <c r="C11" t="s">
        <v>132</v>
      </c>
      <c r="D11" s="86"/>
      <c r="E11" s="74">
        <f>SUMIF(RR_Games!$A:$A,$B:$B,RR_Games!B:B)</f>
        <v>0</v>
      </c>
      <c r="F11" s="74">
        <f>SUMIF(RR_Games!$A:$A,$B:$B,RR_Games!C:C)</f>
        <v>0</v>
      </c>
      <c r="G11" s="203" t="e">
        <f>RR_TOT[[#This Row],[Total FGM]]/RR_TOT[[#This Row],[Total FGA]]</f>
        <v>#DIV/0!</v>
      </c>
      <c r="H11" s="98">
        <f>SUMIF(RR_Games!$A:$A,$B:$B,RR_Games!E:E)</f>
        <v>0</v>
      </c>
      <c r="I11" s="19">
        <f>SUMIF(RR_Games!$A:$A,$B:$B,RR_Games!F:F)</f>
        <v>0</v>
      </c>
      <c r="J11" s="91" t="e">
        <f>RR_TOT[[#This Row],[2PT FGM]]/RR_TOT[[#This Row],[2PT FGA]]</f>
        <v>#DIV/0!</v>
      </c>
      <c r="K11" s="19">
        <f>SUMIF(RR_Games!$A:$A,$B:$B,RR_Games!H:H)</f>
        <v>0</v>
      </c>
      <c r="L11" s="19">
        <f>SUMIF(RR_Games!$A:$A,$B:$B,RR_Games!I:I)</f>
        <v>0</v>
      </c>
      <c r="M11" s="91" t="e">
        <f>RR_TOT[[#This Row],[3PT FGM]]/RR_TOT[[#This Row],[3PT FGA]]</f>
        <v>#DIV/0!</v>
      </c>
      <c r="N11" s="19">
        <f>SUMIF(RR_Games!$A:$A,$B:$B,RR_Games!K:K)</f>
        <v>0</v>
      </c>
      <c r="O11" s="19">
        <f>SUMIF(RR_Games!$A:$A,$B:$B,RR_Games!L:L)</f>
        <v>0</v>
      </c>
      <c r="P11" s="99" t="e">
        <f>RR_TOT[[#This Row],[FTM]]/RR_TOT[[#This Row],[FTA]]</f>
        <v>#DIV/0!</v>
      </c>
      <c r="Q11" s="74">
        <f>SUMIF(RR_Games!$A:$A,$B:$B,RR_Games!N:N)</f>
        <v>0</v>
      </c>
      <c r="R11" s="74">
        <f>SUMIF(RR_Games!$A:$A,$B:$B,RR_Games!O:O)</f>
        <v>0</v>
      </c>
      <c r="S11" s="74">
        <f>SUMIF(RR_Games!$A:$A,$B:$B,RR_Games!P:P)</f>
        <v>0</v>
      </c>
      <c r="T11" s="74">
        <f>SUMIF(RR_Games!$A:$A,$B:$B,RR_Games!Q:Q)</f>
        <v>0</v>
      </c>
      <c r="U11" s="74">
        <f>SUMIF(RR_Games!$A:$A,$B:$B,RR_Games!R:R)</f>
        <v>0</v>
      </c>
      <c r="V11" s="74">
        <f>SUMIF(RR_Games!$A:$A,$B:$B,RR_Games!S:S)</f>
        <v>0</v>
      </c>
      <c r="W11" s="74">
        <f>SUMIF(RR_Games!$A:$A,$B:$B,RR_Games!T:T)</f>
        <v>0</v>
      </c>
      <c r="X11" s="74">
        <f>SUMIF(RR_Games!$A:$A,$B:$B,RR_Games!U:U)</f>
        <v>0</v>
      </c>
      <c r="Y11" s="74">
        <f>SUMIF(RR_Games!$A:$A,$B:$B,RR_Games!V:V)</f>
        <v>0</v>
      </c>
      <c r="Z11" s="204" t="e">
        <f>RR_TOT[[#This Row],[Dimes]]/RR_TOT[[#This Row],[Turnovers]]</f>
        <v>#DIV/0!</v>
      </c>
    </row>
    <row r="12" spans="1:26" x14ac:dyDescent="0.2">
      <c r="A12" s="16" t="s">
        <v>56</v>
      </c>
      <c r="B12" t="s">
        <v>95</v>
      </c>
      <c r="C12" t="s">
        <v>132</v>
      </c>
      <c r="D12" s="86"/>
      <c r="E12" s="74">
        <f>SUMIF(RR_Games!$A:$A,$B:$B,RR_Games!B:B)</f>
        <v>0</v>
      </c>
      <c r="F12" s="74">
        <f>SUMIF(RR_Games!$A:$A,$B:$B,RR_Games!C:C)</f>
        <v>0</v>
      </c>
      <c r="G12" s="203" t="e">
        <f>RR_TOT[[#This Row],[Total FGM]]/RR_TOT[[#This Row],[Total FGA]]</f>
        <v>#DIV/0!</v>
      </c>
      <c r="H12" s="98">
        <f>SUMIF(RR_Games!$A:$A,$B:$B,RR_Games!E:E)</f>
        <v>0</v>
      </c>
      <c r="I12" s="19">
        <f>SUMIF(RR_Games!$A:$A,$B:$B,RR_Games!F:F)</f>
        <v>0</v>
      </c>
      <c r="J12" s="91" t="e">
        <f>RR_TOT[[#This Row],[2PT FGM]]/RR_TOT[[#This Row],[2PT FGA]]</f>
        <v>#DIV/0!</v>
      </c>
      <c r="K12" s="19">
        <f>SUMIF(RR_Games!$A:$A,$B:$B,RR_Games!H:H)</f>
        <v>0</v>
      </c>
      <c r="L12" s="19">
        <f>SUMIF(RR_Games!$A:$A,$B:$B,RR_Games!I:I)</f>
        <v>0</v>
      </c>
      <c r="M12" s="91" t="e">
        <f>RR_TOT[[#This Row],[3PT FGM]]/RR_TOT[[#This Row],[3PT FGA]]</f>
        <v>#DIV/0!</v>
      </c>
      <c r="N12" s="19">
        <f>SUMIF(RR_Games!$A:$A,$B:$B,RR_Games!K:K)</f>
        <v>0</v>
      </c>
      <c r="O12" s="19">
        <f>SUMIF(RR_Games!$A:$A,$B:$B,RR_Games!L:L)</f>
        <v>0</v>
      </c>
      <c r="P12" s="99" t="e">
        <f>RR_TOT[[#This Row],[FTM]]/RR_TOT[[#This Row],[FTA]]</f>
        <v>#DIV/0!</v>
      </c>
      <c r="Q12" s="74">
        <f>SUMIF(RR_Games!$A:$A,$B:$B,RR_Games!N:N)</f>
        <v>0</v>
      </c>
      <c r="R12" s="74">
        <f>SUMIF(RR_Games!$A:$A,$B:$B,RR_Games!O:O)</f>
        <v>0</v>
      </c>
      <c r="S12" s="74">
        <f>SUMIF(RR_Games!$A:$A,$B:$B,RR_Games!P:P)</f>
        <v>0</v>
      </c>
      <c r="T12" s="74">
        <f>SUMIF(RR_Games!$A:$A,$B:$B,RR_Games!Q:Q)</f>
        <v>0</v>
      </c>
      <c r="U12" s="74">
        <f>SUMIF(RR_Games!$A:$A,$B:$B,RR_Games!R:R)</f>
        <v>0</v>
      </c>
      <c r="V12" s="74">
        <f>SUMIF(RR_Games!$A:$A,$B:$B,RR_Games!S:S)</f>
        <v>0</v>
      </c>
      <c r="W12" s="74">
        <f>SUMIF(RR_Games!$A:$A,$B:$B,RR_Games!T:T)</f>
        <v>0</v>
      </c>
      <c r="X12" s="74">
        <f>SUMIF(RR_Games!$A:$A,$B:$B,RR_Games!U:U)</f>
        <v>0</v>
      </c>
      <c r="Y12" s="74">
        <f>SUMIF(RR_Games!$A:$A,$B:$B,RR_Games!V:V)</f>
        <v>0</v>
      </c>
      <c r="Z12" s="204" t="e">
        <f>RR_TOT[[#This Row],[Dimes]]/RR_TOT[[#This Row],[Turnovers]]</f>
        <v>#DIV/0!</v>
      </c>
    </row>
    <row r="13" spans="1:26" x14ac:dyDescent="0.2">
      <c r="A13" s="14" t="s">
        <v>34</v>
      </c>
      <c r="B13" t="s">
        <v>78</v>
      </c>
      <c r="C13" t="s">
        <v>132</v>
      </c>
      <c r="D13" s="86"/>
      <c r="E13" s="74">
        <f>SUMIF(RR_Games!$A:$A,$B:$B,RR_Games!B:B)</f>
        <v>0</v>
      </c>
      <c r="F13" s="74">
        <f>SUMIF(RR_Games!$A:$A,$B:$B,RR_Games!C:C)</f>
        <v>0</v>
      </c>
      <c r="G13" s="203" t="e">
        <f>RR_TOT[[#This Row],[Total FGM]]/RR_TOT[[#This Row],[Total FGA]]</f>
        <v>#DIV/0!</v>
      </c>
      <c r="H13" s="98">
        <f>SUMIF(RR_Games!$A:$A,$B:$B,RR_Games!E:E)</f>
        <v>0</v>
      </c>
      <c r="I13" s="19">
        <f>SUMIF(RR_Games!$A:$A,$B:$B,RR_Games!F:F)</f>
        <v>0</v>
      </c>
      <c r="J13" s="91" t="e">
        <f>RR_TOT[[#This Row],[2PT FGM]]/RR_TOT[[#This Row],[2PT FGA]]</f>
        <v>#DIV/0!</v>
      </c>
      <c r="K13" s="19">
        <f>SUMIF(RR_Games!$A:$A,$B:$B,RR_Games!H:H)</f>
        <v>0</v>
      </c>
      <c r="L13" s="19">
        <f>SUMIF(RR_Games!$A:$A,$B:$B,RR_Games!I:I)</f>
        <v>0</v>
      </c>
      <c r="M13" s="91" t="e">
        <f>RR_TOT[[#This Row],[3PT FGM]]/RR_TOT[[#This Row],[3PT FGA]]</f>
        <v>#DIV/0!</v>
      </c>
      <c r="N13" s="19">
        <f>SUMIF(RR_Games!$A:$A,$B:$B,RR_Games!K:K)</f>
        <v>0</v>
      </c>
      <c r="O13" s="19">
        <f>SUMIF(RR_Games!$A:$A,$B:$B,RR_Games!L:L)</f>
        <v>0</v>
      </c>
      <c r="P13" s="99" t="e">
        <f>RR_TOT[[#This Row],[FTM]]/RR_TOT[[#This Row],[FTA]]</f>
        <v>#DIV/0!</v>
      </c>
      <c r="Q13" s="74">
        <f>SUMIF(RR_Games!$A:$A,$B:$B,RR_Games!N:N)</f>
        <v>0</v>
      </c>
      <c r="R13" s="74">
        <f>SUMIF(RR_Games!$A:$A,$B:$B,RR_Games!O:O)</f>
        <v>0</v>
      </c>
      <c r="S13" s="74">
        <f>SUMIF(RR_Games!$A:$A,$B:$B,RR_Games!P:P)</f>
        <v>0</v>
      </c>
      <c r="T13" s="74">
        <f>SUMIF(RR_Games!$A:$A,$B:$B,RR_Games!Q:Q)</f>
        <v>0</v>
      </c>
      <c r="U13" s="74">
        <f>SUMIF(RR_Games!$A:$A,$B:$B,RR_Games!R:R)</f>
        <v>0</v>
      </c>
      <c r="V13" s="74">
        <f>SUMIF(RR_Games!$A:$A,$B:$B,RR_Games!S:S)</f>
        <v>0</v>
      </c>
      <c r="W13" s="74">
        <f>SUMIF(RR_Games!$A:$A,$B:$B,RR_Games!T:T)</f>
        <v>0</v>
      </c>
      <c r="X13" s="74">
        <f>SUMIF(RR_Games!$A:$A,$B:$B,RR_Games!U:U)</f>
        <v>0</v>
      </c>
      <c r="Y13" s="74">
        <f>SUMIF(RR_Games!$A:$A,$B:$B,RR_Games!V:V)</f>
        <v>0</v>
      </c>
      <c r="Z13" s="204" t="e">
        <f>RR_TOT[[#This Row],[Dimes]]/RR_TOT[[#This Row],[Turnovers]]</f>
        <v>#DIV/0!</v>
      </c>
    </row>
    <row r="14" spans="1:26" x14ac:dyDescent="0.2">
      <c r="A14" s="14" t="s">
        <v>41</v>
      </c>
      <c r="B14" t="s">
        <v>79</v>
      </c>
      <c r="C14" t="s">
        <v>132</v>
      </c>
      <c r="D14" s="86"/>
      <c r="E14" s="74">
        <f>SUMIF(RR_Games!$A:$A,$B:$B,RR_Games!B:B)</f>
        <v>0</v>
      </c>
      <c r="F14" s="74">
        <f>SUMIF(RR_Games!$A:$A,$B:$B,RR_Games!C:C)</f>
        <v>0</v>
      </c>
      <c r="G14" s="203" t="e">
        <f>RR_TOT[[#This Row],[Total FGM]]/RR_TOT[[#This Row],[Total FGA]]</f>
        <v>#DIV/0!</v>
      </c>
      <c r="H14" s="98">
        <f>SUMIF(RR_Games!$A:$A,$B:$B,RR_Games!E:E)</f>
        <v>0</v>
      </c>
      <c r="I14" s="19">
        <f>SUMIF(RR_Games!$A:$A,$B:$B,RR_Games!F:F)</f>
        <v>0</v>
      </c>
      <c r="J14" s="91" t="e">
        <f>RR_TOT[[#This Row],[2PT FGM]]/RR_TOT[[#This Row],[2PT FGA]]</f>
        <v>#DIV/0!</v>
      </c>
      <c r="K14" s="19">
        <f>SUMIF(RR_Games!$A:$A,$B:$B,RR_Games!H:H)</f>
        <v>0</v>
      </c>
      <c r="L14" s="19">
        <f>SUMIF(RR_Games!$A:$A,$B:$B,RR_Games!I:I)</f>
        <v>0</v>
      </c>
      <c r="M14" s="91" t="e">
        <f>RR_TOT[[#This Row],[3PT FGM]]/RR_TOT[[#This Row],[3PT FGA]]</f>
        <v>#DIV/0!</v>
      </c>
      <c r="N14" s="19">
        <f>SUMIF(RR_Games!$A:$A,$B:$B,RR_Games!K:K)</f>
        <v>0</v>
      </c>
      <c r="O14" s="19">
        <f>SUMIF(RR_Games!$A:$A,$B:$B,RR_Games!L:L)</f>
        <v>0</v>
      </c>
      <c r="P14" s="99" t="e">
        <f>RR_TOT[[#This Row],[FTM]]/RR_TOT[[#This Row],[FTA]]</f>
        <v>#DIV/0!</v>
      </c>
      <c r="Q14" s="74">
        <f>SUMIF(RR_Games!$A:$A,$B:$B,RR_Games!N:N)</f>
        <v>0</v>
      </c>
      <c r="R14" s="74">
        <f>SUMIF(RR_Games!$A:$A,$B:$B,RR_Games!O:O)</f>
        <v>0</v>
      </c>
      <c r="S14" s="74">
        <f>SUMIF(RR_Games!$A:$A,$B:$B,RR_Games!P:P)</f>
        <v>0</v>
      </c>
      <c r="T14" s="74">
        <f>SUMIF(RR_Games!$A:$A,$B:$B,RR_Games!Q:Q)</f>
        <v>0</v>
      </c>
      <c r="U14" s="74">
        <f>SUMIF(RR_Games!$A:$A,$B:$B,RR_Games!R:R)</f>
        <v>0</v>
      </c>
      <c r="V14" s="74">
        <f>SUMIF(RR_Games!$A:$A,$B:$B,RR_Games!S:S)</f>
        <v>0</v>
      </c>
      <c r="W14" s="74">
        <f>SUMIF(RR_Games!$A:$A,$B:$B,RR_Games!T:T)</f>
        <v>0</v>
      </c>
      <c r="X14" s="74">
        <f>SUMIF(RR_Games!$A:$A,$B:$B,RR_Games!U:U)</f>
        <v>0</v>
      </c>
      <c r="Y14" s="74">
        <f>SUMIF(RR_Games!$A:$A,$B:$B,RR_Games!V:V)</f>
        <v>0</v>
      </c>
      <c r="Z14" s="204" t="e">
        <f>RR_TOT[[#This Row],[Dimes]]/RR_TOT[[#This Row],[Turnovers]]</f>
        <v>#DIV/0!</v>
      </c>
    </row>
    <row r="15" spans="1:26" x14ac:dyDescent="0.2">
      <c r="A15" s="14" t="s">
        <v>46</v>
      </c>
      <c r="B15" t="s">
        <v>81</v>
      </c>
      <c r="C15" t="s">
        <v>132</v>
      </c>
      <c r="D15" s="86"/>
      <c r="E15" s="74">
        <f>SUMIF(RR_Games!$A:$A,$B:$B,RR_Games!B:B)</f>
        <v>0</v>
      </c>
      <c r="F15" s="74">
        <f>SUMIF(RR_Games!$A:$A,$B:$B,RR_Games!C:C)</f>
        <v>0</v>
      </c>
      <c r="G15" s="203" t="e">
        <f>RR_TOT[[#This Row],[Total FGM]]/RR_TOT[[#This Row],[Total FGA]]</f>
        <v>#DIV/0!</v>
      </c>
      <c r="H15" s="98">
        <f>SUMIF(RR_Games!$A:$A,$B:$B,RR_Games!E:E)</f>
        <v>0</v>
      </c>
      <c r="I15" s="19">
        <f>SUMIF(RR_Games!$A:$A,$B:$B,RR_Games!F:F)</f>
        <v>0</v>
      </c>
      <c r="J15" s="91" t="e">
        <f>RR_TOT[[#This Row],[2PT FGM]]/RR_TOT[[#This Row],[2PT FGA]]</f>
        <v>#DIV/0!</v>
      </c>
      <c r="K15" s="19">
        <f>SUMIF(RR_Games!$A:$A,$B:$B,RR_Games!H:H)</f>
        <v>0</v>
      </c>
      <c r="L15" s="19">
        <f>SUMIF(RR_Games!$A:$A,$B:$B,RR_Games!I:I)</f>
        <v>0</v>
      </c>
      <c r="M15" s="91" t="e">
        <f>RR_TOT[[#This Row],[3PT FGM]]/RR_TOT[[#This Row],[3PT FGA]]</f>
        <v>#DIV/0!</v>
      </c>
      <c r="N15" s="19">
        <f>SUMIF(RR_Games!$A:$A,$B:$B,RR_Games!K:K)</f>
        <v>0</v>
      </c>
      <c r="O15" s="19">
        <f>SUMIF(RR_Games!$A:$A,$B:$B,RR_Games!L:L)</f>
        <v>0</v>
      </c>
      <c r="P15" s="99" t="e">
        <f>RR_TOT[[#This Row],[FTM]]/RR_TOT[[#This Row],[FTA]]</f>
        <v>#DIV/0!</v>
      </c>
      <c r="Q15" s="74">
        <f>SUMIF(RR_Games!$A:$A,$B:$B,RR_Games!N:N)</f>
        <v>0</v>
      </c>
      <c r="R15" s="74">
        <f>SUMIF(RR_Games!$A:$A,$B:$B,RR_Games!O:O)</f>
        <v>0</v>
      </c>
      <c r="S15" s="74">
        <f>SUMIF(RR_Games!$A:$A,$B:$B,RR_Games!P:P)</f>
        <v>0</v>
      </c>
      <c r="T15" s="74">
        <f>SUMIF(RR_Games!$A:$A,$B:$B,RR_Games!Q:Q)</f>
        <v>0</v>
      </c>
      <c r="U15" s="74">
        <f>SUMIF(RR_Games!$A:$A,$B:$B,RR_Games!R:R)</f>
        <v>0</v>
      </c>
      <c r="V15" s="74">
        <f>SUMIF(RR_Games!$A:$A,$B:$B,RR_Games!S:S)</f>
        <v>0</v>
      </c>
      <c r="W15" s="74">
        <f>SUMIF(RR_Games!$A:$A,$B:$B,RR_Games!T:T)</f>
        <v>0</v>
      </c>
      <c r="X15" s="74">
        <f>SUMIF(RR_Games!$A:$A,$B:$B,RR_Games!U:U)</f>
        <v>0</v>
      </c>
      <c r="Y15" s="74">
        <f>SUMIF(RR_Games!$A:$A,$B:$B,RR_Games!V:V)</f>
        <v>0</v>
      </c>
      <c r="Z15" s="204" t="e">
        <f>RR_TOT[[#This Row],[Dimes]]/RR_TOT[[#This Row],[Turnovers]]</f>
        <v>#DIV/0!</v>
      </c>
    </row>
    <row r="16" spans="1:26" x14ac:dyDescent="0.2">
      <c r="A16" s="16" t="s">
        <v>38</v>
      </c>
      <c r="B16" t="s">
        <v>82</v>
      </c>
      <c r="C16" t="s">
        <v>132</v>
      </c>
      <c r="D16" s="86"/>
      <c r="E16" s="74">
        <f>SUMIF(RR_Games!$A:$A,$B:$B,RR_Games!B:B)</f>
        <v>0</v>
      </c>
      <c r="F16" s="74">
        <f>SUMIF(RR_Games!$A:$A,$B:$B,RR_Games!C:C)</f>
        <v>0</v>
      </c>
      <c r="G16" s="203" t="e">
        <f>RR_TOT[[#This Row],[Total FGM]]/RR_TOT[[#This Row],[Total FGA]]</f>
        <v>#DIV/0!</v>
      </c>
      <c r="H16" s="98">
        <f>SUMIF(RR_Games!$A:$A,$B:$B,RR_Games!E:E)</f>
        <v>0</v>
      </c>
      <c r="I16" s="19">
        <f>SUMIF(RR_Games!$A:$A,$B:$B,RR_Games!F:F)</f>
        <v>0</v>
      </c>
      <c r="J16" s="91" t="e">
        <f>RR_TOT[[#This Row],[2PT FGM]]/RR_TOT[[#This Row],[2PT FGA]]</f>
        <v>#DIV/0!</v>
      </c>
      <c r="K16" s="19">
        <f>SUMIF(RR_Games!$A:$A,$B:$B,RR_Games!H:H)</f>
        <v>0</v>
      </c>
      <c r="L16" s="19">
        <f>SUMIF(RR_Games!$A:$A,$B:$B,RR_Games!I:I)</f>
        <v>0</v>
      </c>
      <c r="M16" s="91" t="e">
        <f>RR_TOT[[#This Row],[3PT FGM]]/RR_TOT[[#This Row],[3PT FGA]]</f>
        <v>#DIV/0!</v>
      </c>
      <c r="N16" s="19">
        <f>SUMIF(RR_Games!$A:$A,$B:$B,RR_Games!K:K)</f>
        <v>0</v>
      </c>
      <c r="O16" s="19">
        <f>SUMIF(RR_Games!$A:$A,$B:$B,RR_Games!L:L)</f>
        <v>0</v>
      </c>
      <c r="P16" s="99" t="e">
        <f>RR_TOT[[#This Row],[FTM]]/RR_TOT[[#This Row],[FTA]]</f>
        <v>#DIV/0!</v>
      </c>
      <c r="Q16" s="74">
        <f>SUMIF(RR_Games!$A:$A,$B:$B,RR_Games!N:N)</f>
        <v>0</v>
      </c>
      <c r="R16" s="74">
        <f>SUMIF(RR_Games!$A:$A,$B:$B,RR_Games!O:O)</f>
        <v>0</v>
      </c>
      <c r="S16" s="74">
        <f>SUMIF(RR_Games!$A:$A,$B:$B,RR_Games!P:P)</f>
        <v>0</v>
      </c>
      <c r="T16" s="74">
        <f>SUMIF(RR_Games!$A:$A,$B:$B,RR_Games!Q:Q)</f>
        <v>0</v>
      </c>
      <c r="U16" s="74">
        <f>SUMIF(RR_Games!$A:$A,$B:$B,RR_Games!R:R)</f>
        <v>0</v>
      </c>
      <c r="V16" s="74">
        <f>SUMIF(RR_Games!$A:$A,$B:$B,RR_Games!S:S)</f>
        <v>0</v>
      </c>
      <c r="W16" s="74">
        <f>SUMIF(RR_Games!$A:$A,$B:$B,RR_Games!T:T)</f>
        <v>0</v>
      </c>
      <c r="X16" s="74">
        <f>SUMIF(RR_Games!$A:$A,$B:$B,RR_Games!U:U)</f>
        <v>0</v>
      </c>
      <c r="Y16" s="74">
        <f>SUMIF(RR_Games!$A:$A,$B:$B,RR_Games!V:V)</f>
        <v>0</v>
      </c>
      <c r="Z16" s="204" t="e">
        <f>RR_TOT[[#This Row],[Dimes]]/RR_TOT[[#This Row],[Turnovers]]</f>
        <v>#DIV/0!</v>
      </c>
    </row>
    <row r="17" spans="1:26" x14ac:dyDescent="0.2">
      <c r="A17" s="14" t="s">
        <v>31</v>
      </c>
      <c r="B17" t="s">
        <v>84</v>
      </c>
      <c r="C17" t="s">
        <v>132</v>
      </c>
      <c r="D17" s="86"/>
      <c r="E17" s="74">
        <f>SUMIF(RR_Games!$A:$A,$B:$B,RR_Games!B:B)</f>
        <v>0</v>
      </c>
      <c r="F17" s="74">
        <f>SUMIF(RR_Games!$A:$A,$B:$B,RR_Games!C:C)</f>
        <v>0</v>
      </c>
      <c r="G17" s="203" t="e">
        <f>RR_TOT[[#This Row],[Total FGM]]/RR_TOT[[#This Row],[Total FGA]]</f>
        <v>#DIV/0!</v>
      </c>
      <c r="H17" s="98">
        <f>SUMIF(RR_Games!$A:$A,$B:$B,RR_Games!E:E)</f>
        <v>0</v>
      </c>
      <c r="I17" s="19">
        <f>SUMIF(RR_Games!$A:$A,$B:$B,RR_Games!F:F)</f>
        <v>0</v>
      </c>
      <c r="J17" s="91" t="e">
        <f>RR_TOT[[#This Row],[2PT FGM]]/RR_TOT[[#This Row],[2PT FGA]]</f>
        <v>#DIV/0!</v>
      </c>
      <c r="K17" s="19">
        <f>SUMIF(RR_Games!$A:$A,$B:$B,RR_Games!H:H)</f>
        <v>0</v>
      </c>
      <c r="L17" s="19">
        <f>SUMIF(RR_Games!$A:$A,$B:$B,RR_Games!I:I)</f>
        <v>0</v>
      </c>
      <c r="M17" s="91" t="e">
        <f>RR_TOT[[#This Row],[3PT FGM]]/RR_TOT[[#This Row],[3PT FGA]]</f>
        <v>#DIV/0!</v>
      </c>
      <c r="N17" s="19">
        <f>SUMIF(RR_Games!$A:$A,$B:$B,RR_Games!K:K)</f>
        <v>0</v>
      </c>
      <c r="O17" s="19">
        <f>SUMIF(RR_Games!$A:$A,$B:$B,RR_Games!L:L)</f>
        <v>0</v>
      </c>
      <c r="P17" s="99" t="e">
        <f>RR_TOT[[#This Row],[FTM]]/RR_TOT[[#This Row],[FTA]]</f>
        <v>#DIV/0!</v>
      </c>
      <c r="Q17" s="74">
        <f>SUMIF(RR_Games!$A:$A,$B:$B,RR_Games!N:N)</f>
        <v>0</v>
      </c>
      <c r="R17" s="74">
        <f>SUMIF(RR_Games!$A:$A,$B:$B,RR_Games!O:O)</f>
        <v>0</v>
      </c>
      <c r="S17" s="74">
        <f>SUMIF(RR_Games!$A:$A,$B:$B,RR_Games!P:P)</f>
        <v>0</v>
      </c>
      <c r="T17" s="74">
        <f>SUMIF(RR_Games!$A:$A,$B:$B,RR_Games!Q:Q)</f>
        <v>0</v>
      </c>
      <c r="U17" s="74">
        <f>SUMIF(RR_Games!$A:$A,$B:$B,RR_Games!R:R)</f>
        <v>0</v>
      </c>
      <c r="V17" s="74">
        <f>SUMIF(RR_Games!$A:$A,$B:$B,RR_Games!S:S)</f>
        <v>0</v>
      </c>
      <c r="W17" s="74">
        <f>SUMIF(RR_Games!$A:$A,$B:$B,RR_Games!T:T)</f>
        <v>0</v>
      </c>
      <c r="X17" s="74">
        <f>SUMIF(RR_Games!$A:$A,$B:$B,RR_Games!U:U)</f>
        <v>0</v>
      </c>
      <c r="Y17" s="74">
        <f>SUMIF(RR_Games!$A:$A,$B:$B,RR_Games!V:V)</f>
        <v>0</v>
      </c>
      <c r="Z17" s="204" t="e">
        <f>RR_TOT[[#This Row],[Dimes]]/RR_TOT[[#This Row],[Turnovers]]</f>
        <v>#DIV/0!</v>
      </c>
    </row>
    <row r="18" spans="1:26" x14ac:dyDescent="0.2">
      <c r="A18" s="14" t="s">
        <v>57</v>
      </c>
      <c r="B18" t="s">
        <v>86</v>
      </c>
      <c r="C18" t="s">
        <v>132</v>
      </c>
      <c r="D18" s="86"/>
      <c r="E18" s="74">
        <f>SUMIF(RR_Games!$A:$A,$B:$B,RR_Games!B:B)</f>
        <v>0</v>
      </c>
      <c r="F18" s="74">
        <f>SUMIF(RR_Games!$A:$A,$B:$B,RR_Games!C:C)</f>
        <v>0</v>
      </c>
      <c r="G18" s="203" t="e">
        <f>RR_TOT[[#This Row],[Total FGM]]/RR_TOT[[#This Row],[Total FGA]]</f>
        <v>#DIV/0!</v>
      </c>
      <c r="H18" s="98">
        <f>SUMIF(RR_Games!$A:$A,$B:$B,RR_Games!E:E)</f>
        <v>0</v>
      </c>
      <c r="I18" s="19">
        <f>SUMIF(RR_Games!$A:$A,$B:$B,RR_Games!F:F)</f>
        <v>0</v>
      </c>
      <c r="J18" s="91" t="e">
        <f>RR_TOT[[#This Row],[2PT FGM]]/RR_TOT[[#This Row],[2PT FGA]]</f>
        <v>#DIV/0!</v>
      </c>
      <c r="K18" s="19">
        <f>SUMIF(RR_Games!$A:$A,$B:$B,RR_Games!H:H)</f>
        <v>0</v>
      </c>
      <c r="L18" s="19">
        <f>SUMIF(RR_Games!$A:$A,$B:$B,RR_Games!I:I)</f>
        <v>0</v>
      </c>
      <c r="M18" s="91" t="e">
        <f>RR_TOT[[#This Row],[3PT FGM]]/RR_TOT[[#This Row],[3PT FGA]]</f>
        <v>#DIV/0!</v>
      </c>
      <c r="N18" s="19">
        <f>SUMIF(RR_Games!$A:$A,$B:$B,RR_Games!K:K)</f>
        <v>0</v>
      </c>
      <c r="O18" s="19">
        <f>SUMIF(RR_Games!$A:$A,$B:$B,RR_Games!L:L)</f>
        <v>0</v>
      </c>
      <c r="P18" s="99" t="e">
        <f>RR_TOT[[#This Row],[FTM]]/RR_TOT[[#This Row],[FTA]]</f>
        <v>#DIV/0!</v>
      </c>
      <c r="Q18" s="74">
        <f>SUMIF(RR_Games!$A:$A,$B:$B,RR_Games!N:N)</f>
        <v>0</v>
      </c>
      <c r="R18" s="74">
        <f>SUMIF(RR_Games!$A:$A,$B:$B,RR_Games!O:O)</f>
        <v>0</v>
      </c>
      <c r="S18" s="74">
        <f>SUMIF(RR_Games!$A:$A,$B:$B,RR_Games!P:P)</f>
        <v>0</v>
      </c>
      <c r="T18" s="74">
        <f>SUMIF(RR_Games!$A:$A,$B:$B,RR_Games!Q:Q)</f>
        <v>0</v>
      </c>
      <c r="U18" s="74">
        <f>SUMIF(RR_Games!$A:$A,$B:$B,RR_Games!R:R)</f>
        <v>0</v>
      </c>
      <c r="V18" s="74">
        <f>SUMIF(RR_Games!$A:$A,$B:$B,RR_Games!S:S)</f>
        <v>0</v>
      </c>
      <c r="W18" s="74">
        <f>SUMIF(RR_Games!$A:$A,$B:$B,RR_Games!T:T)</f>
        <v>0</v>
      </c>
      <c r="X18" s="74">
        <f>SUMIF(RR_Games!$A:$A,$B:$B,RR_Games!U:U)</f>
        <v>0</v>
      </c>
      <c r="Y18" s="74">
        <f>SUMIF(RR_Games!$A:$A,$B:$B,RR_Games!V:V)</f>
        <v>0</v>
      </c>
      <c r="Z18" s="204" t="e">
        <f>RR_TOT[[#This Row],[Dimes]]/RR_TOT[[#This Row],[Turnovers]]</f>
        <v>#DIV/0!</v>
      </c>
    </row>
    <row r="19" spans="1:26" x14ac:dyDescent="0.2">
      <c r="A19" s="14" t="s">
        <v>54</v>
      </c>
      <c r="B19" t="s">
        <v>87</v>
      </c>
      <c r="C19" t="s">
        <v>132</v>
      </c>
      <c r="D19" s="86"/>
      <c r="E19" s="74">
        <f>SUMIF(RR_Games!$A:$A,$B:$B,RR_Games!B:B)</f>
        <v>0</v>
      </c>
      <c r="F19" s="74">
        <f>SUMIF(RR_Games!$A:$A,$B:$B,RR_Games!C:C)</f>
        <v>0</v>
      </c>
      <c r="G19" s="203" t="e">
        <f>RR_TOT[[#This Row],[Total FGM]]/RR_TOT[[#This Row],[Total FGA]]</f>
        <v>#DIV/0!</v>
      </c>
      <c r="H19" s="98">
        <f>SUMIF(RR_Games!$A:$A,$B:$B,RR_Games!E:E)</f>
        <v>0</v>
      </c>
      <c r="I19" s="19">
        <f>SUMIF(RR_Games!$A:$A,$B:$B,RR_Games!F:F)</f>
        <v>0</v>
      </c>
      <c r="J19" s="91" t="e">
        <f>RR_TOT[[#This Row],[2PT FGM]]/RR_TOT[[#This Row],[2PT FGA]]</f>
        <v>#DIV/0!</v>
      </c>
      <c r="K19" s="19">
        <f>SUMIF(RR_Games!$A:$A,$B:$B,RR_Games!H:H)</f>
        <v>0</v>
      </c>
      <c r="L19" s="19">
        <f>SUMIF(RR_Games!$A:$A,$B:$B,RR_Games!I:I)</f>
        <v>0</v>
      </c>
      <c r="M19" s="91" t="e">
        <f>RR_TOT[[#This Row],[3PT FGM]]/RR_TOT[[#This Row],[3PT FGA]]</f>
        <v>#DIV/0!</v>
      </c>
      <c r="N19" s="19">
        <f>SUMIF(RR_Games!$A:$A,$B:$B,RR_Games!K:K)</f>
        <v>0</v>
      </c>
      <c r="O19" s="19">
        <f>SUMIF(RR_Games!$A:$A,$B:$B,RR_Games!L:L)</f>
        <v>0</v>
      </c>
      <c r="P19" s="99" t="e">
        <f>RR_TOT[[#This Row],[FTM]]/RR_TOT[[#This Row],[FTA]]</f>
        <v>#DIV/0!</v>
      </c>
      <c r="Q19" s="74">
        <f>SUMIF(RR_Games!$A:$A,$B:$B,RR_Games!N:N)</f>
        <v>0</v>
      </c>
      <c r="R19" s="74">
        <f>SUMIF(RR_Games!$A:$A,$B:$B,RR_Games!O:O)</f>
        <v>0</v>
      </c>
      <c r="S19" s="74">
        <f>SUMIF(RR_Games!$A:$A,$B:$B,RR_Games!P:P)</f>
        <v>0</v>
      </c>
      <c r="T19" s="74">
        <f>SUMIF(RR_Games!$A:$A,$B:$B,RR_Games!Q:Q)</f>
        <v>0</v>
      </c>
      <c r="U19" s="74">
        <f>SUMIF(RR_Games!$A:$A,$B:$B,RR_Games!R:R)</f>
        <v>0</v>
      </c>
      <c r="V19" s="74">
        <f>SUMIF(RR_Games!$A:$A,$B:$B,RR_Games!S:S)</f>
        <v>0</v>
      </c>
      <c r="W19" s="74">
        <f>SUMIF(RR_Games!$A:$A,$B:$B,RR_Games!T:T)</f>
        <v>0</v>
      </c>
      <c r="X19" s="74">
        <f>SUMIF(RR_Games!$A:$A,$B:$B,RR_Games!U:U)</f>
        <v>0</v>
      </c>
      <c r="Y19" s="74">
        <f>SUMIF(RR_Games!$A:$A,$B:$B,RR_Games!V:V)</f>
        <v>0</v>
      </c>
      <c r="Z19" s="204" t="e">
        <f>RR_TOT[[#This Row],[Dimes]]/RR_TOT[[#This Row],[Turnovers]]</f>
        <v>#DIV/0!</v>
      </c>
    </row>
    <row r="20" spans="1:26" x14ac:dyDescent="0.2">
      <c r="A20" s="14" t="s">
        <v>39</v>
      </c>
      <c r="B20" t="s">
        <v>89</v>
      </c>
      <c r="C20" t="s">
        <v>132</v>
      </c>
      <c r="D20" s="86"/>
      <c r="E20" s="74">
        <f>SUMIF(RR_Games!$A:$A,$B:$B,RR_Games!B:B)</f>
        <v>0</v>
      </c>
      <c r="F20" s="74">
        <f>SUMIF(RR_Games!$A:$A,$B:$B,RR_Games!C:C)</f>
        <v>0</v>
      </c>
      <c r="G20" s="203" t="e">
        <f>RR_TOT[[#This Row],[Total FGM]]/RR_TOT[[#This Row],[Total FGA]]</f>
        <v>#DIV/0!</v>
      </c>
      <c r="H20" s="98">
        <f>SUMIF(RR_Games!$A:$A,$B:$B,RR_Games!E:E)</f>
        <v>0</v>
      </c>
      <c r="I20" s="19">
        <f>SUMIF(RR_Games!$A:$A,$B:$B,RR_Games!F:F)</f>
        <v>0</v>
      </c>
      <c r="J20" s="91" t="e">
        <f>RR_TOT[[#This Row],[2PT FGM]]/RR_TOT[[#This Row],[2PT FGA]]</f>
        <v>#DIV/0!</v>
      </c>
      <c r="K20" s="19">
        <f>SUMIF(RR_Games!$A:$A,$B:$B,RR_Games!H:H)</f>
        <v>0</v>
      </c>
      <c r="L20" s="19">
        <f>SUMIF(RR_Games!$A:$A,$B:$B,RR_Games!I:I)</f>
        <v>0</v>
      </c>
      <c r="M20" s="91" t="e">
        <f>RR_TOT[[#This Row],[3PT FGM]]/RR_TOT[[#This Row],[3PT FGA]]</f>
        <v>#DIV/0!</v>
      </c>
      <c r="N20" s="19">
        <f>SUMIF(RR_Games!$A:$A,$B:$B,RR_Games!K:K)</f>
        <v>0</v>
      </c>
      <c r="O20" s="19">
        <f>SUMIF(RR_Games!$A:$A,$B:$B,RR_Games!L:L)</f>
        <v>0</v>
      </c>
      <c r="P20" s="99" t="e">
        <f>RR_TOT[[#This Row],[FTM]]/RR_TOT[[#This Row],[FTA]]</f>
        <v>#DIV/0!</v>
      </c>
      <c r="Q20" s="74">
        <f>SUMIF(RR_Games!$A:$A,$B:$B,RR_Games!N:N)</f>
        <v>0</v>
      </c>
      <c r="R20" s="74">
        <f>SUMIF(RR_Games!$A:$A,$B:$B,RR_Games!O:O)</f>
        <v>0</v>
      </c>
      <c r="S20" s="74">
        <f>SUMIF(RR_Games!$A:$A,$B:$B,RR_Games!P:P)</f>
        <v>0</v>
      </c>
      <c r="T20" s="74">
        <f>SUMIF(RR_Games!$A:$A,$B:$B,RR_Games!Q:Q)</f>
        <v>0</v>
      </c>
      <c r="U20" s="74">
        <f>SUMIF(RR_Games!$A:$A,$B:$B,RR_Games!R:R)</f>
        <v>0</v>
      </c>
      <c r="V20" s="74">
        <f>SUMIF(RR_Games!$A:$A,$B:$B,RR_Games!S:S)</f>
        <v>0</v>
      </c>
      <c r="W20" s="74">
        <f>SUMIF(RR_Games!$A:$A,$B:$B,RR_Games!T:T)</f>
        <v>0</v>
      </c>
      <c r="X20" s="74">
        <f>SUMIF(RR_Games!$A:$A,$B:$B,RR_Games!U:U)</f>
        <v>0</v>
      </c>
      <c r="Y20" s="74">
        <f>SUMIF(RR_Games!$A:$A,$B:$B,RR_Games!V:V)</f>
        <v>0</v>
      </c>
      <c r="Z20" s="204" t="e">
        <f>RR_TOT[[#This Row],[Dimes]]/RR_TOT[[#This Row],[Turnovers]]</f>
        <v>#DIV/0!</v>
      </c>
    </row>
    <row r="21" spans="1:26" x14ac:dyDescent="0.2">
      <c r="A21" s="14" t="s">
        <v>28</v>
      </c>
      <c r="B21" t="s">
        <v>92</v>
      </c>
      <c r="C21" t="s">
        <v>132</v>
      </c>
      <c r="D21" s="86"/>
      <c r="E21" s="74">
        <f>SUMIF(RR_Games!$A:$A,$B:$B,RR_Games!B:B)</f>
        <v>0</v>
      </c>
      <c r="F21" s="74">
        <f>SUMIF(RR_Games!$A:$A,$B:$B,RR_Games!C:C)</f>
        <v>0</v>
      </c>
      <c r="G21" s="203" t="e">
        <f>RR_TOT[[#This Row],[Total FGM]]/RR_TOT[[#This Row],[Total FGA]]</f>
        <v>#DIV/0!</v>
      </c>
      <c r="H21" s="98">
        <f>SUMIF(RR_Games!$A:$A,$B:$B,RR_Games!E:E)</f>
        <v>0</v>
      </c>
      <c r="I21" s="19">
        <f>SUMIF(RR_Games!$A:$A,$B:$B,RR_Games!F:F)</f>
        <v>0</v>
      </c>
      <c r="J21" s="91" t="e">
        <f>RR_TOT[[#This Row],[2PT FGM]]/RR_TOT[[#This Row],[2PT FGA]]</f>
        <v>#DIV/0!</v>
      </c>
      <c r="K21" s="19">
        <f>SUMIF(RR_Games!$A:$A,$B:$B,RR_Games!H:H)</f>
        <v>0</v>
      </c>
      <c r="L21" s="19">
        <f>SUMIF(RR_Games!$A:$A,$B:$B,RR_Games!I:I)</f>
        <v>0</v>
      </c>
      <c r="M21" s="91" t="e">
        <f>RR_TOT[[#This Row],[3PT FGM]]/RR_TOT[[#This Row],[3PT FGA]]</f>
        <v>#DIV/0!</v>
      </c>
      <c r="N21" s="19">
        <f>SUMIF(RR_Games!$A:$A,$B:$B,RR_Games!K:K)</f>
        <v>0</v>
      </c>
      <c r="O21" s="19">
        <f>SUMIF(RR_Games!$A:$A,$B:$B,RR_Games!L:L)</f>
        <v>0</v>
      </c>
      <c r="P21" s="99" t="e">
        <f>RR_TOT[[#This Row],[FTM]]/RR_TOT[[#This Row],[FTA]]</f>
        <v>#DIV/0!</v>
      </c>
      <c r="Q21" s="74">
        <f>SUMIF(RR_Games!$A:$A,$B:$B,RR_Games!N:N)</f>
        <v>0</v>
      </c>
      <c r="R21" s="74">
        <f>SUMIF(RR_Games!$A:$A,$B:$B,RR_Games!O:O)</f>
        <v>0</v>
      </c>
      <c r="S21" s="74">
        <f>SUMIF(RR_Games!$A:$A,$B:$B,RR_Games!P:P)</f>
        <v>0</v>
      </c>
      <c r="T21" s="74">
        <f>SUMIF(RR_Games!$A:$A,$B:$B,RR_Games!Q:Q)</f>
        <v>0</v>
      </c>
      <c r="U21" s="74">
        <f>SUMIF(RR_Games!$A:$A,$B:$B,RR_Games!R:R)</f>
        <v>0</v>
      </c>
      <c r="V21" s="74">
        <f>SUMIF(RR_Games!$A:$A,$B:$B,RR_Games!S:S)</f>
        <v>0</v>
      </c>
      <c r="W21" s="74">
        <f>SUMIF(RR_Games!$A:$A,$B:$B,RR_Games!T:T)</f>
        <v>0</v>
      </c>
      <c r="X21" s="74">
        <f>SUMIF(RR_Games!$A:$A,$B:$B,RR_Games!U:U)</f>
        <v>0</v>
      </c>
      <c r="Y21" s="74">
        <f>SUMIF(RR_Games!$A:$A,$B:$B,RR_Games!V:V)</f>
        <v>0</v>
      </c>
      <c r="Z21" s="204" t="e">
        <f>RR_TOT[[#This Row],[Dimes]]/RR_TOT[[#This Row],[Turnovers]]</f>
        <v>#DIV/0!</v>
      </c>
    </row>
    <row r="22" spans="1:26" x14ac:dyDescent="0.2">
      <c r="A22" s="14" t="s">
        <v>50</v>
      </c>
      <c r="B22" t="s">
        <v>93</v>
      </c>
      <c r="C22" t="s">
        <v>132</v>
      </c>
      <c r="D22" s="86"/>
      <c r="E22" s="74">
        <f>SUMIF(RR_Games!$A:$A,$B:$B,RR_Games!B:B)</f>
        <v>0</v>
      </c>
      <c r="F22" s="74">
        <f>SUMIF(RR_Games!$A:$A,$B:$B,RR_Games!C:C)</f>
        <v>0</v>
      </c>
      <c r="G22" s="203" t="e">
        <f>RR_TOT[[#This Row],[Total FGM]]/RR_TOT[[#This Row],[Total FGA]]</f>
        <v>#DIV/0!</v>
      </c>
      <c r="H22" s="98">
        <f>SUMIF(RR_Games!$A:$A,$B:$B,RR_Games!E:E)</f>
        <v>0</v>
      </c>
      <c r="I22" s="19">
        <f>SUMIF(RR_Games!$A:$A,$B:$B,RR_Games!F:F)</f>
        <v>0</v>
      </c>
      <c r="J22" s="91" t="e">
        <f>RR_TOT[[#This Row],[2PT FGM]]/RR_TOT[[#This Row],[2PT FGA]]</f>
        <v>#DIV/0!</v>
      </c>
      <c r="K22" s="19">
        <f>SUMIF(RR_Games!$A:$A,$B:$B,RR_Games!H:H)</f>
        <v>0</v>
      </c>
      <c r="L22" s="19">
        <f>SUMIF(RR_Games!$A:$A,$B:$B,RR_Games!I:I)</f>
        <v>0</v>
      </c>
      <c r="M22" s="91" t="e">
        <f>RR_TOT[[#This Row],[3PT FGM]]/RR_TOT[[#This Row],[3PT FGA]]</f>
        <v>#DIV/0!</v>
      </c>
      <c r="N22" s="19">
        <f>SUMIF(RR_Games!$A:$A,$B:$B,RR_Games!K:K)</f>
        <v>0</v>
      </c>
      <c r="O22" s="19">
        <f>SUMIF(RR_Games!$A:$A,$B:$B,RR_Games!L:L)</f>
        <v>0</v>
      </c>
      <c r="P22" s="99" t="e">
        <f>RR_TOT[[#This Row],[FTM]]/RR_TOT[[#This Row],[FTA]]</f>
        <v>#DIV/0!</v>
      </c>
      <c r="Q22" s="74">
        <f>SUMIF(RR_Games!$A:$A,$B:$B,RR_Games!N:N)</f>
        <v>0</v>
      </c>
      <c r="R22" s="74">
        <f>SUMIF(RR_Games!$A:$A,$B:$B,RR_Games!O:O)</f>
        <v>0</v>
      </c>
      <c r="S22" s="74">
        <f>SUMIF(RR_Games!$A:$A,$B:$B,RR_Games!P:P)</f>
        <v>0</v>
      </c>
      <c r="T22" s="74">
        <f>SUMIF(RR_Games!$A:$A,$B:$B,RR_Games!Q:Q)</f>
        <v>0</v>
      </c>
      <c r="U22" s="74">
        <f>SUMIF(RR_Games!$A:$A,$B:$B,RR_Games!R:R)</f>
        <v>0</v>
      </c>
      <c r="V22" s="74">
        <f>SUMIF(RR_Games!$A:$A,$B:$B,RR_Games!S:S)</f>
        <v>0</v>
      </c>
      <c r="W22" s="74">
        <f>SUMIF(RR_Games!$A:$A,$B:$B,RR_Games!T:T)</f>
        <v>0</v>
      </c>
      <c r="X22" s="74">
        <f>SUMIF(RR_Games!$A:$A,$B:$B,RR_Games!U:U)</f>
        <v>0</v>
      </c>
      <c r="Y22" s="74">
        <f>SUMIF(RR_Games!$A:$A,$B:$B,RR_Games!V:V)</f>
        <v>0</v>
      </c>
      <c r="Z22" s="204" t="e">
        <f>RR_TOT[[#This Row],[Dimes]]/RR_TOT[[#This Row],[Turnovers]]</f>
        <v>#DIV/0!</v>
      </c>
    </row>
    <row r="23" spans="1:26" x14ac:dyDescent="0.2">
      <c r="A23" s="14" t="s">
        <v>49</v>
      </c>
      <c r="B23" t="s">
        <v>94</v>
      </c>
      <c r="C23" t="s">
        <v>132</v>
      </c>
      <c r="D23" s="86"/>
      <c r="E23" s="74">
        <f>SUMIF(RR_Games!$A:$A,$B:$B,RR_Games!B:B)</f>
        <v>0</v>
      </c>
      <c r="F23" s="74">
        <f>SUMIF(RR_Games!$A:$A,$B:$B,RR_Games!C:C)</f>
        <v>0</v>
      </c>
      <c r="G23" s="203" t="e">
        <f>RR_TOT[[#This Row],[Total FGM]]/RR_TOT[[#This Row],[Total FGA]]</f>
        <v>#DIV/0!</v>
      </c>
      <c r="H23" s="98">
        <f>SUMIF(RR_Games!$A:$A,$B:$B,RR_Games!E:E)</f>
        <v>0</v>
      </c>
      <c r="I23" s="19">
        <f>SUMIF(RR_Games!$A:$A,$B:$B,RR_Games!F:F)</f>
        <v>0</v>
      </c>
      <c r="J23" s="91" t="e">
        <f>RR_TOT[[#This Row],[2PT FGM]]/RR_TOT[[#This Row],[2PT FGA]]</f>
        <v>#DIV/0!</v>
      </c>
      <c r="K23" s="19">
        <f>SUMIF(RR_Games!$A:$A,$B:$B,RR_Games!H:H)</f>
        <v>0</v>
      </c>
      <c r="L23" s="19">
        <f>SUMIF(RR_Games!$A:$A,$B:$B,RR_Games!I:I)</f>
        <v>0</v>
      </c>
      <c r="M23" s="91" t="e">
        <f>RR_TOT[[#This Row],[3PT FGM]]/RR_TOT[[#This Row],[3PT FGA]]</f>
        <v>#DIV/0!</v>
      </c>
      <c r="N23" s="19">
        <f>SUMIF(RR_Games!$A:$A,$B:$B,RR_Games!K:K)</f>
        <v>0</v>
      </c>
      <c r="O23" s="19">
        <f>SUMIF(RR_Games!$A:$A,$B:$B,RR_Games!L:L)</f>
        <v>0</v>
      </c>
      <c r="P23" s="99" t="e">
        <f>RR_TOT[[#This Row],[FTM]]/RR_TOT[[#This Row],[FTA]]</f>
        <v>#DIV/0!</v>
      </c>
      <c r="Q23" s="74">
        <f>SUMIF(RR_Games!$A:$A,$B:$B,RR_Games!N:N)</f>
        <v>0</v>
      </c>
      <c r="R23" s="74">
        <f>SUMIF(RR_Games!$A:$A,$B:$B,RR_Games!O:O)</f>
        <v>0</v>
      </c>
      <c r="S23" s="74">
        <f>SUMIF(RR_Games!$A:$A,$B:$B,RR_Games!P:P)</f>
        <v>0</v>
      </c>
      <c r="T23" s="74">
        <f>SUMIF(RR_Games!$A:$A,$B:$B,RR_Games!Q:Q)</f>
        <v>0</v>
      </c>
      <c r="U23" s="74">
        <f>SUMIF(RR_Games!$A:$A,$B:$B,RR_Games!R:R)</f>
        <v>0</v>
      </c>
      <c r="V23" s="74">
        <f>SUMIF(RR_Games!$A:$A,$B:$B,RR_Games!S:S)</f>
        <v>0</v>
      </c>
      <c r="W23" s="74">
        <f>SUMIF(RR_Games!$A:$A,$B:$B,RR_Games!T:T)</f>
        <v>0</v>
      </c>
      <c r="X23" s="74">
        <f>SUMIF(RR_Games!$A:$A,$B:$B,RR_Games!U:U)</f>
        <v>0</v>
      </c>
      <c r="Y23" s="74">
        <f>SUMIF(RR_Games!$A:$A,$B:$B,RR_Games!V:V)</f>
        <v>0</v>
      </c>
      <c r="Z23" s="204" t="e">
        <f>RR_TOT[[#This Row],[Dimes]]/RR_TOT[[#This Row],[Turnovers]]</f>
        <v>#DIV/0!</v>
      </c>
    </row>
    <row r="24" spans="1:26" x14ac:dyDescent="0.2">
      <c r="A24" s="14" t="s">
        <v>47</v>
      </c>
      <c r="B24" t="s">
        <v>97</v>
      </c>
      <c r="C24" t="s">
        <v>132</v>
      </c>
      <c r="D24" s="86"/>
      <c r="E24" s="74">
        <f>SUMIF(RR_Games!$A:$A,$B:$B,RR_Games!B:B)</f>
        <v>0</v>
      </c>
      <c r="F24" s="74">
        <f>SUMIF(RR_Games!$A:$A,$B:$B,RR_Games!C:C)</f>
        <v>0</v>
      </c>
      <c r="G24" s="203" t="e">
        <f>RR_TOT[[#This Row],[Total FGM]]/RR_TOT[[#This Row],[Total FGA]]</f>
        <v>#DIV/0!</v>
      </c>
      <c r="H24" s="98">
        <f>SUMIF(RR_Games!$A:$A,$B:$B,RR_Games!E:E)</f>
        <v>0</v>
      </c>
      <c r="I24" s="19">
        <f>SUMIF(RR_Games!$A:$A,$B:$B,RR_Games!F:F)</f>
        <v>0</v>
      </c>
      <c r="J24" s="91" t="e">
        <f>RR_TOT[[#This Row],[2PT FGM]]/RR_TOT[[#This Row],[2PT FGA]]</f>
        <v>#DIV/0!</v>
      </c>
      <c r="K24" s="19">
        <f>SUMIF(RR_Games!$A:$A,$B:$B,RR_Games!H:H)</f>
        <v>0</v>
      </c>
      <c r="L24" s="19">
        <f>SUMIF(RR_Games!$A:$A,$B:$B,RR_Games!I:I)</f>
        <v>0</v>
      </c>
      <c r="M24" s="91" t="e">
        <f>RR_TOT[[#This Row],[3PT FGM]]/RR_TOT[[#This Row],[3PT FGA]]</f>
        <v>#DIV/0!</v>
      </c>
      <c r="N24" s="19">
        <f>SUMIF(RR_Games!$A:$A,$B:$B,RR_Games!K:K)</f>
        <v>0</v>
      </c>
      <c r="O24" s="19">
        <f>SUMIF(RR_Games!$A:$A,$B:$B,RR_Games!L:L)</f>
        <v>0</v>
      </c>
      <c r="P24" s="99" t="e">
        <f>RR_TOT[[#This Row],[FTM]]/RR_TOT[[#This Row],[FTA]]</f>
        <v>#DIV/0!</v>
      </c>
      <c r="Q24" s="74">
        <f>SUMIF(RR_Games!$A:$A,$B:$B,RR_Games!N:N)</f>
        <v>0</v>
      </c>
      <c r="R24" s="74">
        <f>SUMIF(RR_Games!$A:$A,$B:$B,RR_Games!O:O)</f>
        <v>0</v>
      </c>
      <c r="S24" s="74">
        <f>SUMIF(RR_Games!$A:$A,$B:$B,RR_Games!P:P)</f>
        <v>0</v>
      </c>
      <c r="T24" s="74">
        <f>SUMIF(RR_Games!$A:$A,$B:$B,RR_Games!Q:Q)</f>
        <v>0</v>
      </c>
      <c r="U24" s="74">
        <f>SUMIF(RR_Games!$A:$A,$B:$B,RR_Games!R:R)</f>
        <v>0</v>
      </c>
      <c r="V24" s="74">
        <f>SUMIF(RR_Games!$A:$A,$B:$B,RR_Games!S:S)</f>
        <v>0</v>
      </c>
      <c r="W24" s="74">
        <f>SUMIF(RR_Games!$A:$A,$B:$B,RR_Games!T:T)</f>
        <v>0</v>
      </c>
      <c r="X24" s="74">
        <f>SUMIF(RR_Games!$A:$A,$B:$B,RR_Games!U:U)</f>
        <v>0</v>
      </c>
      <c r="Y24" s="74">
        <f>SUMIF(RR_Games!$A:$A,$B:$B,RR_Games!V:V)</f>
        <v>0</v>
      </c>
      <c r="Z24" s="204" t="e">
        <f>RR_TOT[[#This Row],[Dimes]]/RR_TOT[[#This Row],[Turnovers]]</f>
        <v>#DIV/0!</v>
      </c>
    </row>
    <row r="25" spans="1:26" x14ac:dyDescent="0.2">
      <c r="A25" s="14" t="s">
        <v>42</v>
      </c>
      <c r="B25" t="s">
        <v>101</v>
      </c>
      <c r="C25" t="s">
        <v>132</v>
      </c>
      <c r="D25" s="86"/>
      <c r="E25" s="74">
        <f>SUMIF(RR_Games!$A:$A,$B:$B,RR_Games!B:B)</f>
        <v>0</v>
      </c>
      <c r="F25" s="74">
        <f>SUMIF(RR_Games!$A:$A,$B:$B,RR_Games!C:C)</f>
        <v>0</v>
      </c>
      <c r="G25" s="203" t="e">
        <f>RR_TOT[[#This Row],[Total FGM]]/RR_TOT[[#This Row],[Total FGA]]</f>
        <v>#DIV/0!</v>
      </c>
      <c r="H25" s="98">
        <f>SUMIF(RR_Games!$A:$A,$B:$B,RR_Games!E:E)</f>
        <v>0</v>
      </c>
      <c r="I25" s="19">
        <f>SUMIF(RR_Games!$A:$A,$B:$B,RR_Games!F:F)</f>
        <v>0</v>
      </c>
      <c r="J25" s="91" t="e">
        <f>RR_TOT[[#This Row],[2PT FGM]]/RR_TOT[[#This Row],[2PT FGA]]</f>
        <v>#DIV/0!</v>
      </c>
      <c r="K25" s="19">
        <f>SUMIF(RR_Games!$A:$A,$B:$B,RR_Games!H:H)</f>
        <v>0</v>
      </c>
      <c r="L25" s="19">
        <f>SUMIF(RR_Games!$A:$A,$B:$B,RR_Games!I:I)</f>
        <v>0</v>
      </c>
      <c r="M25" s="91" t="e">
        <f>RR_TOT[[#This Row],[3PT FGM]]/RR_TOT[[#This Row],[3PT FGA]]</f>
        <v>#DIV/0!</v>
      </c>
      <c r="N25" s="19">
        <f>SUMIF(RR_Games!$A:$A,$B:$B,RR_Games!K:K)</f>
        <v>0</v>
      </c>
      <c r="O25" s="19">
        <f>SUMIF(RR_Games!$A:$A,$B:$B,RR_Games!L:L)</f>
        <v>0</v>
      </c>
      <c r="P25" s="99" t="e">
        <f>RR_TOT[[#This Row],[FTM]]/RR_TOT[[#This Row],[FTA]]</f>
        <v>#DIV/0!</v>
      </c>
      <c r="Q25" s="74">
        <f>SUMIF(RR_Games!$A:$A,$B:$B,RR_Games!N:N)</f>
        <v>0</v>
      </c>
      <c r="R25" s="74">
        <f>SUMIF(RR_Games!$A:$A,$B:$B,RR_Games!O:O)</f>
        <v>0</v>
      </c>
      <c r="S25" s="74">
        <f>SUMIF(RR_Games!$A:$A,$B:$B,RR_Games!P:P)</f>
        <v>0</v>
      </c>
      <c r="T25" s="74">
        <f>SUMIF(RR_Games!$A:$A,$B:$B,RR_Games!Q:Q)</f>
        <v>0</v>
      </c>
      <c r="U25" s="74">
        <f>SUMIF(RR_Games!$A:$A,$B:$B,RR_Games!R:R)</f>
        <v>0</v>
      </c>
      <c r="V25" s="74">
        <f>SUMIF(RR_Games!$A:$A,$B:$B,RR_Games!S:S)</f>
        <v>0</v>
      </c>
      <c r="W25" s="74">
        <f>SUMIF(RR_Games!$A:$A,$B:$B,RR_Games!T:T)</f>
        <v>0</v>
      </c>
      <c r="X25" s="74">
        <f>SUMIF(RR_Games!$A:$A,$B:$B,RR_Games!U:U)</f>
        <v>0</v>
      </c>
      <c r="Y25" s="74">
        <f>SUMIF(RR_Games!$A:$A,$B:$B,RR_Games!V:V)</f>
        <v>0</v>
      </c>
      <c r="Z25" s="204" t="e">
        <f>RR_TOT[[#This Row],[Dimes]]/RR_TOT[[#This Row],[Turnovers]]</f>
        <v>#DIV/0!</v>
      </c>
    </row>
    <row r="26" spans="1:26" x14ac:dyDescent="0.2">
      <c r="A26" s="14" t="s">
        <v>48</v>
      </c>
      <c r="B26" t="s">
        <v>99</v>
      </c>
      <c r="C26" t="s">
        <v>132</v>
      </c>
      <c r="D26" s="86"/>
      <c r="E26" s="74">
        <f>SUMIF(RR_Games!$A:$A,$B:$B,RR_Games!B:B)</f>
        <v>0</v>
      </c>
      <c r="F26" s="74">
        <f>SUMIF(RR_Games!$A:$A,$B:$B,RR_Games!C:C)</f>
        <v>0</v>
      </c>
      <c r="G26" s="203" t="e">
        <f>RR_TOT[[#This Row],[Total FGM]]/RR_TOT[[#This Row],[Total FGA]]</f>
        <v>#DIV/0!</v>
      </c>
      <c r="H26" s="98">
        <f>SUMIF(RR_Games!$A:$A,$B:$B,RR_Games!E:E)</f>
        <v>0</v>
      </c>
      <c r="I26" s="19">
        <f>SUMIF(RR_Games!$A:$A,$B:$B,RR_Games!F:F)</f>
        <v>0</v>
      </c>
      <c r="J26" s="91" t="e">
        <f>RR_TOT[[#This Row],[2PT FGM]]/RR_TOT[[#This Row],[2PT FGA]]</f>
        <v>#DIV/0!</v>
      </c>
      <c r="K26" s="19">
        <f>SUMIF(RR_Games!$A:$A,$B:$B,RR_Games!H:H)</f>
        <v>0</v>
      </c>
      <c r="L26" s="19">
        <f>SUMIF(RR_Games!$A:$A,$B:$B,RR_Games!I:I)</f>
        <v>0</v>
      </c>
      <c r="M26" s="91" t="e">
        <f>RR_TOT[[#This Row],[3PT FGM]]/RR_TOT[[#This Row],[3PT FGA]]</f>
        <v>#DIV/0!</v>
      </c>
      <c r="N26" s="19">
        <f>SUMIF(RR_Games!$A:$A,$B:$B,RR_Games!K:K)</f>
        <v>0</v>
      </c>
      <c r="O26" s="19">
        <f>SUMIF(RR_Games!$A:$A,$B:$B,RR_Games!L:L)</f>
        <v>0</v>
      </c>
      <c r="P26" s="99" t="e">
        <f>RR_TOT[[#This Row],[FTM]]/RR_TOT[[#This Row],[FTA]]</f>
        <v>#DIV/0!</v>
      </c>
      <c r="Q26" s="74">
        <f>SUMIF(RR_Games!$A:$A,$B:$B,RR_Games!N:N)</f>
        <v>0</v>
      </c>
      <c r="R26" s="74">
        <f>SUMIF(RR_Games!$A:$A,$B:$B,RR_Games!O:O)</f>
        <v>0</v>
      </c>
      <c r="S26" s="74">
        <f>SUMIF(RR_Games!$A:$A,$B:$B,RR_Games!P:P)</f>
        <v>0</v>
      </c>
      <c r="T26" s="74">
        <f>SUMIF(RR_Games!$A:$A,$B:$B,RR_Games!Q:Q)</f>
        <v>0</v>
      </c>
      <c r="U26" s="74">
        <f>SUMIF(RR_Games!$A:$A,$B:$B,RR_Games!R:R)</f>
        <v>0</v>
      </c>
      <c r="V26" s="74">
        <f>SUMIF(RR_Games!$A:$A,$B:$B,RR_Games!S:S)</f>
        <v>0</v>
      </c>
      <c r="W26" s="74">
        <f>SUMIF(RR_Games!$A:$A,$B:$B,RR_Games!T:T)</f>
        <v>0</v>
      </c>
      <c r="X26" s="74">
        <f>SUMIF(RR_Games!$A:$A,$B:$B,RR_Games!U:U)</f>
        <v>0</v>
      </c>
      <c r="Y26" s="74">
        <f>SUMIF(RR_Games!$A:$A,$B:$B,RR_Games!V:V)</f>
        <v>0</v>
      </c>
      <c r="Z26" s="204" t="e">
        <f>RR_TOT[[#This Row],[Dimes]]/RR_TOT[[#This Row],[Turnovers]]</f>
        <v>#DIV/0!</v>
      </c>
    </row>
    <row r="27" spans="1:26" x14ac:dyDescent="0.2">
      <c r="A27" s="14" t="s">
        <v>51</v>
      </c>
      <c r="B27" t="s">
        <v>102</v>
      </c>
      <c r="C27" t="s">
        <v>132</v>
      </c>
      <c r="D27" s="86"/>
      <c r="E27" s="74">
        <f>SUMIF(RR_Games!$A:$A,$B:$B,RR_Games!B:B)</f>
        <v>0</v>
      </c>
      <c r="F27" s="74">
        <f>SUMIF(RR_Games!$A:$A,$B:$B,RR_Games!C:C)</f>
        <v>0</v>
      </c>
      <c r="G27" s="203" t="e">
        <f>RR_TOT[[#This Row],[Total FGM]]/RR_TOT[[#This Row],[Total FGA]]</f>
        <v>#DIV/0!</v>
      </c>
      <c r="H27" s="98">
        <f>SUMIF(RR_Games!$A:$A,$B:$B,RR_Games!E:E)</f>
        <v>0</v>
      </c>
      <c r="I27" s="19">
        <f>SUMIF(RR_Games!$A:$A,$B:$B,RR_Games!F:F)</f>
        <v>0</v>
      </c>
      <c r="J27" s="91" t="e">
        <f>RR_TOT[[#This Row],[2PT FGM]]/RR_TOT[[#This Row],[2PT FGA]]</f>
        <v>#DIV/0!</v>
      </c>
      <c r="K27" s="19">
        <f>SUMIF(RR_Games!$A:$A,$B:$B,RR_Games!H:H)</f>
        <v>0</v>
      </c>
      <c r="L27" s="19">
        <f>SUMIF(RR_Games!$A:$A,$B:$B,RR_Games!I:I)</f>
        <v>0</v>
      </c>
      <c r="M27" s="91" t="e">
        <f>RR_TOT[[#This Row],[3PT FGM]]/RR_TOT[[#This Row],[3PT FGA]]</f>
        <v>#DIV/0!</v>
      </c>
      <c r="N27" s="19">
        <f>SUMIF(RR_Games!$A:$A,$B:$B,RR_Games!K:K)</f>
        <v>0</v>
      </c>
      <c r="O27" s="19">
        <f>SUMIF(RR_Games!$A:$A,$B:$B,RR_Games!L:L)</f>
        <v>0</v>
      </c>
      <c r="P27" s="99" t="e">
        <f>RR_TOT[[#This Row],[FTM]]/RR_TOT[[#This Row],[FTA]]</f>
        <v>#DIV/0!</v>
      </c>
      <c r="Q27" s="74">
        <f>SUMIF(RR_Games!$A:$A,$B:$B,RR_Games!N:N)</f>
        <v>0</v>
      </c>
      <c r="R27" s="74">
        <f>SUMIF(RR_Games!$A:$A,$B:$B,RR_Games!O:O)</f>
        <v>0</v>
      </c>
      <c r="S27" s="74">
        <f>SUMIF(RR_Games!$A:$A,$B:$B,RR_Games!P:P)</f>
        <v>0</v>
      </c>
      <c r="T27" s="74">
        <f>SUMIF(RR_Games!$A:$A,$B:$B,RR_Games!Q:Q)</f>
        <v>0</v>
      </c>
      <c r="U27" s="74">
        <f>SUMIF(RR_Games!$A:$A,$B:$B,RR_Games!R:R)</f>
        <v>0</v>
      </c>
      <c r="V27" s="74">
        <f>SUMIF(RR_Games!$A:$A,$B:$B,RR_Games!S:S)</f>
        <v>0</v>
      </c>
      <c r="W27" s="74">
        <f>SUMIF(RR_Games!$A:$A,$B:$B,RR_Games!T:T)</f>
        <v>0</v>
      </c>
      <c r="X27" s="74">
        <f>SUMIF(RR_Games!$A:$A,$B:$B,RR_Games!U:U)</f>
        <v>0</v>
      </c>
      <c r="Y27" s="74">
        <f>SUMIF(RR_Games!$A:$A,$B:$B,RR_Games!V:V)</f>
        <v>0</v>
      </c>
      <c r="Z27" s="204" t="e">
        <f>RR_TOT[[#This Row],[Dimes]]/RR_TOT[[#This Row],[Turnovers]]</f>
        <v>#DIV/0!</v>
      </c>
    </row>
    <row r="28" spans="1:26" x14ac:dyDescent="0.2">
      <c r="A28" s="14" t="s">
        <v>43</v>
      </c>
      <c r="B28" t="s">
        <v>104</v>
      </c>
      <c r="C28" t="s">
        <v>132</v>
      </c>
      <c r="D28" s="86"/>
      <c r="E28" s="74">
        <f>SUMIF(RR_Games!$A:$A,$B:$B,RR_Games!B:B)</f>
        <v>0</v>
      </c>
      <c r="F28" s="74">
        <f>SUMIF(RR_Games!$A:$A,$B:$B,RR_Games!C:C)</f>
        <v>0</v>
      </c>
      <c r="G28" s="203" t="e">
        <f>RR_TOT[[#This Row],[Total FGM]]/RR_TOT[[#This Row],[Total FGA]]</f>
        <v>#DIV/0!</v>
      </c>
      <c r="H28" s="98">
        <f>SUMIF(RR_Games!$A:$A,$B:$B,RR_Games!E:E)</f>
        <v>0</v>
      </c>
      <c r="I28" s="19">
        <f>SUMIF(RR_Games!$A:$A,$B:$B,RR_Games!F:F)</f>
        <v>0</v>
      </c>
      <c r="J28" s="91" t="e">
        <f>RR_TOT[[#This Row],[2PT FGM]]/RR_TOT[[#This Row],[2PT FGA]]</f>
        <v>#DIV/0!</v>
      </c>
      <c r="K28" s="19">
        <f>SUMIF(RR_Games!$A:$A,$B:$B,RR_Games!H:H)</f>
        <v>0</v>
      </c>
      <c r="L28" s="19">
        <f>SUMIF(RR_Games!$A:$A,$B:$B,RR_Games!I:I)</f>
        <v>0</v>
      </c>
      <c r="M28" s="91" t="e">
        <f>RR_TOT[[#This Row],[3PT FGM]]/RR_TOT[[#This Row],[3PT FGA]]</f>
        <v>#DIV/0!</v>
      </c>
      <c r="N28" s="19">
        <f>SUMIF(RR_Games!$A:$A,$B:$B,RR_Games!K:K)</f>
        <v>0</v>
      </c>
      <c r="O28" s="19">
        <f>SUMIF(RR_Games!$A:$A,$B:$B,RR_Games!L:L)</f>
        <v>0</v>
      </c>
      <c r="P28" s="99" t="e">
        <f>RR_TOT[[#This Row],[FTM]]/RR_TOT[[#This Row],[FTA]]</f>
        <v>#DIV/0!</v>
      </c>
      <c r="Q28" s="74">
        <f>SUMIF(RR_Games!$A:$A,$B:$B,RR_Games!N:N)</f>
        <v>0</v>
      </c>
      <c r="R28" s="74">
        <f>SUMIF(RR_Games!$A:$A,$B:$B,RR_Games!O:O)</f>
        <v>0</v>
      </c>
      <c r="S28" s="74">
        <f>SUMIF(RR_Games!$A:$A,$B:$B,RR_Games!P:P)</f>
        <v>0</v>
      </c>
      <c r="T28" s="74">
        <f>SUMIF(RR_Games!$A:$A,$B:$B,RR_Games!Q:Q)</f>
        <v>0</v>
      </c>
      <c r="U28" s="74">
        <f>SUMIF(RR_Games!$A:$A,$B:$B,RR_Games!R:R)</f>
        <v>0</v>
      </c>
      <c r="V28" s="74">
        <f>SUMIF(RR_Games!$A:$A,$B:$B,RR_Games!S:S)</f>
        <v>0</v>
      </c>
      <c r="W28" s="74">
        <f>SUMIF(RR_Games!$A:$A,$B:$B,RR_Games!T:T)</f>
        <v>0</v>
      </c>
      <c r="X28" s="74">
        <f>SUMIF(RR_Games!$A:$A,$B:$B,RR_Games!U:U)</f>
        <v>0</v>
      </c>
      <c r="Y28" s="74">
        <f>SUMIF(RR_Games!$A:$A,$B:$B,RR_Games!V:V)</f>
        <v>0</v>
      </c>
      <c r="Z28" s="204" t="e">
        <f>RR_TOT[[#This Row],[Dimes]]/RR_TOT[[#This Row],[Turnovers]]</f>
        <v>#DIV/0!</v>
      </c>
    </row>
    <row r="29" spans="1:26" x14ac:dyDescent="0.2">
      <c r="A29" s="14" t="s">
        <v>45</v>
      </c>
      <c r="B29" t="s">
        <v>90</v>
      </c>
      <c r="C29" t="s">
        <v>132</v>
      </c>
      <c r="D29" s="86"/>
      <c r="E29" s="74">
        <f>SUMIF(RR_Games!$A:$A,$B:$B,RR_Games!B:B)</f>
        <v>0</v>
      </c>
      <c r="F29" s="74">
        <f>SUMIF(RR_Games!$A:$A,$B:$B,RR_Games!C:C)</f>
        <v>0</v>
      </c>
      <c r="G29" s="203" t="e">
        <f>RR_TOT[[#This Row],[Total FGM]]/RR_TOT[[#This Row],[Total FGA]]</f>
        <v>#DIV/0!</v>
      </c>
      <c r="H29" s="98">
        <f>SUMIF(RR_Games!$A:$A,$B:$B,RR_Games!E:E)</f>
        <v>0</v>
      </c>
      <c r="I29" s="19">
        <f>SUMIF(RR_Games!$A:$A,$B:$B,RR_Games!F:F)</f>
        <v>0</v>
      </c>
      <c r="J29" s="91" t="e">
        <f>RR_TOT[[#This Row],[2PT FGM]]/RR_TOT[[#This Row],[2PT FGA]]</f>
        <v>#DIV/0!</v>
      </c>
      <c r="K29" s="19">
        <f>SUMIF(RR_Games!$A:$A,$B:$B,RR_Games!H:H)</f>
        <v>0</v>
      </c>
      <c r="L29" s="19">
        <f>SUMIF(RR_Games!$A:$A,$B:$B,RR_Games!I:I)</f>
        <v>0</v>
      </c>
      <c r="M29" s="91" t="e">
        <f>RR_TOT[[#This Row],[3PT FGM]]/RR_TOT[[#This Row],[3PT FGA]]</f>
        <v>#DIV/0!</v>
      </c>
      <c r="N29" s="19">
        <f>SUMIF(RR_Games!$A:$A,$B:$B,RR_Games!K:K)</f>
        <v>0</v>
      </c>
      <c r="O29" s="19">
        <f>SUMIF(RR_Games!$A:$A,$B:$B,RR_Games!L:L)</f>
        <v>0</v>
      </c>
      <c r="P29" s="99" t="e">
        <f>RR_TOT[[#This Row],[FTM]]/RR_TOT[[#This Row],[FTA]]</f>
        <v>#DIV/0!</v>
      </c>
      <c r="Q29" s="74">
        <f>SUMIF(RR_Games!$A:$A,$B:$B,RR_Games!N:N)</f>
        <v>0</v>
      </c>
      <c r="R29" s="74">
        <f>SUMIF(RR_Games!$A:$A,$B:$B,RR_Games!O:O)</f>
        <v>0</v>
      </c>
      <c r="S29" s="74">
        <f>SUMIF(RR_Games!$A:$A,$B:$B,RR_Games!P:P)</f>
        <v>0</v>
      </c>
      <c r="T29" s="74">
        <f>SUMIF(RR_Games!$A:$A,$B:$B,RR_Games!Q:Q)</f>
        <v>0</v>
      </c>
      <c r="U29" s="74">
        <f>SUMIF(RR_Games!$A:$A,$B:$B,RR_Games!R:R)</f>
        <v>0</v>
      </c>
      <c r="V29" s="74">
        <f>SUMIF(RR_Games!$A:$A,$B:$B,RR_Games!S:S)</f>
        <v>0</v>
      </c>
      <c r="W29" s="74">
        <f>SUMIF(RR_Games!$A:$A,$B:$B,RR_Games!T:T)</f>
        <v>0</v>
      </c>
      <c r="X29" s="74">
        <f>SUMIF(RR_Games!$A:$A,$B:$B,RR_Games!U:U)</f>
        <v>0</v>
      </c>
      <c r="Y29" s="74">
        <f>SUMIF(RR_Games!$A:$A,$B:$B,RR_Games!V:V)</f>
        <v>0</v>
      </c>
      <c r="Z29" s="204" t="e">
        <f>RR_TOT[[#This Row],[Dimes]]/RR_TOT[[#This Row],[Turnovers]]</f>
        <v>#DIV/0!</v>
      </c>
    </row>
    <row r="30" spans="1:26" x14ac:dyDescent="0.2">
      <c r="A30" s="16" t="s">
        <v>37</v>
      </c>
      <c r="B30" t="s">
        <v>100</v>
      </c>
      <c r="C30" t="s">
        <v>209</v>
      </c>
      <c r="D30" s="86"/>
      <c r="E30" s="74">
        <f>SUMIF(RR_Games!$A:$A,$B:$B,RR_Games!B:B)</f>
        <v>0</v>
      </c>
      <c r="F30" s="74">
        <f>SUMIF(RR_Games!$A:$A,$B:$B,RR_Games!C:C)</f>
        <v>0</v>
      </c>
      <c r="G30" s="203" t="e">
        <f>RR_TOT[[#This Row],[Total FGM]]/RR_TOT[[#This Row],[Total FGA]]</f>
        <v>#DIV/0!</v>
      </c>
      <c r="H30" s="98">
        <f>SUMIF(RR_Games!$A:$A,$B:$B,RR_Games!E:E)</f>
        <v>0</v>
      </c>
      <c r="I30" s="19">
        <f>SUMIF(RR_Games!$A:$A,$B:$B,RR_Games!F:F)</f>
        <v>0</v>
      </c>
      <c r="J30" s="91" t="e">
        <f>RR_TOT[[#This Row],[2PT FGM]]/RR_TOT[[#This Row],[2PT FGA]]</f>
        <v>#DIV/0!</v>
      </c>
      <c r="K30" s="19">
        <f>SUMIF(RR_Games!$A:$A,$B:$B,RR_Games!H:H)</f>
        <v>0</v>
      </c>
      <c r="L30" s="19">
        <f>SUMIF(RR_Games!$A:$A,$B:$B,RR_Games!I:I)</f>
        <v>0</v>
      </c>
      <c r="M30" s="91" t="e">
        <f>RR_TOT[[#This Row],[3PT FGM]]/RR_TOT[[#This Row],[3PT FGA]]</f>
        <v>#DIV/0!</v>
      </c>
      <c r="N30" s="19">
        <f>SUMIF(RR_Games!$A:$A,$B:$B,RR_Games!K:K)</f>
        <v>0</v>
      </c>
      <c r="O30" s="19">
        <f>SUMIF(RR_Games!$A:$A,$B:$B,RR_Games!L:L)</f>
        <v>0</v>
      </c>
      <c r="P30" s="99" t="e">
        <f>RR_TOT[[#This Row],[FTM]]/RR_TOT[[#This Row],[FTA]]</f>
        <v>#DIV/0!</v>
      </c>
      <c r="Q30" s="74">
        <f>SUMIF(RR_Games!$A:$A,$B:$B,RR_Games!N:N)</f>
        <v>0</v>
      </c>
      <c r="R30" s="74">
        <f>SUMIF(RR_Games!$A:$A,$B:$B,RR_Games!O:O)</f>
        <v>0</v>
      </c>
      <c r="S30" s="74">
        <f>SUMIF(RR_Games!$A:$A,$B:$B,RR_Games!P:P)</f>
        <v>0</v>
      </c>
      <c r="T30" s="74">
        <f>SUMIF(RR_Games!$A:$A,$B:$B,RR_Games!Q:Q)</f>
        <v>0</v>
      </c>
      <c r="U30" s="74">
        <f>SUMIF(RR_Games!$A:$A,$B:$B,RR_Games!R:R)</f>
        <v>0</v>
      </c>
      <c r="V30" s="74">
        <f>SUMIF(RR_Games!$A:$A,$B:$B,RR_Games!S:S)</f>
        <v>0</v>
      </c>
      <c r="W30" s="74">
        <f>SUMIF(RR_Games!$A:$A,$B:$B,RR_Games!T:T)</f>
        <v>0</v>
      </c>
      <c r="X30" s="74">
        <f>SUMIF(RR_Games!$A:$A,$B:$B,RR_Games!U:U)</f>
        <v>0</v>
      </c>
      <c r="Y30" s="74">
        <f>SUMIF(RR_Games!$A:$A,$B:$B,RR_Games!V:V)</f>
        <v>0</v>
      </c>
      <c r="Z30" s="204" t="e">
        <f>RR_TOT[[#This Row],[Dimes]]/RR_TOT[[#This Row],[Turnovers]]</f>
        <v>#DIV/0!</v>
      </c>
    </row>
    <row r="31" spans="1:26" x14ac:dyDescent="0.2">
      <c r="A31" s="14" t="s">
        <v>32</v>
      </c>
      <c r="B31" t="s">
        <v>103</v>
      </c>
      <c r="C31" t="s">
        <v>209</v>
      </c>
      <c r="D31" s="86"/>
      <c r="E31" s="74">
        <f>SUMIF(RR_Games!$A:$A,$B:$B,RR_Games!B:B)</f>
        <v>0</v>
      </c>
      <c r="F31" s="74">
        <f>SUMIF(RR_Games!$A:$A,$B:$B,RR_Games!C:C)</f>
        <v>0</v>
      </c>
      <c r="G31" s="203" t="e">
        <f>RR_TOT[[#This Row],[Total FGM]]/RR_TOT[[#This Row],[Total FGA]]</f>
        <v>#DIV/0!</v>
      </c>
      <c r="H31" s="98">
        <f>SUMIF(RR_Games!$A:$A,$B:$B,RR_Games!E:E)</f>
        <v>0</v>
      </c>
      <c r="I31" s="19">
        <f>SUMIF(RR_Games!$A:$A,$B:$B,RR_Games!F:F)</f>
        <v>0</v>
      </c>
      <c r="J31" s="91" t="e">
        <f>RR_TOT[[#This Row],[2PT FGM]]/RR_TOT[[#This Row],[2PT FGA]]</f>
        <v>#DIV/0!</v>
      </c>
      <c r="K31" s="19">
        <f>SUMIF(RR_Games!$A:$A,$B:$B,RR_Games!H:H)</f>
        <v>0</v>
      </c>
      <c r="L31" s="19">
        <f>SUMIF(RR_Games!$A:$A,$B:$B,RR_Games!I:I)</f>
        <v>0</v>
      </c>
      <c r="M31" s="91" t="e">
        <f>RR_TOT[[#This Row],[3PT FGM]]/RR_TOT[[#This Row],[3PT FGA]]</f>
        <v>#DIV/0!</v>
      </c>
      <c r="N31" s="19">
        <f>SUMIF(RR_Games!$A:$A,$B:$B,RR_Games!K:K)</f>
        <v>0</v>
      </c>
      <c r="O31" s="19">
        <f>SUMIF(RR_Games!$A:$A,$B:$B,RR_Games!L:L)</f>
        <v>0</v>
      </c>
      <c r="P31" s="99" t="e">
        <f>RR_TOT[[#This Row],[FTM]]/RR_TOT[[#This Row],[FTA]]</f>
        <v>#DIV/0!</v>
      </c>
      <c r="Q31" s="74">
        <f>SUMIF(RR_Games!$A:$A,$B:$B,RR_Games!N:N)</f>
        <v>0</v>
      </c>
      <c r="R31" s="74">
        <f>SUMIF(RR_Games!$A:$A,$B:$B,RR_Games!O:O)</f>
        <v>0</v>
      </c>
      <c r="S31" s="74">
        <f>SUMIF(RR_Games!$A:$A,$B:$B,RR_Games!P:P)</f>
        <v>0</v>
      </c>
      <c r="T31" s="74">
        <f>SUMIF(RR_Games!$A:$A,$B:$B,RR_Games!Q:Q)</f>
        <v>0</v>
      </c>
      <c r="U31" s="74">
        <f>SUMIF(RR_Games!$A:$A,$B:$B,RR_Games!R:R)</f>
        <v>0</v>
      </c>
      <c r="V31" s="74">
        <f>SUMIF(RR_Games!$A:$A,$B:$B,RR_Games!S:S)</f>
        <v>0</v>
      </c>
      <c r="W31" s="74">
        <f>SUMIF(RR_Games!$A:$A,$B:$B,RR_Games!T:T)</f>
        <v>0</v>
      </c>
      <c r="X31" s="74">
        <f>SUMIF(RR_Games!$A:$A,$B:$B,RR_Games!U:U)</f>
        <v>0</v>
      </c>
      <c r="Y31" s="74">
        <f>SUMIF(RR_Games!$A:$A,$B:$B,RR_Games!V:V)</f>
        <v>0</v>
      </c>
      <c r="Z31" s="204" t="e">
        <f>RR_TOT[[#This Row],[Dimes]]/RR_TOT[[#This Row],[Turnovers]]</f>
        <v>#DIV/0!</v>
      </c>
    </row>
    <row r="32" spans="1:26" x14ac:dyDescent="0.2">
      <c r="A32" s="14" t="s">
        <v>29</v>
      </c>
      <c r="B32" t="s">
        <v>24</v>
      </c>
      <c r="C32" t="s">
        <v>209</v>
      </c>
      <c r="D32" s="86"/>
      <c r="E32" s="74">
        <f>SUMIF(RR_Games!$A:$A,$B:$B,RR_Games!B:B)</f>
        <v>0</v>
      </c>
      <c r="F32" s="74">
        <f>SUMIF(RR_Games!$A:$A,$B:$B,RR_Games!C:C)</f>
        <v>0</v>
      </c>
      <c r="G32" s="203" t="e">
        <f>RR_TOT[[#This Row],[Total FGM]]/RR_TOT[[#This Row],[Total FGA]]</f>
        <v>#DIV/0!</v>
      </c>
      <c r="H32" s="98">
        <f>SUMIF(RR_Games!$A:$A,$B:$B,RR_Games!E:E)</f>
        <v>0</v>
      </c>
      <c r="I32" s="19">
        <f>SUMIF(RR_Games!$A:$A,$B:$B,RR_Games!F:F)</f>
        <v>0</v>
      </c>
      <c r="J32" s="91" t="e">
        <f>RR_TOT[[#This Row],[2PT FGM]]/RR_TOT[[#This Row],[2PT FGA]]</f>
        <v>#DIV/0!</v>
      </c>
      <c r="K32" s="19">
        <f>SUMIF(RR_Games!$A:$A,$B:$B,RR_Games!H:H)</f>
        <v>0</v>
      </c>
      <c r="L32" s="19">
        <f>SUMIF(RR_Games!$A:$A,$B:$B,RR_Games!I:I)</f>
        <v>0</v>
      </c>
      <c r="M32" s="91" t="e">
        <f>RR_TOT[[#This Row],[3PT FGM]]/RR_TOT[[#This Row],[3PT FGA]]</f>
        <v>#DIV/0!</v>
      </c>
      <c r="N32" s="19">
        <f>SUMIF(RR_Games!$A:$A,$B:$B,RR_Games!K:K)</f>
        <v>0</v>
      </c>
      <c r="O32" s="19">
        <f>SUMIF(RR_Games!$A:$A,$B:$B,RR_Games!L:L)</f>
        <v>0</v>
      </c>
      <c r="P32" s="99" t="e">
        <f>RR_TOT[[#This Row],[FTM]]/RR_TOT[[#This Row],[FTA]]</f>
        <v>#DIV/0!</v>
      </c>
      <c r="Q32" s="74">
        <f>SUMIF(RR_Games!$A:$A,$B:$B,RR_Games!N:N)</f>
        <v>0</v>
      </c>
      <c r="R32" s="74">
        <f>SUMIF(RR_Games!$A:$A,$B:$B,RR_Games!O:O)</f>
        <v>0</v>
      </c>
      <c r="S32" s="74">
        <f>SUMIF(RR_Games!$A:$A,$B:$B,RR_Games!P:P)</f>
        <v>0</v>
      </c>
      <c r="T32" s="74">
        <f>SUMIF(RR_Games!$A:$A,$B:$B,RR_Games!Q:Q)</f>
        <v>0</v>
      </c>
      <c r="U32" s="74">
        <f>SUMIF(RR_Games!$A:$A,$B:$B,RR_Games!R:R)</f>
        <v>0</v>
      </c>
      <c r="V32" s="74">
        <f>SUMIF(RR_Games!$A:$A,$B:$B,RR_Games!S:S)</f>
        <v>0</v>
      </c>
      <c r="W32" s="74">
        <f>SUMIF(RR_Games!$A:$A,$B:$B,RR_Games!T:T)</f>
        <v>0</v>
      </c>
      <c r="X32" s="74">
        <f>SUMIF(RR_Games!$A:$A,$B:$B,RR_Games!U:U)</f>
        <v>0</v>
      </c>
      <c r="Y32" s="74">
        <f>SUMIF(RR_Games!$A:$A,$B:$B,RR_Games!V:V)</f>
        <v>0</v>
      </c>
      <c r="Z32" s="204" t="e">
        <f>RR_TOT[[#This Row],[Dimes]]/RR_TOT[[#This Row],[Turnovers]]</f>
        <v>#DIV/0!</v>
      </c>
    </row>
    <row r="33" spans="1:26" x14ac:dyDescent="0.2">
      <c r="A33" s="14" t="s">
        <v>33</v>
      </c>
      <c r="B33" t="s">
        <v>135</v>
      </c>
      <c r="C33" t="s">
        <v>209</v>
      </c>
      <c r="D33" s="86"/>
      <c r="E33" s="205">
        <f>SUMIF(RR_Games!$A:$A,$B:$B,RR_Games!B:B)</f>
        <v>0</v>
      </c>
      <c r="F33" s="74">
        <f>SUMIF(RR_Games!$A:$A,$B:$B,RR_Games!C:C)</f>
        <v>0</v>
      </c>
      <c r="G33" s="206" t="e">
        <f>RR_TOT[[#This Row],[Total FGM]]/RR_TOT[[#This Row],[Total FGA]]</f>
        <v>#DIV/0!</v>
      </c>
      <c r="H33" s="98">
        <f>SUMIF(RR_Games!$A:$A,$B:$B,RR_Games!E:E)</f>
        <v>0</v>
      </c>
      <c r="I33" s="19">
        <f>SUMIF(RR_Games!$A:$A,$B:$B,RR_Games!F:F)</f>
        <v>0</v>
      </c>
      <c r="J33" s="209" t="e">
        <f>RR_TOT[[#This Row],[2PT FGM]]/RR_TOT[[#This Row],[2PT FGA]]</f>
        <v>#DIV/0!</v>
      </c>
      <c r="K33" s="19">
        <f>SUMIF(RR_Games!$A:$A,$B:$B,RR_Games!H:H)</f>
        <v>0</v>
      </c>
      <c r="L33" s="19">
        <f>SUMIF(RR_Games!$A:$A,$B:$B,RR_Games!I:I)</f>
        <v>0</v>
      </c>
      <c r="M33" s="209" t="e">
        <f>RR_TOT[[#This Row],[3PT FGM]]/RR_TOT[[#This Row],[3PT FGA]]</f>
        <v>#DIV/0!</v>
      </c>
      <c r="N33" s="19">
        <f>SUMIF(RR_Games!$A:$A,$B:$B,RR_Games!K:K)</f>
        <v>0</v>
      </c>
      <c r="O33" s="19">
        <f>SUMIF(RR_Games!$A:$A,$B:$B,RR_Games!L:L)</f>
        <v>0</v>
      </c>
      <c r="P33" s="210" t="e">
        <f>RR_TOT[[#This Row],[FTM]]/RR_TOT[[#This Row],[FTA]]</f>
        <v>#DIV/0!</v>
      </c>
      <c r="Q33" s="74">
        <f>SUMIF(RR_Games!$A:$A,$B:$B,RR_Games!N:N)</f>
        <v>0</v>
      </c>
      <c r="R33" s="74">
        <f>SUMIF(RR_Games!$A:$A,$B:$B,RR_Games!O:O)</f>
        <v>0</v>
      </c>
      <c r="S33" s="74">
        <f>SUMIF(RR_Games!$A:$A,$B:$B,RR_Games!P:P)</f>
        <v>0</v>
      </c>
      <c r="T33" s="74">
        <f>SUMIF(RR_Games!$A:$A,$B:$B,RR_Games!Q:Q)</f>
        <v>0</v>
      </c>
      <c r="U33" s="74">
        <f>SUMIF(RR_Games!$A:$A,$B:$B,RR_Games!R:R)</f>
        <v>0</v>
      </c>
      <c r="V33" s="74">
        <f>SUMIF(RR_Games!$A:$A,$B:$B,RR_Games!S:S)</f>
        <v>0</v>
      </c>
      <c r="W33" s="74">
        <f>SUMIF(RR_Games!$A:$A,$B:$B,RR_Games!T:T)</f>
        <v>0</v>
      </c>
      <c r="X33" s="74">
        <f>SUMIF(RR_Games!$A:$A,$B:$B,RR_Games!U:U)</f>
        <v>0</v>
      </c>
      <c r="Y33" s="74">
        <f>SUMIF(RR_Games!$A:$A,$B:$B,RR_Games!V:V)</f>
        <v>0</v>
      </c>
      <c r="Z33" s="206" t="e">
        <f>RR_TOT[[#This Row],[Dimes]]/RR_TOT[[#This Row],[Turnovers]]</f>
        <v>#DIV/0!</v>
      </c>
    </row>
    <row r="34" spans="1:26" ht="16" thickBot="1" x14ac:dyDescent="0.25">
      <c r="A34" s="14" t="s">
        <v>55</v>
      </c>
      <c r="B34" t="s">
        <v>85</v>
      </c>
      <c r="C34" t="s">
        <v>209</v>
      </c>
      <c r="D34" s="86"/>
      <c r="E34" s="74">
        <f>SUMIF(RR_Games!$A:$A,$B:$B,RR_Games!B:B)</f>
        <v>0</v>
      </c>
      <c r="F34" s="74">
        <f>SUMIF(RR_Games!$A:$A,$B:$B,RR_Games!C:C)</f>
        <v>0</v>
      </c>
      <c r="G34" s="203" t="e">
        <f>RR_TOT[[#This Row],[Total FGM]]/RR_TOT[[#This Row],[Total FGA]]</f>
        <v>#DIV/0!</v>
      </c>
      <c r="H34" s="211">
        <f>SUMIF(RR_Games!$A:$A,$B:$B,RR_Games!E:E)</f>
        <v>0</v>
      </c>
      <c r="I34" s="212">
        <f>SUMIF(RR_Games!$A:$A,$B:$B,RR_Games!F:F)</f>
        <v>0</v>
      </c>
      <c r="J34" s="213" t="e">
        <f>RR_TOT[[#This Row],[2PT FGM]]/RR_TOT[[#This Row],[2PT FGA]]</f>
        <v>#DIV/0!</v>
      </c>
      <c r="K34" s="212">
        <f>SUMIF(RR_Games!$A:$A,$B:$B,RR_Games!H:H)</f>
        <v>0</v>
      </c>
      <c r="L34" s="212">
        <f>SUMIF(RR_Games!$A:$A,$B:$B,RR_Games!I:I)</f>
        <v>0</v>
      </c>
      <c r="M34" s="213" t="e">
        <f>RR_TOT[[#This Row],[3PT FGM]]/RR_TOT[[#This Row],[3PT FGA]]</f>
        <v>#DIV/0!</v>
      </c>
      <c r="N34" s="212">
        <f>SUMIF(RR_Games!$A:$A,$B:$B,RR_Games!K:K)</f>
        <v>0</v>
      </c>
      <c r="O34" s="212">
        <f>SUMIF(RR_Games!$A:$A,$B:$B,RR_Games!L:L)</f>
        <v>0</v>
      </c>
      <c r="P34" s="214" t="e">
        <f>RR_TOT[[#This Row],[FTM]]/RR_TOT[[#This Row],[FTA]]</f>
        <v>#DIV/0!</v>
      </c>
      <c r="Q34" s="74">
        <f>SUMIF(RR_Games!$A:$A,$B:$B,RR_Games!N:N)</f>
        <v>0</v>
      </c>
      <c r="R34" s="74">
        <f>SUMIF(RR_Games!$A:$A,$B:$B,RR_Games!O:O)</f>
        <v>0</v>
      </c>
      <c r="S34" s="74">
        <f>SUMIF(RR_Games!$A:$A,$B:$B,RR_Games!P:P)</f>
        <v>0</v>
      </c>
      <c r="T34" s="74">
        <f>SUMIF(RR_Games!$A:$A,$B:$B,RR_Games!Q:Q)</f>
        <v>0</v>
      </c>
      <c r="U34" s="74">
        <f>SUMIF(RR_Games!$A:$A,$B:$B,RR_Games!R:R)</f>
        <v>0</v>
      </c>
      <c r="V34" s="74">
        <f>SUMIF(RR_Games!$A:$A,$B:$B,RR_Games!S:S)</f>
        <v>0</v>
      </c>
      <c r="W34" s="74">
        <f>SUMIF(RR_Games!$A:$A,$B:$B,RR_Games!T:T)</f>
        <v>0</v>
      </c>
      <c r="X34" s="74">
        <f>SUMIF(RR_Games!$A:$A,$B:$B,RR_Games!U:U)</f>
        <v>0</v>
      </c>
      <c r="Y34" s="74">
        <f>SUMIF(RR_Games!$A:$A,$B:$B,RR_Games!V:V)</f>
        <v>0</v>
      </c>
      <c r="Z34" s="204" t="e">
        <f>RR_TOT[[#This Row],[Dimes]]/RR_TOT[[#This Row],[Turnovers]]</f>
        <v>#DIV/0!</v>
      </c>
    </row>
    <row r="36" spans="1:26" ht="16" thickBot="1" x14ac:dyDescent="0.25">
      <c r="A36" s="117" t="s">
        <v>139</v>
      </c>
      <c r="B36" s="117"/>
      <c r="C36" s="117"/>
      <c r="D36" s="117"/>
      <c r="E36" s="117"/>
      <c r="F36" s="120"/>
      <c r="G36" s="117"/>
      <c r="H36" s="117"/>
      <c r="I36" s="120"/>
      <c r="J36" s="117"/>
      <c r="K36" s="117"/>
      <c r="L36" s="120"/>
      <c r="M36" s="117"/>
      <c r="N36" s="117"/>
      <c r="O36" s="120"/>
      <c r="P36" s="117"/>
      <c r="Q36" s="117"/>
      <c r="R36" s="117"/>
      <c r="S36" s="117"/>
      <c r="T36" s="117"/>
      <c r="U36" s="117"/>
      <c r="V36" s="117"/>
      <c r="W36" s="117"/>
      <c r="X36" s="117"/>
      <c r="Y36" s="120"/>
      <c r="Z36" s="117"/>
    </row>
    <row r="37" spans="1:26" ht="32" x14ac:dyDescent="0.2">
      <c r="A37" s="55" t="s">
        <v>25</v>
      </c>
      <c r="B37" s="55" t="s">
        <v>22</v>
      </c>
      <c r="C37" s="55" t="s">
        <v>23</v>
      </c>
      <c r="D37" s="55" t="s">
        <v>138</v>
      </c>
      <c r="E37" s="54" t="s">
        <v>0</v>
      </c>
      <c r="F37" s="54" t="s">
        <v>1</v>
      </c>
      <c r="G37" s="88" t="s">
        <v>2</v>
      </c>
      <c r="H37" s="110" t="s">
        <v>3</v>
      </c>
      <c r="I37" s="111" t="s">
        <v>4</v>
      </c>
      <c r="J37" s="112" t="s">
        <v>5</v>
      </c>
      <c r="K37" s="111" t="s">
        <v>6</v>
      </c>
      <c r="L37" s="111" t="s">
        <v>7</v>
      </c>
      <c r="M37" s="112" t="s">
        <v>8</v>
      </c>
      <c r="N37" s="111" t="s">
        <v>9</v>
      </c>
      <c r="O37" s="111" t="s">
        <v>10</v>
      </c>
      <c r="P37" s="113" t="s">
        <v>11</v>
      </c>
      <c r="Q37" s="54" t="s">
        <v>140</v>
      </c>
      <c r="R37" s="54" t="s">
        <v>13</v>
      </c>
      <c r="S37" s="54" t="s">
        <v>14</v>
      </c>
      <c r="T37" s="54" t="s">
        <v>15</v>
      </c>
      <c r="U37" s="54" t="s">
        <v>16</v>
      </c>
      <c r="V37" s="54" t="s">
        <v>17</v>
      </c>
      <c r="W37" s="54" t="s">
        <v>18</v>
      </c>
      <c r="X37" s="54" t="s">
        <v>19</v>
      </c>
      <c r="Y37" s="54" t="s">
        <v>20</v>
      </c>
      <c r="Z37" s="88" t="s">
        <v>21</v>
      </c>
    </row>
    <row r="38" spans="1:26" x14ac:dyDescent="0.2">
      <c r="A38" s="14" t="s">
        <v>35</v>
      </c>
      <c r="B38" t="s">
        <v>98</v>
      </c>
      <c r="C38" t="s">
        <v>208</v>
      </c>
      <c r="D38" s="86">
        <f t="shared" ref="D38:D68" si="0">SUMIF($B$4:$B$34,B38,$D$4:$D$34)</f>
        <v>0</v>
      </c>
      <c r="E38" s="215" t="e">
        <f>SUM((SUMIF($B$4:$B$34,RR_AVG[[#This Row],[Baller]],$E$4:$E$34))/RR_AVG[[#This Row],[Games Played]])</f>
        <v>#DIV/0!</v>
      </c>
      <c r="F38" s="215" t="e">
        <f>SUM((SUMIF($B$4:$B$34,RR_AVG[[#This Row],[Baller]],$F$4:$F$34))/RR_AVG[[#This Row],[Games Played]])</f>
        <v>#DIV/0!</v>
      </c>
      <c r="G38" s="203" t="e">
        <f>RR_AVG[[#This Row],[Total FGM]]/RR_AVG[[#This Row],[Total FGA]]</f>
        <v>#DIV/0!</v>
      </c>
      <c r="H38" s="216" t="e">
        <f>SUM((SUMIF($B$4:$B$34,RR_AVG[[#This Row],[Baller]],$H$4:$H$34))/RR_AVG[[#This Row],[Games Played]])</f>
        <v>#DIV/0!</v>
      </c>
      <c r="I38" s="92" t="e">
        <f>SUM((SUMIF($B$4:$B$34,RR_AVG[[#This Row],[Baller]],$I$4:$I$34))/RR_AVG[[#This Row],[Games Played]])</f>
        <v>#DIV/0!</v>
      </c>
      <c r="J38" s="91" t="e">
        <f>RR_AVG[[#This Row],[2PT FGM]]/RR_AVG[[#This Row],[2PT FGA]]</f>
        <v>#DIV/0!</v>
      </c>
      <c r="K38" s="92" t="e">
        <f>SUM((SUMIF($B$4:$B$34,RR_AVG[[#This Row],[Baller]],$K$4:$K$34))/RR_AVG[[#This Row],[Games Played]])</f>
        <v>#DIV/0!</v>
      </c>
      <c r="L38" s="92" t="e">
        <f>SUM((SUMIF($B$4:$B$34,RR_AVG[[#This Row],[Baller]],$L$4:$L$34))/RR_AVG[[#This Row],[Games Played]])</f>
        <v>#DIV/0!</v>
      </c>
      <c r="M38" s="91" t="e">
        <f>RR_AVG[[#This Row],[3PT FGM]]/RR_AVG[[#This Row],[3PT FGA]]</f>
        <v>#DIV/0!</v>
      </c>
      <c r="N38" s="92" t="e">
        <f>SUM((SUMIF($B$4:$B$34,RR_AVG[[#This Row],[Baller]],$N$4:$N$34))/RR_AVG[[#This Row],[Games Played]])</f>
        <v>#DIV/0!</v>
      </c>
      <c r="O38" s="92" t="e">
        <f>SUM((SUMIF($B$4:$B$34,RR_AVG[[#This Row],[Baller]],$O$4:$O$34))/RR_AVG[[#This Row],[Games Played]])</f>
        <v>#DIV/0!</v>
      </c>
      <c r="P38" s="99" t="e">
        <f>RR_AVG[[#This Row],[FTM]]/RR_AVG[[#This Row],[FTA]]</f>
        <v>#DIV/0!</v>
      </c>
      <c r="Q38" s="215" t="e">
        <f>SUM((SUMIF($B$4:$B$34,RR_AVG[[#This Row],[Baller]],$Q$4:$Q$34))/RR_AVG[[#This Row],[Games Played]])</f>
        <v>#DIV/0!</v>
      </c>
      <c r="R38" s="215" t="e">
        <f>SUM((SUMIF($B$4:$B$34,RR_AVG[[#This Row],[Baller]],$R$4:$R$34))/RR_AVG[[#This Row],[Games Played]])</f>
        <v>#DIV/0!</v>
      </c>
      <c r="S38" s="215" t="e">
        <f>SUM((SUMIF($B$4:$B$34,RR_AVG[[#This Row],[Baller]],$S$4:$S$34))/RR_AVG[[#This Row],[Games Played]])</f>
        <v>#DIV/0!</v>
      </c>
      <c r="T38" s="215" t="e">
        <f>SUM((SUMIF($B$4:$B$34,RR_AVG[[#This Row],[Baller]],$T$4:$T$34))/RR_AVG[[#This Row],[Games Played]])</f>
        <v>#DIV/0!</v>
      </c>
      <c r="U38" s="215" t="e">
        <f>SUM((SUMIF($B$4:$B$34,RR_AVG[[#This Row],[Baller]],$U$4:$U$34))/RR_AVG[[#This Row],[Games Played]])</f>
        <v>#DIV/0!</v>
      </c>
      <c r="V38" s="215" t="e">
        <f>SUM((SUMIF($B$4:$B$34,RR_AVG[[#This Row],[Baller]],$V$4:$V$34))/RR_AVG[[#This Row],[Games Played]])</f>
        <v>#DIV/0!</v>
      </c>
      <c r="W38" s="215" t="e">
        <f>SUM((SUMIF($B$4:$B$34,RR_AVG[[#This Row],[Baller]],$W$4:$W$34))/RR_AVG[[#This Row],[Games Played]])</f>
        <v>#DIV/0!</v>
      </c>
      <c r="X38" s="215" t="e">
        <f>SUM((SUMIF($B$4:$B$34,RR_AVG[[#This Row],[Baller]],$X$4:$X$34))/RR_AVG[[#This Row],[Games Played]])</f>
        <v>#DIV/0!</v>
      </c>
      <c r="Y38" s="215" t="e">
        <f>SUM((SUMIF($B$4:$B$34,RR_AVG[[#This Row],[Baller]],$Y$4:$Y$34))/RR_AVG[[#This Row],[Games Played]])</f>
        <v>#DIV/0!</v>
      </c>
      <c r="Z38" s="204" t="e">
        <f>RR_AVG[[#This Row],[Dimes]]/RR_AVG[[#This Row],[Turnovers]]</f>
        <v>#DIV/0!</v>
      </c>
    </row>
    <row r="39" spans="1:26" x14ac:dyDescent="0.2">
      <c r="A39" s="14" t="s">
        <v>36</v>
      </c>
      <c r="B39" t="s">
        <v>88</v>
      </c>
      <c r="C39" t="s">
        <v>208</v>
      </c>
      <c r="D39" s="86">
        <f t="shared" si="0"/>
        <v>0</v>
      </c>
      <c r="E39" s="215" t="e">
        <f>SUM((SUMIF($B$4:$B$34,RR_AVG[[#This Row],[Baller]],$E$4:$E$34))/RR_AVG[[#This Row],[Games Played]])</f>
        <v>#DIV/0!</v>
      </c>
      <c r="F39" s="215" t="e">
        <f>SUM((SUMIF($B$4:$B$34,RR_AVG[[#This Row],[Baller]],$F$4:$F$34))/RR_AVG[[#This Row],[Games Played]])</f>
        <v>#DIV/0!</v>
      </c>
      <c r="G39" s="203" t="e">
        <f>RR_AVG[[#This Row],[Total FGM]]/RR_AVG[[#This Row],[Total FGA]]</f>
        <v>#DIV/0!</v>
      </c>
      <c r="H39" s="216" t="e">
        <f>SUM((SUMIF($B$4:$B$34,RR_AVG[[#This Row],[Baller]],$H$4:$H$34))/RR_AVG[[#This Row],[Games Played]])</f>
        <v>#DIV/0!</v>
      </c>
      <c r="I39" s="92" t="e">
        <f>SUM((SUMIF($B$4:$B$34,RR_AVG[[#This Row],[Baller]],$I$4:$I$34))/RR_AVG[[#This Row],[Games Played]])</f>
        <v>#DIV/0!</v>
      </c>
      <c r="J39" s="91" t="e">
        <f>RR_AVG[[#This Row],[2PT FGM]]/RR_AVG[[#This Row],[2PT FGA]]</f>
        <v>#DIV/0!</v>
      </c>
      <c r="K39" s="92" t="e">
        <f>SUM((SUMIF($B$4:$B$34,RR_AVG[[#This Row],[Baller]],$K$4:$K$34))/RR_AVG[[#This Row],[Games Played]])</f>
        <v>#DIV/0!</v>
      </c>
      <c r="L39" s="92" t="e">
        <f>SUM((SUMIF($B$4:$B$34,RR_AVG[[#This Row],[Baller]],$L$4:$L$34))/RR_AVG[[#This Row],[Games Played]])</f>
        <v>#DIV/0!</v>
      </c>
      <c r="M39" s="91" t="e">
        <f>RR_AVG[[#This Row],[3PT FGM]]/RR_AVG[[#This Row],[3PT FGA]]</f>
        <v>#DIV/0!</v>
      </c>
      <c r="N39" s="92" t="e">
        <f>SUM((SUMIF($B$4:$B$34,RR_AVG[[#This Row],[Baller]],$N$4:$N$34))/RR_AVG[[#This Row],[Games Played]])</f>
        <v>#DIV/0!</v>
      </c>
      <c r="O39" s="92" t="e">
        <f>SUM((SUMIF($B$4:$B$34,RR_AVG[[#This Row],[Baller]],$O$4:$O$34))/RR_AVG[[#This Row],[Games Played]])</f>
        <v>#DIV/0!</v>
      </c>
      <c r="P39" s="99" t="e">
        <f>RR_AVG[[#This Row],[FTM]]/RR_AVG[[#This Row],[FTA]]</f>
        <v>#DIV/0!</v>
      </c>
      <c r="Q39" s="215" t="e">
        <f>SUM((SUMIF($B$4:$B$34,RR_AVG[[#This Row],[Baller]],$Q$4:$Q$34))/RR_AVG[[#This Row],[Games Played]])</f>
        <v>#DIV/0!</v>
      </c>
      <c r="R39" s="215" t="e">
        <f>SUM((SUMIF($B$4:$B$34,RR_AVG[[#This Row],[Baller]],$R$4:$R$34))/RR_AVG[[#This Row],[Games Played]])</f>
        <v>#DIV/0!</v>
      </c>
      <c r="S39" s="215" t="e">
        <f>SUM((SUMIF($B$4:$B$34,RR_AVG[[#This Row],[Baller]],$S$4:$S$34))/RR_AVG[[#This Row],[Games Played]])</f>
        <v>#DIV/0!</v>
      </c>
      <c r="T39" s="215" t="e">
        <f>SUM((SUMIF($B$4:$B$34,RR_AVG[[#This Row],[Baller]],$T$4:$T$34))/RR_AVG[[#This Row],[Games Played]])</f>
        <v>#DIV/0!</v>
      </c>
      <c r="U39" s="215" t="e">
        <f>SUM((SUMIF($B$4:$B$34,RR_AVG[[#This Row],[Baller]],$U$4:$U$34))/RR_AVG[[#This Row],[Games Played]])</f>
        <v>#DIV/0!</v>
      </c>
      <c r="V39" s="215" t="e">
        <f>SUM((SUMIF($B$4:$B$34,RR_AVG[[#This Row],[Baller]],$V$4:$V$34))/RR_AVG[[#This Row],[Games Played]])</f>
        <v>#DIV/0!</v>
      </c>
      <c r="W39" s="215" t="e">
        <f>SUM((SUMIF($B$4:$B$34,RR_AVG[[#This Row],[Baller]],$W$4:$W$34))/RR_AVG[[#This Row],[Games Played]])</f>
        <v>#DIV/0!</v>
      </c>
      <c r="X39" s="215" t="e">
        <f>SUM((SUMIF($B$4:$B$34,RR_AVG[[#This Row],[Baller]],$X$4:$X$34))/RR_AVG[[#This Row],[Games Played]])</f>
        <v>#DIV/0!</v>
      </c>
      <c r="Y39" s="215" t="e">
        <f>SUM((SUMIF($B$4:$B$34,RR_AVG[[#This Row],[Baller]],$Y$4:$Y$34))/RR_AVG[[#This Row],[Games Played]])</f>
        <v>#DIV/0!</v>
      </c>
      <c r="Z39" s="204" t="e">
        <f>RR_AVG[[#This Row],[Dimes]]/RR_AVG[[#This Row],[Turnovers]]</f>
        <v>#DIV/0!</v>
      </c>
    </row>
    <row r="40" spans="1:26" x14ac:dyDescent="0.2">
      <c r="A40" s="14" t="s">
        <v>40</v>
      </c>
      <c r="B40" t="s">
        <v>83</v>
      </c>
      <c r="C40" t="s">
        <v>208</v>
      </c>
      <c r="D40" s="86">
        <f t="shared" si="0"/>
        <v>0</v>
      </c>
      <c r="E40" s="215" t="e">
        <f>SUM((SUMIF($B$4:$B$34,RR_AVG[[#This Row],[Baller]],$E$4:$E$34))/RR_AVG[[#This Row],[Games Played]])</f>
        <v>#DIV/0!</v>
      </c>
      <c r="F40" s="215" t="e">
        <f>SUM((SUMIF($B$4:$B$34,RR_AVG[[#This Row],[Baller]],$F$4:$F$34))/RR_AVG[[#This Row],[Games Played]])</f>
        <v>#DIV/0!</v>
      </c>
      <c r="G40" s="203" t="e">
        <f>RR_AVG[[#This Row],[Total FGM]]/RR_AVG[[#This Row],[Total FGA]]</f>
        <v>#DIV/0!</v>
      </c>
      <c r="H40" s="216" t="e">
        <f>SUM((SUMIF($B$4:$B$34,RR_AVG[[#This Row],[Baller]],$H$4:$H$34))/RR_AVG[[#This Row],[Games Played]])</f>
        <v>#DIV/0!</v>
      </c>
      <c r="I40" s="92" t="e">
        <f>SUM((SUMIF($B$4:$B$34,RR_AVG[[#This Row],[Baller]],$I$4:$I$34))/RR_AVG[[#This Row],[Games Played]])</f>
        <v>#DIV/0!</v>
      </c>
      <c r="J40" s="91" t="e">
        <f>RR_AVG[[#This Row],[2PT FGM]]/RR_AVG[[#This Row],[2PT FGA]]</f>
        <v>#DIV/0!</v>
      </c>
      <c r="K40" s="92" t="e">
        <f>SUM((SUMIF($B$4:$B$34,RR_AVG[[#This Row],[Baller]],$K$4:$K$34))/RR_AVG[[#This Row],[Games Played]])</f>
        <v>#DIV/0!</v>
      </c>
      <c r="L40" s="92" t="e">
        <f>SUM((SUMIF($B$4:$B$34,RR_AVG[[#This Row],[Baller]],$L$4:$L$34))/RR_AVG[[#This Row],[Games Played]])</f>
        <v>#DIV/0!</v>
      </c>
      <c r="M40" s="91" t="e">
        <f>RR_AVG[[#This Row],[3PT FGM]]/RR_AVG[[#This Row],[3PT FGA]]</f>
        <v>#DIV/0!</v>
      </c>
      <c r="N40" s="92" t="e">
        <f>SUM((SUMIF($B$4:$B$34,RR_AVG[[#This Row],[Baller]],$N$4:$N$34))/RR_AVG[[#This Row],[Games Played]])</f>
        <v>#DIV/0!</v>
      </c>
      <c r="O40" s="92" t="e">
        <f>SUM((SUMIF($B$4:$B$34,RR_AVG[[#This Row],[Baller]],$O$4:$O$34))/RR_AVG[[#This Row],[Games Played]])</f>
        <v>#DIV/0!</v>
      </c>
      <c r="P40" s="99" t="e">
        <f>RR_AVG[[#This Row],[FTM]]/RR_AVG[[#This Row],[FTA]]</f>
        <v>#DIV/0!</v>
      </c>
      <c r="Q40" s="215" t="e">
        <f>SUM((SUMIF($B$4:$B$34,RR_AVG[[#This Row],[Baller]],$Q$4:$Q$34))/RR_AVG[[#This Row],[Games Played]])</f>
        <v>#DIV/0!</v>
      </c>
      <c r="R40" s="215" t="e">
        <f>SUM((SUMIF($B$4:$B$34,RR_AVG[[#This Row],[Baller]],$R$4:$R$34))/RR_AVG[[#This Row],[Games Played]])</f>
        <v>#DIV/0!</v>
      </c>
      <c r="S40" s="215" t="e">
        <f>SUM((SUMIF($B$4:$B$34,RR_AVG[[#This Row],[Baller]],$S$4:$S$34))/RR_AVG[[#This Row],[Games Played]])</f>
        <v>#DIV/0!</v>
      </c>
      <c r="T40" s="215" t="e">
        <f>SUM((SUMIF($B$4:$B$34,RR_AVG[[#This Row],[Baller]],$T$4:$T$34))/RR_AVG[[#This Row],[Games Played]])</f>
        <v>#DIV/0!</v>
      </c>
      <c r="U40" s="215" t="e">
        <f>SUM((SUMIF($B$4:$B$34,RR_AVG[[#This Row],[Baller]],$U$4:$U$34))/RR_AVG[[#This Row],[Games Played]])</f>
        <v>#DIV/0!</v>
      </c>
      <c r="V40" s="215" t="e">
        <f>SUM((SUMIF($B$4:$B$34,RR_AVG[[#This Row],[Baller]],$V$4:$V$34))/RR_AVG[[#This Row],[Games Played]])</f>
        <v>#DIV/0!</v>
      </c>
      <c r="W40" s="215" t="e">
        <f>SUM((SUMIF($B$4:$B$34,RR_AVG[[#This Row],[Baller]],$W$4:$W$34))/RR_AVG[[#This Row],[Games Played]])</f>
        <v>#DIV/0!</v>
      </c>
      <c r="X40" s="215" t="e">
        <f>SUM((SUMIF($B$4:$B$34,RR_AVG[[#This Row],[Baller]],$X$4:$X$34))/RR_AVG[[#This Row],[Games Played]])</f>
        <v>#DIV/0!</v>
      </c>
      <c r="Y40" s="215" t="e">
        <f>SUM((SUMIF($B$4:$B$34,RR_AVG[[#This Row],[Baller]],$Y$4:$Y$34))/RR_AVG[[#This Row],[Games Played]])</f>
        <v>#DIV/0!</v>
      </c>
      <c r="Z40" s="204" t="e">
        <f>RR_AVG[[#This Row],[Dimes]]/RR_AVG[[#This Row],[Turnovers]]</f>
        <v>#DIV/0!</v>
      </c>
    </row>
    <row r="41" spans="1:26" x14ac:dyDescent="0.2">
      <c r="A41" s="14" t="s">
        <v>30</v>
      </c>
      <c r="B41" t="s">
        <v>96</v>
      </c>
      <c r="C41" t="s">
        <v>208</v>
      </c>
      <c r="D41" s="86">
        <f t="shared" si="0"/>
        <v>0</v>
      </c>
      <c r="E41" s="215" t="e">
        <f>SUM((SUMIF($B$4:$B$34,RR_AVG[[#This Row],[Baller]],$E$4:$E$34))/RR_AVG[[#This Row],[Games Played]])</f>
        <v>#DIV/0!</v>
      </c>
      <c r="F41" s="215" t="e">
        <f>SUM((SUMIF($B$4:$B$34,RR_AVG[[#This Row],[Baller]],$F$4:$F$34))/RR_AVG[[#This Row],[Games Played]])</f>
        <v>#DIV/0!</v>
      </c>
      <c r="G41" s="203" t="e">
        <f>RR_AVG[[#This Row],[Total FGM]]/RR_AVG[[#This Row],[Total FGA]]</f>
        <v>#DIV/0!</v>
      </c>
      <c r="H41" s="216" t="e">
        <f>SUM((SUMIF($B$4:$B$34,RR_AVG[[#This Row],[Baller]],$H$4:$H$34))/RR_AVG[[#This Row],[Games Played]])</f>
        <v>#DIV/0!</v>
      </c>
      <c r="I41" s="92" t="e">
        <f>SUM((SUMIF($B$4:$B$34,RR_AVG[[#This Row],[Baller]],$I$4:$I$34))/RR_AVG[[#This Row],[Games Played]])</f>
        <v>#DIV/0!</v>
      </c>
      <c r="J41" s="91" t="e">
        <f>RR_AVG[[#This Row],[2PT FGM]]/RR_AVG[[#This Row],[2PT FGA]]</f>
        <v>#DIV/0!</v>
      </c>
      <c r="K41" s="92" t="e">
        <f>SUM((SUMIF($B$4:$B$34,RR_AVG[[#This Row],[Baller]],$K$4:$K$34))/RR_AVG[[#This Row],[Games Played]])</f>
        <v>#DIV/0!</v>
      </c>
      <c r="L41" s="92" t="e">
        <f>SUM((SUMIF($B$4:$B$34,RR_AVG[[#This Row],[Baller]],$L$4:$L$34))/RR_AVG[[#This Row],[Games Played]])</f>
        <v>#DIV/0!</v>
      </c>
      <c r="M41" s="91" t="e">
        <f>RR_AVG[[#This Row],[3PT FGM]]/RR_AVG[[#This Row],[3PT FGA]]</f>
        <v>#DIV/0!</v>
      </c>
      <c r="N41" s="92" t="e">
        <f>SUM((SUMIF($B$4:$B$34,RR_AVG[[#This Row],[Baller]],$N$4:$N$34))/RR_AVG[[#This Row],[Games Played]])</f>
        <v>#DIV/0!</v>
      </c>
      <c r="O41" s="92" t="e">
        <f>SUM((SUMIF($B$4:$B$34,RR_AVG[[#This Row],[Baller]],$O$4:$O$34))/RR_AVG[[#This Row],[Games Played]])</f>
        <v>#DIV/0!</v>
      </c>
      <c r="P41" s="99" t="e">
        <f>RR_AVG[[#This Row],[FTM]]/RR_AVG[[#This Row],[FTA]]</f>
        <v>#DIV/0!</v>
      </c>
      <c r="Q41" s="215" t="e">
        <f>SUM((SUMIF($B$4:$B$34,RR_AVG[[#This Row],[Baller]],$Q$4:$Q$34))/RR_AVG[[#This Row],[Games Played]])</f>
        <v>#DIV/0!</v>
      </c>
      <c r="R41" s="215" t="e">
        <f>SUM((SUMIF($B$4:$B$34,RR_AVG[[#This Row],[Baller]],$R$4:$R$34))/RR_AVG[[#This Row],[Games Played]])</f>
        <v>#DIV/0!</v>
      </c>
      <c r="S41" s="215" t="e">
        <f>SUM((SUMIF($B$4:$B$34,RR_AVG[[#This Row],[Baller]],$S$4:$S$34))/RR_AVG[[#This Row],[Games Played]])</f>
        <v>#DIV/0!</v>
      </c>
      <c r="T41" s="215" t="e">
        <f>SUM((SUMIF($B$4:$B$34,RR_AVG[[#This Row],[Baller]],$T$4:$T$34))/RR_AVG[[#This Row],[Games Played]])</f>
        <v>#DIV/0!</v>
      </c>
      <c r="U41" s="215" t="e">
        <f>SUM((SUMIF($B$4:$B$34,RR_AVG[[#This Row],[Baller]],$U$4:$U$34))/RR_AVG[[#This Row],[Games Played]])</f>
        <v>#DIV/0!</v>
      </c>
      <c r="V41" s="215" t="e">
        <f>SUM((SUMIF($B$4:$B$34,RR_AVG[[#This Row],[Baller]],$V$4:$V$34))/RR_AVG[[#This Row],[Games Played]])</f>
        <v>#DIV/0!</v>
      </c>
      <c r="W41" s="215" t="e">
        <f>SUM((SUMIF($B$4:$B$34,RR_AVG[[#This Row],[Baller]],$W$4:$W$34))/RR_AVG[[#This Row],[Games Played]])</f>
        <v>#DIV/0!</v>
      </c>
      <c r="X41" s="215" t="e">
        <f>SUM((SUMIF($B$4:$B$34,RR_AVG[[#This Row],[Baller]],$X$4:$X$34))/RR_AVG[[#This Row],[Games Played]])</f>
        <v>#DIV/0!</v>
      </c>
      <c r="Y41" s="215" t="e">
        <f>SUM((SUMIF($B$4:$B$34,RR_AVG[[#This Row],[Baller]],$Y$4:$Y$34))/RR_AVG[[#This Row],[Games Played]])</f>
        <v>#DIV/0!</v>
      </c>
      <c r="Z41" s="204" t="e">
        <f>RR_AVG[[#This Row],[Dimes]]/RR_AVG[[#This Row],[Turnovers]]</f>
        <v>#DIV/0!</v>
      </c>
    </row>
    <row r="42" spans="1:26" x14ac:dyDescent="0.2">
      <c r="A42" s="14" t="s">
        <v>206</v>
      </c>
      <c r="B42" t="s">
        <v>207</v>
      </c>
      <c r="C42" t="s">
        <v>208</v>
      </c>
      <c r="D42" s="86">
        <f t="shared" si="0"/>
        <v>0</v>
      </c>
      <c r="E42" s="215" t="e">
        <f>SUM((SUMIF($B$4:$B$34,RR_AVG[[#This Row],[Baller]],$E$4:$E$34))/RR_AVG[[#This Row],[Games Played]])</f>
        <v>#DIV/0!</v>
      </c>
      <c r="F42" s="215" t="e">
        <f>SUM((SUMIF($B$4:$B$34,RR_AVG[[#This Row],[Baller]],$F$4:$F$34))/RR_AVG[[#This Row],[Games Played]])</f>
        <v>#DIV/0!</v>
      </c>
      <c r="G42" s="203" t="e">
        <f>RR_AVG[[#This Row],[Total FGM]]/RR_AVG[[#This Row],[Total FGA]]</f>
        <v>#DIV/0!</v>
      </c>
      <c r="H42" s="216" t="e">
        <f>SUM((SUMIF($B$4:$B$34,RR_AVG[[#This Row],[Baller]],$H$4:$H$34))/RR_AVG[[#This Row],[Games Played]])</f>
        <v>#DIV/0!</v>
      </c>
      <c r="I42" s="92" t="e">
        <f>SUM((SUMIF($B$4:$B$34,RR_AVG[[#This Row],[Baller]],$I$4:$I$34))/RR_AVG[[#This Row],[Games Played]])</f>
        <v>#DIV/0!</v>
      </c>
      <c r="J42" s="91" t="e">
        <f>RR_AVG[[#This Row],[2PT FGM]]/RR_AVG[[#This Row],[2PT FGA]]</f>
        <v>#DIV/0!</v>
      </c>
      <c r="K42" s="92" t="e">
        <f>SUM((SUMIF($B$4:$B$34,RR_AVG[[#This Row],[Baller]],$K$4:$K$34))/RR_AVG[[#This Row],[Games Played]])</f>
        <v>#DIV/0!</v>
      </c>
      <c r="L42" s="92" t="e">
        <f>SUM((SUMIF($B$4:$B$34,RR_AVG[[#This Row],[Baller]],$L$4:$L$34))/RR_AVG[[#This Row],[Games Played]])</f>
        <v>#DIV/0!</v>
      </c>
      <c r="M42" s="91" t="e">
        <f>RR_AVG[[#This Row],[3PT FGM]]/RR_AVG[[#This Row],[3PT FGA]]</f>
        <v>#DIV/0!</v>
      </c>
      <c r="N42" s="92" t="e">
        <f>SUM((SUMIF($B$4:$B$34,RR_AVG[[#This Row],[Baller]],$N$4:$N$34))/RR_AVG[[#This Row],[Games Played]])</f>
        <v>#DIV/0!</v>
      </c>
      <c r="O42" s="92" t="e">
        <f>SUM((SUMIF($B$4:$B$34,RR_AVG[[#This Row],[Baller]],$O$4:$O$34))/RR_AVG[[#This Row],[Games Played]])</f>
        <v>#DIV/0!</v>
      </c>
      <c r="P42" s="99" t="e">
        <f>RR_AVG[[#This Row],[FTM]]/RR_AVG[[#This Row],[FTA]]</f>
        <v>#DIV/0!</v>
      </c>
      <c r="Q42" s="215" t="e">
        <f>SUM((SUMIF($B$4:$B$34,RR_AVG[[#This Row],[Baller]],$Q$4:$Q$34))/RR_AVG[[#This Row],[Games Played]])</f>
        <v>#DIV/0!</v>
      </c>
      <c r="R42" s="215" t="e">
        <f>SUM((SUMIF($B$4:$B$34,RR_AVG[[#This Row],[Baller]],$R$4:$R$34))/RR_AVG[[#This Row],[Games Played]])</f>
        <v>#DIV/0!</v>
      </c>
      <c r="S42" s="215" t="e">
        <f>SUM((SUMIF($B$4:$B$34,RR_AVG[[#This Row],[Baller]],$S$4:$S$34))/RR_AVG[[#This Row],[Games Played]])</f>
        <v>#DIV/0!</v>
      </c>
      <c r="T42" s="215" t="e">
        <f>SUM((SUMIF($B$4:$B$34,RR_AVG[[#This Row],[Baller]],$T$4:$T$34))/RR_AVG[[#This Row],[Games Played]])</f>
        <v>#DIV/0!</v>
      </c>
      <c r="U42" s="215" t="e">
        <f>SUM((SUMIF($B$4:$B$34,RR_AVG[[#This Row],[Baller]],$U$4:$U$34))/RR_AVG[[#This Row],[Games Played]])</f>
        <v>#DIV/0!</v>
      </c>
      <c r="V42" s="215" t="e">
        <f>SUM((SUMIF($B$4:$B$34,RR_AVG[[#This Row],[Baller]],$V$4:$V$34))/RR_AVG[[#This Row],[Games Played]])</f>
        <v>#DIV/0!</v>
      </c>
      <c r="W42" s="215" t="e">
        <f>SUM((SUMIF($B$4:$B$34,RR_AVG[[#This Row],[Baller]],$W$4:$W$34))/RR_AVG[[#This Row],[Games Played]])</f>
        <v>#DIV/0!</v>
      </c>
      <c r="X42" s="215" t="e">
        <f>SUM((SUMIF($B$4:$B$34,RR_AVG[[#This Row],[Baller]],$X$4:$X$34))/RR_AVG[[#This Row],[Games Played]])</f>
        <v>#DIV/0!</v>
      </c>
      <c r="Y42" s="215" t="e">
        <f>SUM((SUMIF($B$4:$B$34,RR_AVG[[#This Row],[Baller]],$Y$4:$Y$34))/RR_AVG[[#This Row],[Games Played]])</f>
        <v>#DIV/0!</v>
      </c>
      <c r="Z42" s="204" t="e">
        <f>RR_AVG[[#This Row],[Dimes]]/RR_AVG[[#This Row],[Turnovers]]</f>
        <v>#DIV/0!</v>
      </c>
    </row>
    <row r="43" spans="1:26" x14ac:dyDescent="0.2">
      <c r="A43" s="14" t="s">
        <v>44</v>
      </c>
      <c r="B43" t="s">
        <v>80</v>
      </c>
      <c r="C43" t="s">
        <v>132</v>
      </c>
      <c r="D43" s="86">
        <f t="shared" si="0"/>
        <v>0</v>
      </c>
      <c r="E43" s="215" t="e">
        <f>SUM((SUMIF($B$4:$B$34,RR_AVG[[#This Row],[Baller]],$E$4:$E$34))/RR_AVG[[#This Row],[Games Played]])</f>
        <v>#DIV/0!</v>
      </c>
      <c r="F43" s="215" t="e">
        <f>SUM((SUMIF($B$4:$B$34,RR_AVG[[#This Row],[Baller]],$F$4:$F$34))/RR_AVG[[#This Row],[Games Played]])</f>
        <v>#DIV/0!</v>
      </c>
      <c r="G43" s="203" t="e">
        <f>RR_AVG[[#This Row],[Total FGM]]/RR_AVG[[#This Row],[Total FGA]]</f>
        <v>#DIV/0!</v>
      </c>
      <c r="H43" s="216" t="e">
        <f>SUM((SUMIF($B$4:$B$34,RR_AVG[[#This Row],[Baller]],$H$4:$H$34))/RR_AVG[[#This Row],[Games Played]])</f>
        <v>#DIV/0!</v>
      </c>
      <c r="I43" s="92" t="e">
        <f>SUM((SUMIF($B$4:$B$34,RR_AVG[[#This Row],[Baller]],$I$4:$I$34))/RR_AVG[[#This Row],[Games Played]])</f>
        <v>#DIV/0!</v>
      </c>
      <c r="J43" s="91" t="e">
        <f>RR_AVG[[#This Row],[2PT FGM]]/RR_AVG[[#This Row],[2PT FGA]]</f>
        <v>#DIV/0!</v>
      </c>
      <c r="K43" s="92" t="e">
        <f>SUM((SUMIF($B$4:$B$34,RR_AVG[[#This Row],[Baller]],$K$4:$K$34))/RR_AVG[[#This Row],[Games Played]])</f>
        <v>#DIV/0!</v>
      </c>
      <c r="L43" s="92" t="e">
        <f>SUM((SUMIF($B$4:$B$34,RR_AVG[[#This Row],[Baller]],$L$4:$L$34))/RR_AVG[[#This Row],[Games Played]])</f>
        <v>#DIV/0!</v>
      </c>
      <c r="M43" s="91" t="e">
        <f>RR_AVG[[#This Row],[3PT FGM]]/RR_AVG[[#This Row],[3PT FGA]]</f>
        <v>#DIV/0!</v>
      </c>
      <c r="N43" s="92" t="e">
        <f>SUM((SUMIF($B$4:$B$34,RR_AVG[[#This Row],[Baller]],$N$4:$N$34))/RR_AVG[[#This Row],[Games Played]])</f>
        <v>#DIV/0!</v>
      </c>
      <c r="O43" s="92" t="e">
        <f>SUM((SUMIF($B$4:$B$34,RR_AVG[[#This Row],[Baller]],$O$4:$O$34))/RR_AVG[[#This Row],[Games Played]])</f>
        <v>#DIV/0!</v>
      </c>
      <c r="P43" s="99" t="e">
        <f>RR_AVG[[#This Row],[FTM]]/RR_AVG[[#This Row],[FTA]]</f>
        <v>#DIV/0!</v>
      </c>
      <c r="Q43" s="215" t="e">
        <f>SUM((SUMIF($B$4:$B$34,RR_AVG[[#This Row],[Baller]],$Q$4:$Q$34))/RR_AVG[[#This Row],[Games Played]])</f>
        <v>#DIV/0!</v>
      </c>
      <c r="R43" s="215" t="e">
        <f>SUM((SUMIF($B$4:$B$34,RR_AVG[[#This Row],[Baller]],$R$4:$R$34))/RR_AVG[[#This Row],[Games Played]])</f>
        <v>#DIV/0!</v>
      </c>
      <c r="S43" s="215" t="e">
        <f>SUM((SUMIF($B$4:$B$34,RR_AVG[[#This Row],[Baller]],$S$4:$S$34))/RR_AVG[[#This Row],[Games Played]])</f>
        <v>#DIV/0!</v>
      </c>
      <c r="T43" s="215" t="e">
        <f>SUM((SUMIF($B$4:$B$34,RR_AVG[[#This Row],[Baller]],$T$4:$T$34))/RR_AVG[[#This Row],[Games Played]])</f>
        <v>#DIV/0!</v>
      </c>
      <c r="U43" s="215" t="e">
        <f>SUM((SUMIF($B$4:$B$34,RR_AVG[[#This Row],[Baller]],$U$4:$U$34))/RR_AVG[[#This Row],[Games Played]])</f>
        <v>#DIV/0!</v>
      </c>
      <c r="V43" s="215" t="e">
        <f>SUM((SUMIF($B$4:$B$34,RR_AVG[[#This Row],[Baller]],$V$4:$V$34))/RR_AVG[[#This Row],[Games Played]])</f>
        <v>#DIV/0!</v>
      </c>
      <c r="W43" s="215" t="e">
        <f>SUM((SUMIF($B$4:$B$34,RR_AVG[[#This Row],[Baller]],$W$4:$W$34))/RR_AVG[[#This Row],[Games Played]])</f>
        <v>#DIV/0!</v>
      </c>
      <c r="X43" s="215" t="e">
        <f>SUM((SUMIF($B$4:$B$34,RR_AVG[[#This Row],[Baller]],$X$4:$X$34))/RR_AVG[[#This Row],[Games Played]])</f>
        <v>#DIV/0!</v>
      </c>
      <c r="Y43" s="215" t="e">
        <f>SUM((SUMIF($B$4:$B$34,RR_AVG[[#This Row],[Baller]],$Y$4:$Y$34))/RR_AVG[[#This Row],[Games Played]])</f>
        <v>#DIV/0!</v>
      </c>
      <c r="Z43" s="204" t="e">
        <f>RR_AVG[[#This Row],[Dimes]]/RR_AVG[[#This Row],[Turnovers]]</f>
        <v>#DIV/0!</v>
      </c>
    </row>
    <row r="44" spans="1:26" x14ac:dyDescent="0.2">
      <c r="A44" s="14" t="s">
        <v>52</v>
      </c>
      <c r="B44" t="s">
        <v>91</v>
      </c>
      <c r="C44" t="s">
        <v>132</v>
      </c>
      <c r="D44" s="86">
        <f t="shared" si="0"/>
        <v>0</v>
      </c>
      <c r="E44" s="215" t="e">
        <f>SUM((SUMIF($B$4:$B$34,RR_AVG[[#This Row],[Baller]],$E$4:$E$34))/RR_AVG[[#This Row],[Games Played]])</f>
        <v>#DIV/0!</v>
      </c>
      <c r="F44" s="215" t="e">
        <f>SUM((SUMIF($B$4:$B$34,RR_AVG[[#This Row],[Baller]],$F$4:$F$34))/RR_AVG[[#This Row],[Games Played]])</f>
        <v>#DIV/0!</v>
      </c>
      <c r="G44" s="203" t="e">
        <f>RR_AVG[[#This Row],[Total FGM]]/RR_AVG[[#This Row],[Total FGA]]</f>
        <v>#DIV/0!</v>
      </c>
      <c r="H44" s="216" t="e">
        <f>SUM((SUMIF($B$4:$B$34,RR_AVG[[#This Row],[Baller]],$H$4:$H$34))/RR_AVG[[#This Row],[Games Played]])</f>
        <v>#DIV/0!</v>
      </c>
      <c r="I44" s="92" t="e">
        <f>SUM((SUMIF($B$4:$B$34,RR_AVG[[#This Row],[Baller]],$I$4:$I$34))/RR_AVG[[#This Row],[Games Played]])</f>
        <v>#DIV/0!</v>
      </c>
      <c r="J44" s="91" t="e">
        <f>RR_AVG[[#This Row],[2PT FGM]]/RR_AVG[[#This Row],[2PT FGA]]</f>
        <v>#DIV/0!</v>
      </c>
      <c r="K44" s="92" t="e">
        <f>SUM((SUMIF($B$4:$B$34,RR_AVG[[#This Row],[Baller]],$K$4:$K$34))/RR_AVG[[#This Row],[Games Played]])</f>
        <v>#DIV/0!</v>
      </c>
      <c r="L44" s="92" t="e">
        <f>SUM((SUMIF($B$4:$B$34,RR_AVG[[#This Row],[Baller]],$L$4:$L$34))/RR_AVG[[#This Row],[Games Played]])</f>
        <v>#DIV/0!</v>
      </c>
      <c r="M44" s="91" t="e">
        <f>RR_AVG[[#This Row],[3PT FGM]]/RR_AVG[[#This Row],[3PT FGA]]</f>
        <v>#DIV/0!</v>
      </c>
      <c r="N44" s="92" t="e">
        <f>SUM((SUMIF($B$4:$B$34,RR_AVG[[#This Row],[Baller]],$N$4:$N$34))/RR_AVG[[#This Row],[Games Played]])</f>
        <v>#DIV/0!</v>
      </c>
      <c r="O44" s="92" t="e">
        <f>SUM((SUMIF($B$4:$B$34,RR_AVG[[#This Row],[Baller]],$O$4:$O$34))/RR_AVG[[#This Row],[Games Played]])</f>
        <v>#DIV/0!</v>
      </c>
      <c r="P44" s="99" t="e">
        <f>RR_AVG[[#This Row],[FTM]]/RR_AVG[[#This Row],[FTA]]</f>
        <v>#DIV/0!</v>
      </c>
      <c r="Q44" s="215" t="e">
        <f>SUM((SUMIF($B$4:$B$34,RR_AVG[[#This Row],[Baller]],$Q$4:$Q$34))/RR_AVG[[#This Row],[Games Played]])</f>
        <v>#DIV/0!</v>
      </c>
      <c r="R44" s="215" t="e">
        <f>SUM((SUMIF($B$4:$B$34,RR_AVG[[#This Row],[Baller]],$R$4:$R$34))/RR_AVG[[#This Row],[Games Played]])</f>
        <v>#DIV/0!</v>
      </c>
      <c r="S44" s="215" t="e">
        <f>SUM((SUMIF($B$4:$B$34,RR_AVG[[#This Row],[Baller]],$S$4:$S$34))/RR_AVG[[#This Row],[Games Played]])</f>
        <v>#DIV/0!</v>
      </c>
      <c r="T44" s="215" t="e">
        <f>SUM((SUMIF($B$4:$B$34,RR_AVG[[#This Row],[Baller]],$T$4:$T$34))/RR_AVG[[#This Row],[Games Played]])</f>
        <v>#DIV/0!</v>
      </c>
      <c r="U44" s="215" t="e">
        <f>SUM((SUMIF($B$4:$B$34,RR_AVG[[#This Row],[Baller]],$U$4:$U$34))/RR_AVG[[#This Row],[Games Played]])</f>
        <v>#DIV/0!</v>
      </c>
      <c r="V44" s="215" t="e">
        <f>SUM((SUMIF($B$4:$B$34,RR_AVG[[#This Row],[Baller]],$V$4:$V$34))/RR_AVG[[#This Row],[Games Played]])</f>
        <v>#DIV/0!</v>
      </c>
      <c r="W44" s="215" t="e">
        <f>SUM((SUMIF($B$4:$B$34,RR_AVG[[#This Row],[Baller]],$W$4:$W$34))/RR_AVG[[#This Row],[Games Played]])</f>
        <v>#DIV/0!</v>
      </c>
      <c r="X44" s="215" t="e">
        <f>SUM((SUMIF($B$4:$B$34,RR_AVG[[#This Row],[Baller]],$X$4:$X$34))/RR_AVG[[#This Row],[Games Played]])</f>
        <v>#DIV/0!</v>
      </c>
      <c r="Y44" s="215" t="e">
        <f>SUM((SUMIF($B$4:$B$34,RR_AVG[[#This Row],[Baller]],$Y$4:$Y$34))/RR_AVG[[#This Row],[Games Played]])</f>
        <v>#DIV/0!</v>
      </c>
      <c r="Z44" s="204" t="e">
        <f>RR_AVG[[#This Row],[Dimes]]/RR_AVG[[#This Row],[Turnovers]]</f>
        <v>#DIV/0!</v>
      </c>
    </row>
    <row r="45" spans="1:26" x14ac:dyDescent="0.2">
      <c r="A45" s="14" t="s">
        <v>53</v>
      </c>
      <c r="B45" t="s">
        <v>77</v>
      </c>
      <c r="C45" t="s">
        <v>132</v>
      </c>
      <c r="D45" s="86">
        <f t="shared" si="0"/>
        <v>0</v>
      </c>
      <c r="E45" s="215" t="e">
        <f>SUM((SUMIF($B$4:$B$34,RR_AVG[[#This Row],[Baller]],$E$4:$E$34))/RR_AVG[[#This Row],[Games Played]])</f>
        <v>#DIV/0!</v>
      </c>
      <c r="F45" s="215" t="e">
        <f>SUM((SUMIF($B$4:$B$34,RR_AVG[[#This Row],[Baller]],$F$4:$F$34))/RR_AVG[[#This Row],[Games Played]])</f>
        <v>#DIV/0!</v>
      </c>
      <c r="G45" s="203" t="e">
        <f>RR_AVG[[#This Row],[Total FGM]]/RR_AVG[[#This Row],[Total FGA]]</f>
        <v>#DIV/0!</v>
      </c>
      <c r="H45" s="216" t="e">
        <f>SUM((SUMIF($B$4:$B$34,RR_AVG[[#This Row],[Baller]],$H$4:$H$34))/RR_AVG[[#This Row],[Games Played]])</f>
        <v>#DIV/0!</v>
      </c>
      <c r="I45" s="92" t="e">
        <f>SUM((SUMIF($B$4:$B$34,RR_AVG[[#This Row],[Baller]],$I$4:$I$34))/RR_AVG[[#This Row],[Games Played]])</f>
        <v>#DIV/0!</v>
      </c>
      <c r="J45" s="91" t="e">
        <f>RR_AVG[[#This Row],[2PT FGM]]/RR_AVG[[#This Row],[2PT FGA]]</f>
        <v>#DIV/0!</v>
      </c>
      <c r="K45" s="92" t="e">
        <f>SUM((SUMIF($B$4:$B$34,RR_AVG[[#This Row],[Baller]],$K$4:$K$34))/RR_AVG[[#This Row],[Games Played]])</f>
        <v>#DIV/0!</v>
      </c>
      <c r="L45" s="92" t="e">
        <f>SUM((SUMIF($B$4:$B$34,RR_AVG[[#This Row],[Baller]],$L$4:$L$34))/RR_AVG[[#This Row],[Games Played]])</f>
        <v>#DIV/0!</v>
      </c>
      <c r="M45" s="91" t="e">
        <f>RR_AVG[[#This Row],[3PT FGM]]/RR_AVG[[#This Row],[3PT FGA]]</f>
        <v>#DIV/0!</v>
      </c>
      <c r="N45" s="92" t="e">
        <f>SUM((SUMIF($B$4:$B$34,RR_AVG[[#This Row],[Baller]],$N$4:$N$34))/RR_AVG[[#This Row],[Games Played]])</f>
        <v>#DIV/0!</v>
      </c>
      <c r="O45" s="92" t="e">
        <f>SUM((SUMIF($B$4:$B$34,RR_AVG[[#This Row],[Baller]],$O$4:$O$34))/RR_AVG[[#This Row],[Games Played]])</f>
        <v>#DIV/0!</v>
      </c>
      <c r="P45" s="99" t="e">
        <f>RR_AVG[[#This Row],[FTM]]/RR_AVG[[#This Row],[FTA]]</f>
        <v>#DIV/0!</v>
      </c>
      <c r="Q45" s="215" t="e">
        <f>SUM((SUMIF($B$4:$B$34,RR_AVG[[#This Row],[Baller]],$Q$4:$Q$34))/RR_AVG[[#This Row],[Games Played]])</f>
        <v>#DIV/0!</v>
      </c>
      <c r="R45" s="215" t="e">
        <f>SUM((SUMIF($B$4:$B$34,RR_AVG[[#This Row],[Baller]],$R$4:$R$34))/RR_AVG[[#This Row],[Games Played]])</f>
        <v>#DIV/0!</v>
      </c>
      <c r="S45" s="215" t="e">
        <f>SUM((SUMIF($B$4:$B$34,RR_AVG[[#This Row],[Baller]],$S$4:$S$34))/RR_AVG[[#This Row],[Games Played]])</f>
        <v>#DIV/0!</v>
      </c>
      <c r="T45" s="215" t="e">
        <f>SUM((SUMIF($B$4:$B$34,RR_AVG[[#This Row],[Baller]],$T$4:$T$34))/RR_AVG[[#This Row],[Games Played]])</f>
        <v>#DIV/0!</v>
      </c>
      <c r="U45" s="215" t="e">
        <f>SUM((SUMIF($B$4:$B$34,RR_AVG[[#This Row],[Baller]],$U$4:$U$34))/RR_AVG[[#This Row],[Games Played]])</f>
        <v>#DIV/0!</v>
      </c>
      <c r="V45" s="215" t="e">
        <f>SUM((SUMIF($B$4:$B$34,RR_AVG[[#This Row],[Baller]],$V$4:$V$34))/RR_AVG[[#This Row],[Games Played]])</f>
        <v>#DIV/0!</v>
      </c>
      <c r="W45" s="215" t="e">
        <f>SUM((SUMIF($B$4:$B$34,RR_AVG[[#This Row],[Baller]],$W$4:$W$34))/RR_AVG[[#This Row],[Games Played]])</f>
        <v>#DIV/0!</v>
      </c>
      <c r="X45" s="215" t="e">
        <f>SUM((SUMIF($B$4:$B$34,RR_AVG[[#This Row],[Baller]],$X$4:$X$34))/RR_AVG[[#This Row],[Games Played]])</f>
        <v>#DIV/0!</v>
      </c>
      <c r="Y45" s="215" t="e">
        <f>SUM((SUMIF($B$4:$B$34,RR_AVG[[#This Row],[Baller]],$Y$4:$Y$34))/RR_AVG[[#This Row],[Games Played]])</f>
        <v>#DIV/0!</v>
      </c>
      <c r="Z45" s="204" t="e">
        <f>RR_AVG[[#This Row],[Dimes]]/RR_AVG[[#This Row],[Turnovers]]</f>
        <v>#DIV/0!</v>
      </c>
    </row>
    <row r="46" spans="1:26" x14ac:dyDescent="0.2">
      <c r="A46" s="16" t="s">
        <v>56</v>
      </c>
      <c r="B46" t="s">
        <v>95</v>
      </c>
      <c r="C46" t="s">
        <v>132</v>
      </c>
      <c r="D46" s="86">
        <f t="shared" si="0"/>
        <v>0</v>
      </c>
      <c r="E46" s="215" t="e">
        <f>SUM((SUMIF($B$4:$B$34,RR_AVG[[#This Row],[Baller]],$E$4:$E$34))/RR_AVG[[#This Row],[Games Played]])</f>
        <v>#DIV/0!</v>
      </c>
      <c r="F46" s="215" t="e">
        <f>SUM((SUMIF($B$4:$B$34,RR_AVG[[#This Row],[Baller]],$F$4:$F$34))/RR_AVG[[#This Row],[Games Played]])</f>
        <v>#DIV/0!</v>
      </c>
      <c r="G46" s="203" t="e">
        <f>RR_AVG[[#This Row],[Total FGM]]/RR_AVG[[#This Row],[Total FGA]]</f>
        <v>#DIV/0!</v>
      </c>
      <c r="H46" s="216" t="e">
        <f>SUM((SUMIF($B$4:$B$34,RR_AVG[[#This Row],[Baller]],$H$4:$H$34))/RR_AVG[[#This Row],[Games Played]])</f>
        <v>#DIV/0!</v>
      </c>
      <c r="I46" s="92" t="e">
        <f>SUM((SUMIF($B$4:$B$34,RR_AVG[[#This Row],[Baller]],$I$4:$I$34))/RR_AVG[[#This Row],[Games Played]])</f>
        <v>#DIV/0!</v>
      </c>
      <c r="J46" s="91" t="e">
        <f>RR_AVG[[#This Row],[2PT FGM]]/RR_AVG[[#This Row],[2PT FGA]]</f>
        <v>#DIV/0!</v>
      </c>
      <c r="K46" s="92" t="e">
        <f>SUM((SUMIF($B$4:$B$34,RR_AVG[[#This Row],[Baller]],$K$4:$K$34))/RR_AVG[[#This Row],[Games Played]])</f>
        <v>#DIV/0!</v>
      </c>
      <c r="L46" s="92" t="e">
        <f>SUM((SUMIF($B$4:$B$34,RR_AVG[[#This Row],[Baller]],$L$4:$L$34))/RR_AVG[[#This Row],[Games Played]])</f>
        <v>#DIV/0!</v>
      </c>
      <c r="M46" s="91" t="e">
        <f>RR_AVG[[#This Row],[3PT FGM]]/RR_AVG[[#This Row],[3PT FGA]]</f>
        <v>#DIV/0!</v>
      </c>
      <c r="N46" s="92" t="e">
        <f>SUM((SUMIF($B$4:$B$34,RR_AVG[[#This Row],[Baller]],$N$4:$N$34))/RR_AVG[[#This Row],[Games Played]])</f>
        <v>#DIV/0!</v>
      </c>
      <c r="O46" s="92" t="e">
        <f>SUM((SUMIF($B$4:$B$34,RR_AVG[[#This Row],[Baller]],$O$4:$O$34))/RR_AVG[[#This Row],[Games Played]])</f>
        <v>#DIV/0!</v>
      </c>
      <c r="P46" s="99" t="e">
        <f>RR_AVG[[#This Row],[FTM]]/RR_AVG[[#This Row],[FTA]]</f>
        <v>#DIV/0!</v>
      </c>
      <c r="Q46" s="215" t="e">
        <f>SUM((SUMIF($B$4:$B$34,RR_AVG[[#This Row],[Baller]],$Q$4:$Q$34))/RR_AVG[[#This Row],[Games Played]])</f>
        <v>#DIV/0!</v>
      </c>
      <c r="R46" s="215" t="e">
        <f>SUM((SUMIF($B$4:$B$34,RR_AVG[[#This Row],[Baller]],$R$4:$R$34))/RR_AVG[[#This Row],[Games Played]])</f>
        <v>#DIV/0!</v>
      </c>
      <c r="S46" s="215" t="e">
        <f>SUM((SUMIF($B$4:$B$34,RR_AVG[[#This Row],[Baller]],$S$4:$S$34))/RR_AVG[[#This Row],[Games Played]])</f>
        <v>#DIV/0!</v>
      </c>
      <c r="T46" s="215" t="e">
        <f>SUM((SUMIF($B$4:$B$34,RR_AVG[[#This Row],[Baller]],$T$4:$T$34))/RR_AVG[[#This Row],[Games Played]])</f>
        <v>#DIV/0!</v>
      </c>
      <c r="U46" s="215" t="e">
        <f>SUM((SUMIF($B$4:$B$34,RR_AVG[[#This Row],[Baller]],$U$4:$U$34))/RR_AVG[[#This Row],[Games Played]])</f>
        <v>#DIV/0!</v>
      </c>
      <c r="V46" s="215" t="e">
        <f>SUM((SUMIF($B$4:$B$34,RR_AVG[[#This Row],[Baller]],$V$4:$V$34))/RR_AVG[[#This Row],[Games Played]])</f>
        <v>#DIV/0!</v>
      </c>
      <c r="W46" s="215" t="e">
        <f>SUM((SUMIF($B$4:$B$34,RR_AVG[[#This Row],[Baller]],$W$4:$W$34))/RR_AVG[[#This Row],[Games Played]])</f>
        <v>#DIV/0!</v>
      </c>
      <c r="X46" s="215" t="e">
        <f>SUM((SUMIF($B$4:$B$34,RR_AVG[[#This Row],[Baller]],$X$4:$X$34))/RR_AVG[[#This Row],[Games Played]])</f>
        <v>#DIV/0!</v>
      </c>
      <c r="Y46" s="215" t="e">
        <f>SUM((SUMIF($B$4:$B$34,RR_AVG[[#This Row],[Baller]],$Y$4:$Y$34))/RR_AVG[[#This Row],[Games Played]])</f>
        <v>#DIV/0!</v>
      </c>
      <c r="Z46" s="204" t="e">
        <f>RR_AVG[[#This Row],[Dimes]]/RR_AVG[[#This Row],[Turnovers]]</f>
        <v>#DIV/0!</v>
      </c>
    </row>
    <row r="47" spans="1:26" x14ac:dyDescent="0.2">
      <c r="A47" s="14" t="s">
        <v>34</v>
      </c>
      <c r="B47" t="s">
        <v>78</v>
      </c>
      <c r="C47" t="s">
        <v>132</v>
      </c>
      <c r="D47" s="86">
        <f t="shared" si="0"/>
        <v>0</v>
      </c>
      <c r="E47" s="215" t="e">
        <f>SUM((SUMIF($B$4:$B$34,RR_AVG[[#This Row],[Baller]],$E$4:$E$34))/RR_AVG[[#This Row],[Games Played]])</f>
        <v>#DIV/0!</v>
      </c>
      <c r="F47" s="215" t="e">
        <f>SUM((SUMIF($B$4:$B$34,RR_AVG[[#This Row],[Baller]],$F$4:$F$34))/RR_AVG[[#This Row],[Games Played]])</f>
        <v>#DIV/0!</v>
      </c>
      <c r="G47" s="203" t="e">
        <f>RR_AVG[[#This Row],[Total FGM]]/RR_AVG[[#This Row],[Total FGA]]</f>
        <v>#DIV/0!</v>
      </c>
      <c r="H47" s="216" t="e">
        <f>SUM((SUMIF($B$4:$B$34,RR_AVG[[#This Row],[Baller]],$H$4:$H$34))/RR_AVG[[#This Row],[Games Played]])</f>
        <v>#DIV/0!</v>
      </c>
      <c r="I47" s="92" t="e">
        <f>SUM((SUMIF($B$4:$B$34,RR_AVG[[#This Row],[Baller]],$I$4:$I$34))/RR_AVG[[#This Row],[Games Played]])</f>
        <v>#DIV/0!</v>
      </c>
      <c r="J47" s="91" t="e">
        <f>RR_AVG[[#This Row],[2PT FGM]]/RR_AVG[[#This Row],[2PT FGA]]</f>
        <v>#DIV/0!</v>
      </c>
      <c r="K47" s="92" t="e">
        <f>SUM((SUMIF($B$4:$B$34,RR_AVG[[#This Row],[Baller]],$K$4:$K$34))/RR_AVG[[#This Row],[Games Played]])</f>
        <v>#DIV/0!</v>
      </c>
      <c r="L47" s="92" t="e">
        <f>SUM((SUMIF($B$4:$B$34,RR_AVG[[#This Row],[Baller]],$L$4:$L$34))/RR_AVG[[#This Row],[Games Played]])</f>
        <v>#DIV/0!</v>
      </c>
      <c r="M47" s="91" t="e">
        <f>RR_AVG[[#This Row],[3PT FGM]]/RR_AVG[[#This Row],[3PT FGA]]</f>
        <v>#DIV/0!</v>
      </c>
      <c r="N47" s="92" t="e">
        <f>SUM((SUMIF($B$4:$B$34,RR_AVG[[#This Row],[Baller]],$N$4:$N$34))/RR_AVG[[#This Row],[Games Played]])</f>
        <v>#DIV/0!</v>
      </c>
      <c r="O47" s="92" t="e">
        <f>SUM((SUMIF($B$4:$B$34,RR_AVG[[#This Row],[Baller]],$O$4:$O$34))/RR_AVG[[#This Row],[Games Played]])</f>
        <v>#DIV/0!</v>
      </c>
      <c r="P47" s="99" t="e">
        <f>RR_AVG[[#This Row],[FTM]]/RR_AVG[[#This Row],[FTA]]</f>
        <v>#DIV/0!</v>
      </c>
      <c r="Q47" s="215" t="e">
        <f>SUM((SUMIF($B$4:$B$34,RR_AVG[[#This Row],[Baller]],$Q$4:$Q$34))/RR_AVG[[#This Row],[Games Played]])</f>
        <v>#DIV/0!</v>
      </c>
      <c r="R47" s="215" t="e">
        <f>SUM((SUMIF($B$4:$B$34,RR_AVG[[#This Row],[Baller]],$R$4:$R$34))/RR_AVG[[#This Row],[Games Played]])</f>
        <v>#DIV/0!</v>
      </c>
      <c r="S47" s="215" t="e">
        <f>SUM((SUMIF($B$4:$B$34,RR_AVG[[#This Row],[Baller]],$S$4:$S$34))/RR_AVG[[#This Row],[Games Played]])</f>
        <v>#DIV/0!</v>
      </c>
      <c r="T47" s="215" t="e">
        <f>SUM((SUMIF($B$4:$B$34,RR_AVG[[#This Row],[Baller]],$T$4:$T$34))/RR_AVG[[#This Row],[Games Played]])</f>
        <v>#DIV/0!</v>
      </c>
      <c r="U47" s="215" t="e">
        <f>SUM((SUMIF($B$4:$B$34,RR_AVG[[#This Row],[Baller]],$U$4:$U$34))/RR_AVG[[#This Row],[Games Played]])</f>
        <v>#DIV/0!</v>
      </c>
      <c r="V47" s="215" t="e">
        <f>SUM((SUMIF($B$4:$B$34,RR_AVG[[#This Row],[Baller]],$V$4:$V$34))/RR_AVG[[#This Row],[Games Played]])</f>
        <v>#DIV/0!</v>
      </c>
      <c r="W47" s="215" t="e">
        <f>SUM((SUMIF($B$4:$B$34,RR_AVG[[#This Row],[Baller]],$W$4:$W$34))/RR_AVG[[#This Row],[Games Played]])</f>
        <v>#DIV/0!</v>
      </c>
      <c r="X47" s="215" t="e">
        <f>SUM((SUMIF($B$4:$B$34,RR_AVG[[#This Row],[Baller]],$X$4:$X$34))/RR_AVG[[#This Row],[Games Played]])</f>
        <v>#DIV/0!</v>
      </c>
      <c r="Y47" s="215" t="e">
        <f>SUM((SUMIF($B$4:$B$34,RR_AVG[[#This Row],[Baller]],$Y$4:$Y$34))/RR_AVG[[#This Row],[Games Played]])</f>
        <v>#DIV/0!</v>
      </c>
      <c r="Z47" s="204" t="e">
        <f>RR_AVG[[#This Row],[Dimes]]/RR_AVG[[#This Row],[Turnovers]]</f>
        <v>#DIV/0!</v>
      </c>
    </row>
    <row r="48" spans="1:26" x14ac:dyDescent="0.2">
      <c r="A48" s="14" t="s">
        <v>41</v>
      </c>
      <c r="B48" t="s">
        <v>79</v>
      </c>
      <c r="C48" t="s">
        <v>132</v>
      </c>
      <c r="D48" s="86">
        <f t="shared" si="0"/>
        <v>0</v>
      </c>
      <c r="E48" s="215" t="e">
        <f>SUM((SUMIF($B$4:$B$34,RR_AVG[[#This Row],[Baller]],$E$4:$E$34))/RR_AVG[[#This Row],[Games Played]])</f>
        <v>#DIV/0!</v>
      </c>
      <c r="F48" s="215" t="e">
        <f>SUM((SUMIF($B$4:$B$34,RR_AVG[[#This Row],[Baller]],$F$4:$F$34))/RR_AVG[[#This Row],[Games Played]])</f>
        <v>#DIV/0!</v>
      </c>
      <c r="G48" s="203" t="e">
        <f>RR_AVG[[#This Row],[Total FGM]]/RR_AVG[[#This Row],[Total FGA]]</f>
        <v>#DIV/0!</v>
      </c>
      <c r="H48" s="216" t="e">
        <f>SUM((SUMIF($B$4:$B$34,RR_AVG[[#This Row],[Baller]],$H$4:$H$34))/RR_AVG[[#This Row],[Games Played]])</f>
        <v>#DIV/0!</v>
      </c>
      <c r="I48" s="92" t="e">
        <f>SUM((SUMIF($B$4:$B$34,RR_AVG[[#This Row],[Baller]],$I$4:$I$34))/RR_AVG[[#This Row],[Games Played]])</f>
        <v>#DIV/0!</v>
      </c>
      <c r="J48" s="91" t="e">
        <f>RR_AVG[[#This Row],[2PT FGM]]/RR_AVG[[#This Row],[2PT FGA]]</f>
        <v>#DIV/0!</v>
      </c>
      <c r="K48" s="92" t="e">
        <f>SUM((SUMIF($B$4:$B$34,RR_AVG[[#This Row],[Baller]],$K$4:$K$34))/RR_AVG[[#This Row],[Games Played]])</f>
        <v>#DIV/0!</v>
      </c>
      <c r="L48" s="92" t="e">
        <f>SUM((SUMIF($B$4:$B$34,RR_AVG[[#This Row],[Baller]],$L$4:$L$34))/RR_AVG[[#This Row],[Games Played]])</f>
        <v>#DIV/0!</v>
      </c>
      <c r="M48" s="91" t="e">
        <f>RR_AVG[[#This Row],[3PT FGM]]/RR_AVG[[#This Row],[3PT FGA]]</f>
        <v>#DIV/0!</v>
      </c>
      <c r="N48" s="92" t="e">
        <f>SUM((SUMIF($B$4:$B$34,RR_AVG[[#This Row],[Baller]],$N$4:$N$34))/RR_AVG[[#This Row],[Games Played]])</f>
        <v>#DIV/0!</v>
      </c>
      <c r="O48" s="92" t="e">
        <f>SUM((SUMIF($B$4:$B$34,RR_AVG[[#This Row],[Baller]],$O$4:$O$34))/RR_AVG[[#This Row],[Games Played]])</f>
        <v>#DIV/0!</v>
      </c>
      <c r="P48" s="99" t="e">
        <f>RR_AVG[[#This Row],[FTM]]/RR_AVG[[#This Row],[FTA]]</f>
        <v>#DIV/0!</v>
      </c>
      <c r="Q48" s="215" t="e">
        <f>SUM((SUMIF($B$4:$B$34,RR_AVG[[#This Row],[Baller]],$Q$4:$Q$34))/RR_AVG[[#This Row],[Games Played]])</f>
        <v>#DIV/0!</v>
      </c>
      <c r="R48" s="215" t="e">
        <f>SUM((SUMIF($B$4:$B$34,RR_AVG[[#This Row],[Baller]],$R$4:$R$34))/RR_AVG[[#This Row],[Games Played]])</f>
        <v>#DIV/0!</v>
      </c>
      <c r="S48" s="215" t="e">
        <f>SUM((SUMIF($B$4:$B$34,RR_AVG[[#This Row],[Baller]],$S$4:$S$34))/RR_AVG[[#This Row],[Games Played]])</f>
        <v>#DIV/0!</v>
      </c>
      <c r="T48" s="215" t="e">
        <f>SUM((SUMIF($B$4:$B$34,RR_AVG[[#This Row],[Baller]],$T$4:$T$34))/RR_AVG[[#This Row],[Games Played]])</f>
        <v>#DIV/0!</v>
      </c>
      <c r="U48" s="215" t="e">
        <f>SUM((SUMIF($B$4:$B$34,RR_AVG[[#This Row],[Baller]],$U$4:$U$34))/RR_AVG[[#This Row],[Games Played]])</f>
        <v>#DIV/0!</v>
      </c>
      <c r="V48" s="215" t="e">
        <f>SUM((SUMIF($B$4:$B$34,RR_AVG[[#This Row],[Baller]],$V$4:$V$34))/RR_AVG[[#This Row],[Games Played]])</f>
        <v>#DIV/0!</v>
      </c>
      <c r="W48" s="215" t="e">
        <f>SUM((SUMIF($B$4:$B$34,RR_AVG[[#This Row],[Baller]],$W$4:$W$34))/RR_AVG[[#This Row],[Games Played]])</f>
        <v>#DIV/0!</v>
      </c>
      <c r="X48" s="215" t="e">
        <f>SUM((SUMIF($B$4:$B$34,RR_AVG[[#This Row],[Baller]],$X$4:$X$34))/RR_AVG[[#This Row],[Games Played]])</f>
        <v>#DIV/0!</v>
      </c>
      <c r="Y48" s="215" t="e">
        <f>SUM((SUMIF($B$4:$B$34,RR_AVG[[#This Row],[Baller]],$Y$4:$Y$34))/RR_AVG[[#This Row],[Games Played]])</f>
        <v>#DIV/0!</v>
      </c>
      <c r="Z48" s="204" t="e">
        <f>RR_AVG[[#This Row],[Dimes]]/RR_AVG[[#This Row],[Turnovers]]</f>
        <v>#DIV/0!</v>
      </c>
    </row>
    <row r="49" spans="1:26" x14ac:dyDescent="0.2">
      <c r="A49" s="14" t="s">
        <v>46</v>
      </c>
      <c r="B49" t="s">
        <v>81</v>
      </c>
      <c r="C49" t="s">
        <v>132</v>
      </c>
      <c r="D49" s="86">
        <f t="shared" si="0"/>
        <v>0</v>
      </c>
      <c r="E49" s="215" t="e">
        <f>SUM((SUMIF($B$4:$B$34,RR_AVG[[#This Row],[Baller]],$E$4:$E$34))/RR_AVG[[#This Row],[Games Played]])</f>
        <v>#DIV/0!</v>
      </c>
      <c r="F49" s="215" t="e">
        <f>SUM((SUMIF($B$4:$B$34,RR_AVG[[#This Row],[Baller]],$F$4:$F$34))/RR_AVG[[#This Row],[Games Played]])</f>
        <v>#DIV/0!</v>
      </c>
      <c r="G49" s="203" t="e">
        <f>RR_AVG[[#This Row],[Total FGM]]/RR_AVG[[#This Row],[Total FGA]]</f>
        <v>#DIV/0!</v>
      </c>
      <c r="H49" s="216" t="e">
        <f>SUM((SUMIF($B$4:$B$34,RR_AVG[[#This Row],[Baller]],$H$4:$H$34))/RR_AVG[[#This Row],[Games Played]])</f>
        <v>#DIV/0!</v>
      </c>
      <c r="I49" s="92" t="e">
        <f>SUM((SUMIF($B$4:$B$34,RR_AVG[[#This Row],[Baller]],$I$4:$I$34))/RR_AVG[[#This Row],[Games Played]])</f>
        <v>#DIV/0!</v>
      </c>
      <c r="J49" s="91" t="e">
        <f>RR_AVG[[#This Row],[2PT FGM]]/RR_AVG[[#This Row],[2PT FGA]]</f>
        <v>#DIV/0!</v>
      </c>
      <c r="K49" s="92" t="e">
        <f>SUM((SUMIF($B$4:$B$34,RR_AVG[[#This Row],[Baller]],$K$4:$K$34))/RR_AVG[[#This Row],[Games Played]])</f>
        <v>#DIV/0!</v>
      </c>
      <c r="L49" s="92" t="e">
        <f>SUM((SUMIF($B$4:$B$34,RR_AVG[[#This Row],[Baller]],$L$4:$L$34))/RR_AVG[[#This Row],[Games Played]])</f>
        <v>#DIV/0!</v>
      </c>
      <c r="M49" s="91" t="e">
        <f>RR_AVG[[#This Row],[3PT FGM]]/RR_AVG[[#This Row],[3PT FGA]]</f>
        <v>#DIV/0!</v>
      </c>
      <c r="N49" s="92" t="e">
        <f>SUM((SUMIF($B$4:$B$34,RR_AVG[[#This Row],[Baller]],$N$4:$N$34))/RR_AVG[[#This Row],[Games Played]])</f>
        <v>#DIV/0!</v>
      </c>
      <c r="O49" s="92" t="e">
        <f>SUM((SUMIF($B$4:$B$34,RR_AVG[[#This Row],[Baller]],$O$4:$O$34))/RR_AVG[[#This Row],[Games Played]])</f>
        <v>#DIV/0!</v>
      </c>
      <c r="P49" s="99" t="e">
        <f>RR_AVG[[#This Row],[FTM]]/RR_AVG[[#This Row],[FTA]]</f>
        <v>#DIV/0!</v>
      </c>
      <c r="Q49" s="215" t="e">
        <f>SUM((SUMIF($B$4:$B$34,RR_AVG[[#This Row],[Baller]],$Q$4:$Q$34))/RR_AVG[[#This Row],[Games Played]])</f>
        <v>#DIV/0!</v>
      </c>
      <c r="R49" s="215" t="e">
        <f>SUM((SUMIF($B$4:$B$34,RR_AVG[[#This Row],[Baller]],$R$4:$R$34))/RR_AVG[[#This Row],[Games Played]])</f>
        <v>#DIV/0!</v>
      </c>
      <c r="S49" s="215" t="e">
        <f>SUM((SUMIF($B$4:$B$34,RR_AVG[[#This Row],[Baller]],$S$4:$S$34))/RR_AVG[[#This Row],[Games Played]])</f>
        <v>#DIV/0!</v>
      </c>
      <c r="T49" s="215" t="e">
        <f>SUM((SUMIF($B$4:$B$34,RR_AVG[[#This Row],[Baller]],$T$4:$T$34))/RR_AVG[[#This Row],[Games Played]])</f>
        <v>#DIV/0!</v>
      </c>
      <c r="U49" s="215" t="e">
        <f>SUM((SUMIF($B$4:$B$34,RR_AVG[[#This Row],[Baller]],$U$4:$U$34))/RR_AVG[[#This Row],[Games Played]])</f>
        <v>#DIV/0!</v>
      </c>
      <c r="V49" s="215" t="e">
        <f>SUM((SUMIF($B$4:$B$34,RR_AVG[[#This Row],[Baller]],$V$4:$V$34))/RR_AVG[[#This Row],[Games Played]])</f>
        <v>#DIV/0!</v>
      </c>
      <c r="W49" s="215" t="e">
        <f>SUM((SUMIF($B$4:$B$34,RR_AVG[[#This Row],[Baller]],$W$4:$W$34))/RR_AVG[[#This Row],[Games Played]])</f>
        <v>#DIV/0!</v>
      </c>
      <c r="X49" s="215" t="e">
        <f>SUM((SUMIF($B$4:$B$34,RR_AVG[[#This Row],[Baller]],$X$4:$X$34))/RR_AVG[[#This Row],[Games Played]])</f>
        <v>#DIV/0!</v>
      </c>
      <c r="Y49" s="215" t="e">
        <f>SUM((SUMIF($B$4:$B$34,RR_AVG[[#This Row],[Baller]],$Y$4:$Y$34))/RR_AVG[[#This Row],[Games Played]])</f>
        <v>#DIV/0!</v>
      </c>
      <c r="Z49" s="204" t="e">
        <f>RR_AVG[[#This Row],[Dimes]]/RR_AVG[[#This Row],[Turnovers]]</f>
        <v>#DIV/0!</v>
      </c>
    </row>
    <row r="50" spans="1:26" x14ac:dyDescent="0.2">
      <c r="A50" s="16" t="s">
        <v>38</v>
      </c>
      <c r="B50" t="s">
        <v>82</v>
      </c>
      <c r="C50" t="s">
        <v>132</v>
      </c>
      <c r="D50" s="86">
        <f t="shared" si="0"/>
        <v>0</v>
      </c>
      <c r="E50" s="215" t="e">
        <f>SUM((SUMIF($B$4:$B$34,RR_AVG[[#This Row],[Baller]],$E$4:$E$34))/RR_AVG[[#This Row],[Games Played]])</f>
        <v>#DIV/0!</v>
      </c>
      <c r="F50" s="215" t="e">
        <f>SUM((SUMIF($B$4:$B$34,RR_AVG[[#This Row],[Baller]],$F$4:$F$34))/RR_AVG[[#This Row],[Games Played]])</f>
        <v>#DIV/0!</v>
      </c>
      <c r="G50" s="203" t="e">
        <f>RR_AVG[[#This Row],[Total FGM]]/RR_AVG[[#This Row],[Total FGA]]</f>
        <v>#DIV/0!</v>
      </c>
      <c r="H50" s="216" t="e">
        <f>SUM((SUMIF($B$4:$B$34,RR_AVG[[#This Row],[Baller]],$H$4:$H$34))/RR_AVG[[#This Row],[Games Played]])</f>
        <v>#DIV/0!</v>
      </c>
      <c r="I50" s="92" t="e">
        <f>SUM((SUMIF($B$4:$B$34,RR_AVG[[#This Row],[Baller]],$I$4:$I$34))/RR_AVG[[#This Row],[Games Played]])</f>
        <v>#DIV/0!</v>
      </c>
      <c r="J50" s="91" t="e">
        <f>RR_AVG[[#This Row],[2PT FGM]]/RR_AVG[[#This Row],[2PT FGA]]</f>
        <v>#DIV/0!</v>
      </c>
      <c r="K50" s="92" t="e">
        <f>SUM((SUMIF($B$4:$B$34,RR_AVG[[#This Row],[Baller]],$K$4:$K$34))/RR_AVG[[#This Row],[Games Played]])</f>
        <v>#DIV/0!</v>
      </c>
      <c r="L50" s="92" t="e">
        <f>SUM((SUMIF($B$4:$B$34,RR_AVG[[#This Row],[Baller]],$L$4:$L$34))/RR_AVG[[#This Row],[Games Played]])</f>
        <v>#DIV/0!</v>
      </c>
      <c r="M50" s="91" t="e">
        <f>RR_AVG[[#This Row],[3PT FGM]]/RR_AVG[[#This Row],[3PT FGA]]</f>
        <v>#DIV/0!</v>
      </c>
      <c r="N50" s="92" t="e">
        <f>SUM((SUMIF($B$4:$B$34,RR_AVG[[#This Row],[Baller]],$N$4:$N$34))/RR_AVG[[#This Row],[Games Played]])</f>
        <v>#DIV/0!</v>
      </c>
      <c r="O50" s="92" t="e">
        <f>SUM((SUMIF($B$4:$B$34,RR_AVG[[#This Row],[Baller]],$O$4:$O$34))/RR_AVG[[#This Row],[Games Played]])</f>
        <v>#DIV/0!</v>
      </c>
      <c r="P50" s="99" t="e">
        <f>RR_AVG[[#This Row],[FTM]]/RR_AVG[[#This Row],[FTA]]</f>
        <v>#DIV/0!</v>
      </c>
      <c r="Q50" s="215" t="e">
        <f>SUM((SUMIF($B$4:$B$34,RR_AVG[[#This Row],[Baller]],$Q$4:$Q$34))/RR_AVG[[#This Row],[Games Played]])</f>
        <v>#DIV/0!</v>
      </c>
      <c r="R50" s="215" t="e">
        <f>SUM((SUMIF($B$4:$B$34,RR_AVG[[#This Row],[Baller]],$R$4:$R$34))/RR_AVG[[#This Row],[Games Played]])</f>
        <v>#DIV/0!</v>
      </c>
      <c r="S50" s="215" t="e">
        <f>SUM((SUMIF($B$4:$B$34,RR_AVG[[#This Row],[Baller]],$S$4:$S$34))/RR_AVG[[#This Row],[Games Played]])</f>
        <v>#DIV/0!</v>
      </c>
      <c r="T50" s="215" t="e">
        <f>SUM((SUMIF($B$4:$B$34,RR_AVG[[#This Row],[Baller]],$T$4:$T$34))/RR_AVG[[#This Row],[Games Played]])</f>
        <v>#DIV/0!</v>
      </c>
      <c r="U50" s="215" t="e">
        <f>SUM((SUMIF($B$4:$B$34,RR_AVG[[#This Row],[Baller]],$U$4:$U$34))/RR_AVG[[#This Row],[Games Played]])</f>
        <v>#DIV/0!</v>
      </c>
      <c r="V50" s="215" t="e">
        <f>SUM((SUMIF($B$4:$B$34,RR_AVG[[#This Row],[Baller]],$V$4:$V$34))/RR_AVG[[#This Row],[Games Played]])</f>
        <v>#DIV/0!</v>
      </c>
      <c r="W50" s="215" t="e">
        <f>SUM((SUMIF($B$4:$B$34,RR_AVG[[#This Row],[Baller]],$W$4:$W$34))/RR_AVG[[#This Row],[Games Played]])</f>
        <v>#DIV/0!</v>
      </c>
      <c r="X50" s="215" t="e">
        <f>SUM((SUMIF($B$4:$B$34,RR_AVG[[#This Row],[Baller]],$X$4:$X$34))/RR_AVG[[#This Row],[Games Played]])</f>
        <v>#DIV/0!</v>
      </c>
      <c r="Y50" s="215" t="e">
        <f>SUM((SUMIF($B$4:$B$34,RR_AVG[[#This Row],[Baller]],$Y$4:$Y$34))/RR_AVG[[#This Row],[Games Played]])</f>
        <v>#DIV/0!</v>
      </c>
      <c r="Z50" s="204" t="e">
        <f>RR_AVG[[#This Row],[Dimes]]/RR_AVG[[#This Row],[Turnovers]]</f>
        <v>#DIV/0!</v>
      </c>
    </row>
    <row r="51" spans="1:26" x14ac:dyDescent="0.2">
      <c r="A51" s="14" t="s">
        <v>31</v>
      </c>
      <c r="B51" t="s">
        <v>84</v>
      </c>
      <c r="C51" t="s">
        <v>132</v>
      </c>
      <c r="D51" s="86">
        <f t="shared" si="0"/>
        <v>0</v>
      </c>
      <c r="E51" s="215" t="e">
        <f>SUM((SUMIF($B$4:$B$34,RR_AVG[[#This Row],[Baller]],$E$4:$E$34))/RR_AVG[[#This Row],[Games Played]])</f>
        <v>#DIV/0!</v>
      </c>
      <c r="F51" s="215" t="e">
        <f>SUM((SUMIF($B$4:$B$34,RR_AVG[[#This Row],[Baller]],$F$4:$F$34))/RR_AVG[[#This Row],[Games Played]])</f>
        <v>#DIV/0!</v>
      </c>
      <c r="G51" s="203" t="e">
        <f>RR_AVG[[#This Row],[Total FGM]]/RR_AVG[[#This Row],[Total FGA]]</f>
        <v>#DIV/0!</v>
      </c>
      <c r="H51" s="216" t="e">
        <f>SUM((SUMIF($B$4:$B$34,RR_AVG[[#This Row],[Baller]],$H$4:$H$34))/RR_AVG[[#This Row],[Games Played]])</f>
        <v>#DIV/0!</v>
      </c>
      <c r="I51" s="92" t="e">
        <f>SUM((SUMIF($B$4:$B$34,RR_AVG[[#This Row],[Baller]],$I$4:$I$34))/RR_AVG[[#This Row],[Games Played]])</f>
        <v>#DIV/0!</v>
      </c>
      <c r="J51" s="91" t="e">
        <f>RR_AVG[[#This Row],[2PT FGM]]/RR_AVG[[#This Row],[2PT FGA]]</f>
        <v>#DIV/0!</v>
      </c>
      <c r="K51" s="92" t="e">
        <f>SUM((SUMIF($B$4:$B$34,RR_AVG[[#This Row],[Baller]],$K$4:$K$34))/RR_AVG[[#This Row],[Games Played]])</f>
        <v>#DIV/0!</v>
      </c>
      <c r="L51" s="92" t="e">
        <f>SUM((SUMIF($B$4:$B$34,RR_AVG[[#This Row],[Baller]],$L$4:$L$34))/RR_AVG[[#This Row],[Games Played]])</f>
        <v>#DIV/0!</v>
      </c>
      <c r="M51" s="91" t="e">
        <f>RR_AVG[[#This Row],[3PT FGM]]/RR_AVG[[#This Row],[3PT FGA]]</f>
        <v>#DIV/0!</v>
      </c>
      <c r="N51" s="92" t="e">
        <f>SUM((SUMIF($B$4:$B$34,RR_AVG[[#This Row],[Baller]],$N$4:$N$34))/RR_AVG[[#This Row],[Games Played]])</f>
        <v>#DIV/0!</v>
      </c>
      <c r="O51" s="92" t="e">
        <f>SUM((SUMIF($B$4:$B$34,RR_AVG[[#This Row],[Baller]],$O$4:$O$34))/RR_AVG[[#This Row],[Games Played]])</f>
        <v>#DIV/0!</v>
      </c>
      <c r="P51" s="99" t="e">
        <f>RR_AVG[[#This Row],[FTM]]/RR_AVG[[#This Row],[FTA]]</f>
        <v>#DIV/0!</v>
      </c>
      <c r="Q51" s="215" t="e">
        <f>SUM((SUMIF($B$4:$B$34,RR_AVG[[#This Row],[Baller]],$Q$4:$Q$34))/RR_AVG[[#This Row],[Games Played]])</f>
        <v>#DIV/0!</v>
      </c>
      <c r="R51" s="215" t="e">
        <f>SUM((SUMIF($B$4:$B$34,RR_AVG[[#This Row],[Baller]],$R$4:$R$34))/RR_AVG[[#This Row],[Games Played]])</f>
        <v>#DIV/0!</v>
      </c>
      <c r="S51" s="215" t="e">
        <f>SUM((SUMIF($B$4:$B$34,RR_AVG[[#This Row],[Baller]],$S$4:$S$34))/RR_AVG[[#This Row],[Games Played]])</f>
        <v>#DIV/0!</v>
      </c>
      <c r="T51" s="215" t="e">
        <f>SUM((SUMIF($B$4:$B$34,RR_AVG[[#This Row],[Baller]],$T$4:$T$34))/RR_AVG[[#This Row],[Games Played]])</f>
        <v>#DIV/0!</v>
      </c>
      <c r="U51" s="215" t="e">
        <f>SUM((SUMIF($B$4:$B$34,RR_AVG[[#This Row],[Baller]],$U$4:$U$34))/RR_AVG[[#This Row],[Games Played]])</f>
        <v>#DIV/0!</v>
      </c>
      <c r="V51" s="215" t="e">
        <f>SUM((SUMIF($B$4:$B$34,RR_AVG[[#This Row],[Baller]],$V$4:$V$34))/RR_AVG[[#This Row],[Games Played]])</f>
        <v>#DIV/0!</v>
      </c>
      <c r="W51" s="215" t="e">
        <f>SUM((SUMIF($B$4:$B$34,RR_AVG[[#This Row],[Baller]],$W$4:$W$34))/RR_AVG[[#This Row],[Games Played]])</f>
        <v>#DIV/0!</v>
      </c>
      <c r="X51" s="215" t="e">
        <f>SUM((SUMIF($B$4:$B$34,RR_AVG[[#This Row],[Baller]],$X$4:$X$34))/RR_AVG[[#This Row],[Games Played]])</f>
        <v>#DIV/0!</v>
      </c>
      <c r="Y51" s="215" t="e">
        <f>SUM((SUMIF($B$4:$B$34,RR_AVG[[#This Row],[Baller]],$Y$4:$Y$34))/RR_AVG[[#This Row],[Games Played]])</f>
        <v>#DIV/0!</v>
      </c>
      <c r="Z51" s="204" t="e">
        <f>RR_AVG[[#This Row],[Dimes]]/RR_AVG[[#This Row],[Turnovers]]</f>
        <v>#DIV/0!</v>
      </c>
    </row>
    <row r="52" spans="1:26" x14ac:dyDescent="0.2">
      <c r="A52" s="14" t="s">
        <v>57</v>
      </c>
      <c r="B52" t="s">
        <v>86</v>
      </c>
      <c r="C52" t="s">
        <v>132</v>
      </c>
      <c r="D52" s="86">
        <f t="shared" si="0"/>
        <v>0</v>
      </c>
      <c r="E52" s="215" t="e">
        <f>SUM((SUMIF($B$4:$B$34,RR_AVG[[#This Row],[Baller]],$E$4:$E$34))/RR_AVG[[#This Row],[Games Played]])</f>
        <v>#DIV/0!</v>
      </c>
      <c r="F52" s="215" t="e">
        <f>SUM((SUMIF($B$4:$B$34,RR_AVG[[#This Row],[Baller]],$F$4:$F$34))/RR_AVG[[#This Row],[Games Played]])</f>
        <v>#DIV/0!</v>
      </c>
      <c r="G52" s="203" t="e">
        <f>RR_AVG[[#This Row],[Total FGM]]/RR_AVG[[#This Row],[Total FGA]]</f>
        <v>#DIV/0!</v>
      </c>
      <c r="H52" s="216" t="e">
        <f>SUM((SUMIF($B$4:$B$34,RR_AVG[[#This Row],[Baller]],$H$4:$H$34))/RR_AVG[[#This Row],[Games Played]])</f>
        <v>#DIV/0!</v>
      </c>
      <c r="I52" s="92" t="e">
        <f>SUM((SUMIF($B$4:$B$34,RR_AVG[[#This Row],[Baller]],$I$4:$I$34))/RR_AVG[[#This Row],[Games Played]])</f>
        <v>#DIV/0!</v>
      </c>
      <c r="J52" s="91" t="e">
        <f>RR_AVG[[#This Row],[2PT FGM]]/RR_AVG[[#This Row],[2PT FGA]]</f>
        <v>#DIV/0!</v>
      </c>
      <c r="K52" s="92" t="e">
        <f>SUM((SUMIF($B$4:$B$34,RR_AVG[[#This Row],[Baller]],$K$4:$K$34))/RR_AVG[[#This Row],[Games Played]])</f>
        <v>#DIV/0!</v>
      </c>
      <c r="L52" s="92" t="e">
        <f>SUM((SUMIF($B$4:$B$34,RR_AVG[[#This Row],[Baller]],$L$4:$L$34))/RR_AVG[[#This Row],[Games Played]])</f>
        <v>#DIV/0!</v>
      </c>
      <c r="M52" s="91" t="e">
        <f>RR_AVG[[#This Row],[3PT FGM]]/RR_AVG[[#This Row],[3PT FGA]]</f>
        <v>#DIV/0!</v>
      </c>
      <c r="N52" s="92" t="e">
        <f>SUM((SUMIF($B$4:$B$34,RR_AVG[[#This Row],[Baller]],$N$4:$N$34))/RR_AVG[[#This Row],[Games Played]])</f>
        <v>#DIV/0!</v>
      </c>
      <c r="O52" s="92" t="e">
        <f>SUM((SUMIF($B$4:$B$34,RR_AVG[[#This Row],[Baller]],$O$4:$O$34))/RR_AVG[[#This Row],[Games Played]])</f>
        <v>#DIV/0!</v>
      </c>
      <c r="P52" s="99" t="e">
        <f>RR_AVG[[#This Row],[FTM]]/RR_AVG[[#This Row],[FTA]]</f>
        <v>#DIV/0!</v>
      </c>
      <c r="Q52" s="215" t="e">
        <f>SUM((SUMIF($B$4:$B$34,RR_AVG[[#This Row],[Baller]],$Q$4:$Q$34))/RR_AVG[[#This Row],[Games Played]])</f>
        <v>#DIV/0!</v>
      </c>
      <c r="R52" s="215" t="e">
        <f>SUM((SUMIF($B$4:$B$34,RR_AVG[[#This Row],[Baller]],$R$4:$R$34))/RR_AVG[[#This Row],[Games Played]])</f>
        <v>#DIV/0!</v>
      </c>
      <c r="S52" s="215" t="e">
        <f>SUM((SUMIF($B$4:$B$34,RR_AVG[[#This Row],[Baller]],$S$4:$S$34))/RR_AVG[[#This Row],[Games Played]])</f>
        <v>#DIV/0!</v>
      </c>
      <c r="T52" s="215" t="e">
        <f>SUM((SUMIF($B$4:$B$34,RR_AVG[[#This Row],[Baller]],$T$4:$T$34))/RR_AVG[[#This Row],[Games Played]])</f>
        <v>#DIV/0!</v>
      </c>
      <c r="U52" s="215" t="e">
        <f>SUM((SUMIF($B$4:$B$34,RR_AVG[[#This Row],[Baller]],$U$4:$U$34))/RR_AVG[[#This Row],[Games Played]])</f>
        <v>#DIV/0!</v>
      </c>
      <c r="V52" s="215" t="e">
        <f>SUM((SUMIF($B$4:$B$34,RR_AVG[[#This Row],[Baller]],$V$4:$V$34))/RR_AVG[[#This Row],[Games Played]])</f>
        <v>#DIV/0!</v>
      </c>
      <c r="W52" s="215" t="e">
        <f>SUM((SUMIF($B$4:$B$34,RR_AVG[[#This Row],[Baller]],$W$4:$W$34))/RR_AVG[[#This Row],[Games Played]])</f>
        <v>#DIV/0!</v>
      </c>
      <c r="X52" s="215" t="e">
        <f>SUM((SUMIF($B$4:$B$34,RR_AVG[[#This Row],[Baller]],$X$4:$X$34))/RR_AVG[[#This Row],[Games Played]])</f>
        <v>#DIV/0!</v>
      </c>
      <c r="Y52" s="215" t="e">
        <f>SUM((SUMIF($B$4:$B$34,RR_AVG[[#This Row],[Baller]],$Y$4:$Y$34))/RR_AVG[[#This Row],[Games Played]])</f>
        <v>#DIV/0!</v>
      </c>
      <c r="Z52" s="204" t="e">
        <f>RR_AVG[[#This Row],[Dimes]]/RR_AVG[[#This Row],[Turnovers]]</f>
        <v>#DIV/0!</v>
      </c>
    </row>
    <row r="53" spans="1:26" x14ac:dyDescent="0.2">
      <c r="A53" s="14" t="s">
        <v>54</v>
      </c>
      <c r="B53" t="s">
        <v>87</v>
      </c>
      <c r="C53" t="s">
        <v>132</v>
      </c>
      <c r="D53" s="86">
        <f t="shared" si="0"/>
        <v>0</v>
      </c>
      <c r="E53" s="215" t="e">
        <f>SUM((SUMIF($B$4:$B$34,RR_AVG[[#This Row],[Baller]],$E$4:$E$34))/RR_AVG[[#This Row],[Games Played]])</f>
        <v>#DIV/0!</v>
      </c>
      <c r="F53" s="215" t="e">
        <f>SUM((SUMIF($B$4:$B$34,RR_AVG[[#This Row],[Baller]],$F$4:$F$34))/RR_AVG[[#This Row],[Games Played]])</f>
        <v>#DIV/0!</v>
      </c>
      <c r="G53" s="203" t="e">
        <f>RR_AVG[[#This Row],[Total FGM]]/RR_AVG[[#This Row],[Total FGA]]</f>
        <v>#DIV/0!</v>
      </c>
      <c r="H53" s="216" t="e">
        <f>SUM((SUMIF($B$4:$B$34,RR_AVG[[#This Row],[Baller]],$H$4:$H$34))/RR_AVG[[#This Row],[Games Played]])</f>
        <v>#DIV/0!</v>
      </c>
      <c r="I53" s="92" t="e">
        <f>SUM((SUMIF($B$4:$B$34,RR_AVG[[#This Row],[Baller]],$I$4:$I$34))/RR_AVG[[#This Row],[Games Played]])</f>
        <v>#DIV/0!</v>
      </c>
      <c r="J53" s="91" t="e">
        <f>RR_AVG[[#This Row],[2PT FGM]]/RR_AVG[[#This Row],[2PT FGA]]</f>
        <v>#DIV/0!</v>
      </c>
      <c r="K53" s="92" t="e">
        <f>SUM((SUMIF($B$4:$B$34,RR_AVG[[#This Row],[Baller]],$K$4:$K$34))/RR_AVG[[#This Row],[Games Played]])</f>
        <v>#DIV/0!</v>
      </c>
      <c r="L53" s="92" t="e">
        <f>SUM((SUMIF($B$4:$B$34,RR_AVG[[#This Row],[Baller]],$L$4:$L$34))/RR_AVG[[#This Row],[Games Played]])</f>
        <v>#DIV/0!</v>
      </c>
      <c r="M53" s="91" t="e">
        <f>RR_AVG[[#This Row],[3PT FGM]]/RR_AVG[[#This Row],[3PT FGA]]</f>
        <v>#DIV/0!</v>
      </c>
      <c r="N53" s="92" t="e">
        <f>SUM((SUMIF($B$4:$B$34,RR_AVG[[#This Row],[Baller]],$N$4:$N$34))/RR_AVG[[#This Row],[Games Played]])</f>
        <v>#DIV/0!</v>
      </c>
      <c r="O53" s="92" t="e">
        <f>SUM((SUMIF($B$4:$B$34,RR_AVG[[#This Row],[Baller]],$O$4:$O$34))/RR_AVG[[#This Row],[Games Played]])</f>
        <v>#DIV/0!</v>
      </c>
      <c r="P53" s="99" t="e">
        <f>RR_AVG[[#This Row],[FTM]]/RR_AVG[[#This Row],[FTA]]</f>
        <v>#DIV/0!</v>
      </c>
      <c r="Q53" s="215" t="e">
        <f>SUM((SUMIF($B$4:$B$34,RR_AVG[[#This Row],[Baller]],$Q$4:$Q$34))/RR_AVG[[#This Row],[Games Played]])</f>
        <v>#DIV/0!</v>
      </c>
      <c r="R53" s="215" t="e">
        <f>SUM((SUMIF($B$4:$B$34,RR_AVG[[#This Row],[Baller]],$R$4:$R$34))/RR_AVG[[#This Row],[Games Played]])</f>
        <v>#DIV/0!</v>
      </c>
      <c r="S53" s="215" t="e">
        <f>SUM((SUMIF($B$4:$B$34,RR_AVG[[#This Row],[Baller]],$S$4:$S$34))/RR_AVG[[#This Row],[Games Played]])</f>
        <v>#DIV/0!</v>
      </c>
      <c r="T53" s="215" t="e">
        <f>SUM((SUMIF($B$4:$B$34,RR_AVG[[#This Row],[Baller]],$T$4:$T$34))/RR_AVG[[#This Row],[Games Played]])</f>
        <v>#DIV/0!</v>
      </c>
      <c r="U53" s="215" t="e">
        <f>SUM((SUMIF($B$4:$B$34,RR_AVG[[#This Row],[Baller]],$U$4:$U$34))/RR_AVG[[#This Row],[Games Played]])</f>
        <v>#DIV/0!</v>
      </c>
      <c r="V53" s="215" t="e">
        <f>SUM((SUMIF($B$4:$B$34,RR_AVG[[#This Row],[Baller]],$V$4:$V$34))/RR_AVG[[#This Row],[Games Played]])</f>
        <v>#DIV/0!</v>
      </c>
      <c r="W53" s="215" t="e">
        <f>SUM((SUMIF($B$4:$B$34,RR_AVG[[#This Row],[Baller]],$W$4:$W$34))/RR_AVG[[#This Row],[Games Played]])</f>
        <v>#DIV/0!</v>
      </c>
      <c r="X53" s="215" t="e">
        <f>SUM((SUMIF($B$4:$B$34,RR_AVG[[#This Row],[Baller]],$X$4:$X$34))/RR_AVG[[#This Row],[Games Played]])</f>
        <v>#DIV/0!</v>
      </c>
      <c r="Y53" s="215" t="e">
        <f>SUM((SUMIF($B$4:$B$34,RR_AVG[[#This Row],[Baller]],$Y$4:$Y$34))/RR_AVG[[#This Row],[Games Played]])</f>
        <v>#DIV/0!</v>
      </c>
      <c r="Z53" s="204" t="e">
        <f>RR_AVG[[#This Row],[Dimes]]/RR_AVG[[#This Row],[Turnovers]]</f>
        <v>#DIV/0!</v>
      </c>
    </row>
    <row r="54" spans="1:26" x14ac:dyDescent="0.2">
      <c r="A54" s="14" t="s">
        <v>39</v>
      </c>
      <c r="B54" t="s">
        <v>89</v>
      </c>
      <c r="C54" t="s">
        <v>132</v>
      </c>
      <c r="D54" s="86">
        <f t="shared" si="0"/>
        <v>0</v>
      </c>
      <c r="E54" s="215" t="e">
        <f>SUM((SUMIF($B$4:$B$34,RR_AVG[[#This Row],[Baller]],$E$4:$E$34))/RR_AVG[[#This Row],[Games Played]])</f>
        <v>#DIV/0!</v>
      </c>
      <c r="F54" s="215" t="e">
        <f>SUM((SUMIF($B$4:$B$34,RR_AVG[[#This Row],[Baller]],$F$4:$F$34))/RR_AVG[[#This Row],[Games Played]])</f>
        <v>#DIV/0!</v>
      </c>
      <c r="G54" s="203" t="e">
        <f>RR_AVG[[#This Row],[Total FGM]]/RR_AVG[[#This Row],[Total FGA]]</f>
        <v>#DIV/0!</v>
      </c>
      <c r="H54" s="216" t="e">
        <f>SUM((SUMIF($B$4:$B$34,RR_AVG[[#This Row],[Baller]],$H$4:$H$34))/RR_AVG[[#This Row],[Games Played]])</f>
        <v>#DIV/0!</v>
      </c>
      <c r="I54" s="92" t="e">
        <f>SUM((SUMIF($B$4:$B$34,RR_AVG[[#This Row],[Baller]],$I$4:$I$34))/RR_AVG[[#This Row],[Games Played]])</f>
        <v>#DIV/0!</v>
      </c>
      <c r="J54" s="91" t="e">
        <f>RR_AVG[[#This Row],[2PT FGM]]/RR_AVG[[#This Row],[2PT FGA]]</f>
        <v>#DIV/0!</v>
      </c>
      <c r="K54" s="92" t="e">
        <f>SUM((SUMIF($B$4:$B$34,RR_AVG[[#This Row],[Baller]],$K$4:$K$34))/RR_AVG[[#This Row],[Games Played]])</f>
        <v>#DIV/0!</v>
      </c>
      <c r="L54" s="92" t="e">
        <f>SUM((SUMIF($B$4:$B$34,RR_AVG[[#This Row],[Baller]],$L$4:$L$34))/RR_AVG[[#This Row],[Games Played]])</f>
        <v>#DIV/0!</v>
      </c>
      <c r="M54" s="91" t="e">
        <f>RR_AVG[[#This Row],[3PT FGM]]/RR_AVG[[#This Row],[3PT FGA]]</f>
        <v>#DIV/0!</v>
      </c>
      <c r="N54" s="92" t="e">
        <f>SUM((SUMIF($B$4:$B$34,RR_AVG[[#This Row],[Baller]],$N$4:$N$34))/RR_AVG[[#This Row],[Games Played]])</f>
        <v>#DIV/0!</v>
      </c>
      <c r="O54" s="92" t="e">
        <f>SUM((SUMIF($B$4:$B$34,RR_AVG[[#This Row],[Baller]],$O$4:$O$34))/RR_AVG[[#This Row],[Games Played]])</f>
        <v>#DIV/0!</v>
      </c>
      <c r="P54" s="99" t="e">
        <f>RR_AVG[[#This Row],[FTM]]/RR_AVG[[#This Row],[FTA]]</f>
        <v>#DIV/0!</v>
      </c>
      <c r="Q54" s="215" t="e">
        <f>SUM((SUMIF($B$4:$B$34,RR_AVG[[#This Row],[Baller]],$Q$4:$Q$34))/RR_AVG[[#This Row],[Games Played]])</f>
        <v>#DIV/0!</v>
      </c>
      <c r="R54" s="215" t="e">
        <f>SUM((SUMIF($B$4:$B$34,RR_AVG[[#This Row],[Baller]],$R$4:$R$34))/RR_AVG[[#This Row],[Games Played]])</f>
        <v>#DIV/0!</v>
      </c>
      <c r="S54" s="215" t="e">
        <f>SUM((SUMIF($B$4:$B$34,RR_AVG[[#This Row],[Baller]],$S$4:$S$34))/RR_AVG[[#This Row],[Games Played]])</f>
        <v>#DIV/0!</v>
      </c>
      <c r="T54" s="215" t="e">
        <f>SUM((SUMIF($B$4:$B$34,RR_AVG[[#This Row],[Baller]],$T$4:$T$34))/RR_AVG[[#This Row],[Games Played]])</f>
        <v>#DIV/0!</v>
      </c>
      <c r="U54" s="215" t="e">
        <f>SUM((SUMIF($B$4:$B$34,RR_AVG[[#This Row],[Baller]],$U$4:$U$34))/RR_AVG[[#This Row],[Games Played]])</f>
        <v>#DIV/0!</v>
      </c>
      <c r="V54" s="215" t="e">
        <f>SUM((SUMIF($B$4:$B$34,RR_AVG[[#This Row],[Baller]],$V$4:$V$34))/RR_AVG[[#This Row],[Games Played]])</f>
        <v>#DIV/0!</v>
      </c>
      <c r="W54" s="215" t="e">
        <f>SUM((SUMIF($B$4:$B$34,RR_AVG[[#This Row],[Baller]],$W$4:$W$34))/RR_AVG[[#This Row],[Games Played]])</f>
        <v>#DIV/0!</v>
      </c>
      <c r="X54" s="215" t="e">
        <f>SUM((SUMIF($B$4:$B$34,RR_AVG[[#This Row],[Baller]],$X$4:$X$34))/RR_AVG[[#This Row],[Games Played]])</f>
        <v>#DIV/0!</v>
      </c>
      <c r="Y54" s="215" t="e">
        <f>SUM((SUMIF($B$4:$B$34,RR_AVG[[#This Row],[Baller]],$Y$4:$Y$34))/RR_AVG[[#This Row],[Games Played]])</f>
        <v>#DIV/0!</v>
      </c>
      <c r="Z54" s="204" t="e">
        <f>RR_AVG[[#This Row],[Dimes]]/RR_AVG[[#This Row],[Turnovers]]</f>
        <v>#DIV/0!</v>
      </c>
    </row>
    <row r="55" spans="1:26" x14ac:dyDescent="0.2">
      <c r="A55" s="14" t="s">
        <v>28</v>
      </c>
      <c r="B55" t="s">
        <v>92</v>
      </c>
      <c r="C55" t="s">
        <v>132</v>
      </c>
      <c r="D55" s="86">
        <f t="shared" si="0"/>
        <v>0</v>
      </c>
      <c r="E55" s="215" t="e">
        <f>SUM((SUMIF($B$4:$B$34,RR_AVG[[#This Row],[Baller]],$E$4:$E$34))/RR_AVG[[#This Row],[Games Played]])</f>
        <v>#DIV/0!</v>
      </c>
      <c r="F55" s="215" t="e">
        <f>SUM((SUMIF($B$4:$B$34,RR_AVG[[#This Row],[Baller]],$F$4:$F$34))/RR_AVG[[#This Row],[Games Played]])</f>
        <v>#DIV/0!</v>
      </c>
      <c r="G55" s="203" t="e">
        <f>RR_AVG[[#This Row],[Total FGM]]/RR_AVG[[#This Row],[Total FGA]]</f>
        <v>#DIV/0!</v>
      </c>
      <c r="H55" s="216" t="e">
        <f>SUM((SUMIF($B$4:$B$34,RR_AVG[[#This Row],[Baller]],$H$4:$H$34))/RR_AVG[[#This Row],[Games Played]])</f>
        <v>#DIV/0!</v>
      </c>
      <c r="I55" s="92" t="e">
        <f>SUM((SUMIF($B$4:$B$34,RR_AVG[[#This Row],[Baller]],$I$4:$I$34))/RR_AVG[[#This Row],[Games Played]])</f>
        <v>#DIV/0!</v>
      </c>
      <c r="J55" s="91" t="e">
        <f>RR_AVG[[#This Row],[2PT FGM]]/RR_AVG[[#This Row],[2PT FGA]]</f>
        <v>#DIV/0!</v>
      </c>
      <c r="K55" s="92" t="e">
        <f>SUM((SUMIF($B$4:$B$34,RR_AVG[[#This Row],[Baller]],$K$4:$K$34))/RR_AVG[[#This Row],[Games Played]])</f>
        <v>#DIV/0!</v>
      </c>
      <c r="L55" s="92" t="e">
        <f>SUM((SUMIF($B$4:$B$34,RR_AVG[[#This Row],[Baller]],$L$4:$L$34))/RR_AVG[[#This Row],[Games Played]])</f>
        <v>#DIV/0!</v>
      </c>
      <c r="M55" s="91" t="e">
        <f>RR_AVG[[#This Row],[3PT FGM]]/RR_AVG[[#This Row],[3PT FGA]]</f>
        <v>#DIV/0!</v>
      </c>
      <c r="N55" s="92" t="e">
        <f>SUM((SUMIF($B$4:$B$34,RR_AVG[[#This Row],[Baller]],$N$4:$N$34))/RR_AVG[[#This Row],[Games Played]])</f>
        <v>#DIV/0!</v>
      </c>
      <c r="O55" s="92" t="e">
        <f>SUM((SUMIF($B$4:$B$34,RR_AVG[[#This Row],[Baller]],$O$4:$O$34))/RR_AVG[[#This Row],[Games Played]])</f>
        <v>#DIV/0!</v>
      </c>
      <c r="P55" s="99" t="e">
        <f>RR_AVG[[#This Row],[FTM]]/RR_AVG[[#This Row],[FTA]]</f>
        <v>#DIV/0!</v>
      </c>
      <c r="Q55" s="215" t="e">
        <f>SUM((SUMIF($B$4:$B$34,RR_AVG[[#This Row],[Baller]],$Q$4:$Q$34))/RR_AVG[[#This Row],[Games Played]])</f>
        <v>#DIV/0!</v>
      </c>
      <c r="R55" s="215" t="e">
        <f>SUM((SUMIF($B$4:$B$34,RR_AVG[[#This Row],[Baller]],$R$4:$R$34))/RR_AVG[[#This Row],[Games Played]])</f>
        <v>#DIV/0!</v>
      </c>
      <c r="S55" s="215" t="e">
        <f>SUM((SUMIF($B$4:$B$34,RR_AVG[[#This Row],[Baller]],$S$4:$S$34))/RR_AVG[[#This Row],[Games Played]])</f>
        <v>#DIV/0!</v>
      </c>
      <c r="T55" s="215" t="e">
        <f>SUM((SUMIF($B$4:$B$34,RR_AVG[[#This Row],[Baller]],$T$4:$T$34))/RR_AVG[[#This Row],[Games Played]])</f>
        <v>#DIV/0!</v>
      </c>
      <c r="U55" s="215" t="e">
        <f>SUM((SUMIF($B$4:$B$34,RR_AVG[[#This Row],[Baller]],$U$4:$U$34))/RR_AVG[[#This Row],[Games Played]])</f>
        <v>#DIV/0!</v>
      </c>
      <c r="V55" s="215" t="e">
        <f>SUM((SUMIF($B$4:$B$34,RR_AVG[[#This Row],[Baller]],$V$4:$V$34))/RR_AVG[[#This Row],[Games Played]])</f>
        <v>#DIV/0!</v>
      </c>
      <c r="W55" s="215" t="e">
        <f>SUM((SUMIF($B$4:$B$34,RR_AVG[[#This Row],[Baller]],$W$4:$W$34))/RR_AVG[[#This Row],[Games Played]])</f>
        <v>#DIV/0!</v>
      </c>
      <c r="X55" s="215" t="e">
        <f>SUM((SUMIF($B$4:$B$34,RR_AVG[[#This Row],[Baller]],$X$4:$X$34))/RR_AVG[[#This Row],[Games Played]])</f>
        <v>#DIV/0!</v>
      </c>
      <c r="Y55" s="215" t="e">
        <f>SUM((SUMIF($B$4:$B$34,RR_AVG[[#This Row],[Baller]],$Y$4:$Y$34))/RR_AVG[[#This Row],[Games Played]])</f>
        <v>#DIV/0!</v>
      </c>
      <c r="Z55" s="204" t="e">
        <f>RR_AVG[[#This Row],[Dimes]]/RR_AVG[[#This Row],[Turnovers]]</f>
        <v>#DIV/0!</v>
      </c>
    </row>
    <row r="56" spans="1:26" x14ac:dyDescent="0.2">
      <c r="A56" s="14" t="s">
        <v>50</v>
      </c>
      <c r="B56" t="s">
        <v>93</v>
      </c>
      <c r="C56" t="s">
        <v>132</v>
      </c>
      <c r="D56" s="86">
        <f t="shared" si="0"/>
        <v>0</v>
      </c>
      <c r="E56" s="215" t="e">
        <f>SUM((SUMIF($B$4:$B$34,RR_AVG[[#This Row],[Baller]],$E$4:$E$34))/RR_AVG[[#This Row],[Games Played]])</f>
        <v>#DIV/0!</v>
      </c>
      <c r="F56" s="215" t="e">
        <f>SUM((SUMIF($B$4:$B$34,RR_AVG[[#This Row],[Baller]],$F$4:$F$34))/RR_AVG[[#This Row],[Games Played]])</f>
        <v>#DIV/0!</v>
      </c>
      <c r="G56" s="203" t="e">
        <f>RR_AVG[[#This Row],[Total FGM]]/RR_AVG[[#This Row],[Total FGA]]</f>
        <v>#DIV/0!</v>
      </c>
      <c r="H56" s="216" t="e">
        <f>SUM((SUMIF($B$4:$B$34,RR_AVG[[#This Row],[Baller]],$H$4:$H$34))/RR_AVG[[#This Row],[Games Played]])</f>
        <v>#DIV/0!</v>
      </c>
      <c r="I56" s="92" t="e">
        <f>SUM((SUMIF($B$4:$B$34,RR_AVG[[#This Row],[Baller]],$I$4:$I$34))/RR_AVG[[#This Row],[Games Played]])</f>
        <v>#DIV/0!</v>
      </c>
      <c r="J56" s="91" t="e">
        <f>RR_AVG[[#This Row],[2PT FGM]]/RR_AVG[[#This Row],[2PT FGA]]</f>
        <v>#DIV/0!</v>
      </c>
      <c r="K56" s="92" t="e">
        <f>SUM((SUMIF($B$4:$B$34,RR_AVG[[#This Row],[Baller]],$K$4:$K$34))/RR_AVG[[#This Row],[Games Played]])</f>
        <v>#DIV/0!</v>
      </c>
      <c r="L56" s="92" t="e">
        <f>SUM((SUMIF($B$4:$B$34,RR_AVG[[#This Row],[Baller]],$L$4:$L$34))/RR_AVG[[#This Row],[Games Played]])</f>
        <v>#DIV/0!</v>
      </c>
      <c r="M56" s="91" t="e">
        <f>RR_AVG[[#This Row],[3PT FGM]]/RR_AVG[[#This Row],[3PT FGA]]</f>
        <v>#DIV/0!</v>
      </c>
      <c r="N56" s="92" t="e">
        <f>SUM((SUMIF($B$4:$B$34,RR_AVG[[#This Row],[Baller]],$N$4:$N$34))/RR_AVG[[#This Row],[Games Played]])</f>
        <v>#DIV/0!</v>
      </c>
      <c r="O56" s="92" t="e">
        <f>SUM((SUMIF($B$4:$B$34,RR_AVG[[#This Row],[Baller]],$O$4:$O$34))/RR_AVG[[#This Row],[Games Played]])</f>
        <v>#DIV/0!</v>
      </c>
      <c r="P56" s="99" t="e">
        <f>RR_AVG[[#This Row],[FTM]]/RR_AVG[[#This Row],[FTA]]</f>
        <v>#DIV/0!</v>
      </c>
      <c r="Q56" s="215" t="e">
        <f>SUM((SUMIF($B$4:$B$34,RR_AVG[[#This Row],[Baller]],$Q$4:$Q$34))/RR_AVG[[#This Row],[Games Played]])</f>
        <v>#DIV/0!</v>
      </c>
      <c r="R56" s="215" t="e">
        <f>SUM((SUMIF($B$4:$B$34,RR_AVG[[#This Row],[Baller]],$R$4:$R$34))/RR_AVG[[#This Row],[Games Played]])</f>
        <v>#DIV/0!</v>
      </c>
      <c r="S56" s="215" t="e">
        <f>SUM((SUMIF($B$4:$B$34,RR_AVG[[#This Row],[Baller]],$S$4:$S$34))/RR_AVG[[#This Row],[Games Played]])</f>
        <v>#DIV/0!</v>
      </c>
      <c r="T56" s="215" t="e">
        <f>SUM((SUMIF($B$4:$B$34,RR_AVG[[#This Row],[Baller]],$T$4:$T$34))/RR_AVG[[#This Row],[Games Played]])</f>
        <v>#DIV/0!</v>
      </c>
      <c r="U56" s="215" t="e">
        <f>SUM((SUMIF($B$4:$B$34,RR_AVG[[#This Row],[Baller]],$U$4:$U$34))/RR_AVG[[#This Row],[Games Played]])</f>
        <v>#DIV/0!</v>
      </c>
      <c r="V56" s="215" t="e">
        <f>SUM((SUMIF($B$4:$B$34,RR_AVG[[#This Row],[Baller]],$V$4:$V$34))/RR_AVG[[#This Row],[Games Played]])</f>
        <v>#DIV/0!</v>
      </c>
      <c r="W56" s="215" t="e">
        <f>SUM((SUMIF($B$4:$B$34,RR_AVG[[#This Row],[Baller]],$W$4:$W$34))/RR_AVG[[#This Row],[Games Played]])</f>
        <v>#DIV/0!</v>
      </c>
      <c r="X56" s="215" t="e">
        <f>SUM((SUMIF($B$4:$B$34,RR_AVG[[#This Row],[Baller]],$X$4:$X$34))/RR_AVG[[#This Row],[Games Played]])</f>
        <v>#DIV/0!</v>
      </c>
      <c r="Y56" s="215" t="e">
        <f>SUM((SUMIF($B$4:$B$34,RR_AVG[[#This Row],[Baller]],$Y$4:$Y$34))/RR_AVG[[#This Row],[Games Played]])</f>
        <v>#DIV/0!</v>
      </c>
      <c r="Z56" s="204" t="e">
        <f>RR_AVG[[#This Row],[Dimes]]/RR_AVG[[#This Row],[Turnovers]]</f>
        <v>#DIV/0!</v>
      </c>
    </row>
    <row r="57" spans="1:26" x14ac:dyDescent="0.2">
      <c r="A57" s="14" t="s">
        <v>49</v>
      </c>
      <c r="B57" t="s">
        <v>94</v>
      </c>
      <c r="C57" t="s">
        <v>132</v>
      </c>
      <c r="D57" s="86">
        <f t="shared" si="0"/>
        <v>0</v>
      </c>
      <c r="E57" s="215" t="e">
        <f>SUM((SUMIF($B$4:$B$34,RR_AVG[[#This Row],[Baller]],$E$4:$E$34))/RR_AVG[[#This Row],[Games Played]])</f>
        <v>#DIV/0!</v>
      </c>
      <c r="F57" s="215" t="e">
        <f>SUM((SUMIF($B$4:$B$34,RR_AVG[[#This Row],[Baller]],$F$4:$F$34))/RR_AVG[[#This Row],[Games Played]])</f>
        <v>#DIV/0!</v>
      </c>
      <c r="G57" s="203" t="e">
        <f>RR_AVG[[#This Row],[Total FGM]]/RR_AVG[[#This Row],[Total FGA]]</f>
        <v>#DIV/0!</v>
      </c>
      <c r="H57" s="216" t="e">
        <f>SUM((SUMIF($B$4:$B$34,RR_AVG[[#This Row],[Baller]],$H$4:$H$34))/RR_AVG[[#This Row],[Games Played]])</f>
        <v>#DIV/0!</v>
      </c>
      <c r="I57" s="92" t="e">
        <f>SUM((SUMIF($B$4:$B$34,RR_AVG[[#This Row],[Baller]],$I$4:$I$34))/RR_AVG[[#This Row],[Games Played]])</f>
        <v>#DIV/0!</v>
      </c>
      <c r="J57" s="91" t="e">
        <f>RR_AVG[[#This Row],[2PT FGM]]/RR_AVG[[#This Row],[2PT FGA]]</f>
        <v>#DIV/0!</v>
      </c>
      <c r="K57" s="92" t="e">
        <f>SUM((SUMIF($B$4:$B$34,RR_AVG[[#This Row],[Baller]],$K$4:$K$34))/RR_AVG[[#This Row],[Games Played]])</f>
        <v>#DIV/0!</v>
      </c>
      <c r="L57" s="92" t="e">
        <f>SUM((SUMIF($B$4:$B$34,RR_AVG[[#This Row],[Baller]],$L$4:$L$34))/RR_AVG[[#This Row],[Games Played]])</f>
        <v>#DIV/0!</v>
      </c>
      <c r="M57" s="91" t="e">
        <f>RR_AVG[[#This Row],[3PT FGM]]/RR_AVG[[#This Row],[3PT FGA]]</f>
        <v>#DIV/0!</v>
      </c>
      <c r="N57" s="92" t="e">
        <f>SUM((SUMIF($B$4:$B$34,RR_AVG[[#This Row],[Baller]],$N$4:$N$34))/RR_AVG[[#This Row],[Games Played]])</f>
        <v>#DIV/0!</v>
      </c>
      <c r="O57" s="92" t="e">
        <f>SUM((SUMIF($B$4:$B$34,RR_AVG[[#This Row],[Baller]],$O$4:$O$34))/RR_AVG[[#This Row],[Games Played]])</f>
        <v>#DIV/0!</v>
      </c>
      <c r="P57" s="99" t="e">
        <f>RR_AVG[[#This Row],[FTM]]/RR_AVG[[#This Row],[FTA]]</f>
        <v>#DIV/0!</v>
      </c>
      <c r="Q57" s="215" t="e">
        <f>SUM((SUMIF($B$4:$B$34,RR_AVG[[#This Row],[Baller]],$Q$4:$Q$34))/RR_AVG[[#This Row],[Games Played]])</f>
        <v>#DIV/0!</v>
      </c>
      <c r="R57" s="215" t="e">
        <f>SUM((SUMIF($B$4:$B$34,RR_AVG[[#This Row],[Baller]],$R$4:$R$34))/RR_AVG[[#This Row],[Games Played]])</f>
        <v>#DIV/0!</v>
      </c>
      <c r="S57" s="215" t="e">
        <f>SUM((SUMIF($B$4:$B$34,RR_AVG[[#This Row],[Baller]],$S$4:$S$34))/RR_AVG[[#This Row],[Games Played]])</f>
        <v>#DIV/0!</v>
      </c>
      <c r="T57" s="215" t="e">
        <f>SUM((SUMIF($B$4:$B$34,RR_AVG[[#This Row],[Baller]],$T$4:$T$34))/RR_AVG[[#This Row],[Games Played]])</f>
        <v>#DIV/0!</v>
      </c>
      <c r="U57" s="215" t="e">
        <f>SUM((SUMIF($B$4:$B$34,RR_AVG[[#This Row],[Baller]],$U$4:$U$34))/RR_AVG[[#This Row],[Games Played]])</f>
        <v>#DIV/0!</v>
      </c>
      <c r="V57" s="215" t="e">
        <f>SUM((SUMIF($B$4:$B$34,RR_AVG[[#This Row],[Baller]],$V$4:$V$34))/RR_AVG[[#This Row],[Games Played]])</f>
        <v>#DIV/0!</v>
      </c>
      <c r="W57" s="215" t="e">
        <f>SUM((SUMIF($B$4:$B$34,RR_AVG[[#This Row],[Baller]],$W$4:$W$34))/RR_AVG[[#This Row],[Games Played]])</f>
        <v>#DIV/0!</v>
      </c>
      <c r="X57" s="215" t="e">
        <f>SUM((SUMIF($B$4:$B$34,RR_AVG[[#This Row],[Baller]],$X$4:$X$34))/RR_AVG[[#This Row],[Games Played]])</f>
        <v>#DIV/0!</v>
      </c>
      <c r="Y57" s="215" t="e">
        <f>SUM((SUMIF($B$4:$B$34,RR_AVG[[#This Row],[Baller]],$Y$4:$Y$34))/RR_AVG[[#This Row],[Games Played]])</f>
        <v>#DIV/0!</v>
      </c>
      <c r="Z57" s="204" t="e">
        <f>RR_AVG[[#This Row],[Dimes]]/RR_AVG[[#This Row],[Turnovers]]</f>
        <v>#DIV/0!</v>
      </c>
    </row>
    <row r="58" spans="1:26" x14ac:dyDescent="0.2">
      <c r="A58" s="14" t="s">
        <v>47</v>
      </c>
      <c r="B58" t="s">
        <v>97</v>
      </c>
      <c r="C58" t="s">
        <v>132</v>
      </c>
      <c r="D58" s="86">
        <f t="shared" si="0"/>
        <v>0</v>
      </c>
      <c r="E58" s="215" t="e">
        <f>SUM((SUMIF($B$4:$B$34,RR_AVG[[#This Row],[Baller]],$E$4:$E$34))/RR_AVG[[#This Row],[Games Played]])</f>
        <v>#DIV/0!</v>
      </c>
      <c r="F58" s="215" t="e">
        <f>SUM((SUMIF($B$4:$B$34,RR_AVG[[#This Row],[Baller]],$F$4:$F$34))/RR_AVG[[#This Row],[Games Played]])</f>
        <v>#DIV/0!</v>
      </c>
      <c r="G58" s="203" t="e">
        <f>RR_AVG[[#This Row],[Total FGM]]/RR_AVG[[#This Row],[Total FGA]]</f>
        <v>#DIV/0!</v>
      </c>
      <c r="H58" s="216" t="e">
        <f>SUM((SUMIF($B$4:$B$34,RR_AVG[[#This Row],[Baller]],$H$4:$H$34))/RR_AVG[[#This Row],[Games Played]])</f>
        <v>#DIV/0!</v>
      </c>
      <c r="I58" s="92" t="e">
        <f>SUM((SUMIF($B$4:$B$34,RR_AVG[[#This Row],[Baller]],$I$4:$I$34))/RR_AVG[[#This Row],[Games Played]])</f>
        <v>#DIV/0!</v>
      </c>
      <c r="J58" s="91" t="e">
        <f>RR_AVG[[#This Row],[2PT FGM]]/RR_AVG[[#This Row],[2PT FGA]]</f>
        <v>#DIV/0!</v>
      </c>
      <c r="K58" s="92" t="e">
        <f>SUM((SUMIF($B$4:$B$34,RR_AVG[[#This Row],[Baller]],$K$4:$K$34))/RR_AVG[[#This Row],[Games Played]])</f>
        <v>#DIV/0!</v>
      </c>
      <c r="L58" s="92" t="e">
        <f>SUM((SUMIF($B$4:$B$34,RR_AVG[[#This Row],[Baller]],$L$4:$L$34))/RR_AVG[[#This Row],[Games Played]])</f>
        <v>#DIV/0!</v>
      </c>
      <c r="M58" s="91" t="e">
        <f>RR_AVG[[#This Row],[3PT FGM]]/RR_AVG[[#This Row],[3PT FGA]]</f>
        <v>#DIV/0!</v>
      </c>
      <c r="N58" s="92" t="e">
        <f>SUM((SUMIF($B$4:$B$34,RR_AVG[[#This Row],[Baller]],$N$4:$N$34))/RR_AVG[[#This Row],[Games Played]])</f>
        <v>#DIV/0!</v>
      </c>
      <c r="O58" s="92" t="e">
        <f>SUM((SUMIF($B$4:$B$34,RR_AVG[[#This Row],[Baller]],$O$4:$O$34))/RR_AVG[[#This Row],[Games Played]])</f>
        <v>#DIV/0!</v>
      </c>
      <c r="P58" s="99" t="e">
        <f>RR_AVG[[#This Row],[FTM]]/RR_AVG[[#This Row],[FTA]]</f>
        <v>#DIV/0!</v>
      </c>
      <c r="Q58" s="215" t="e">
        <f>SUM((SUMIF($B$4:$B$34,RR_AVG[[#This Row],[Baller]],$Q$4:$Q$34))/RR_AVG[[#This Row],[Games Played]])</f>
        <v>#DIV/0!</v>
      </c>
      <c r="R58" s="215" t="e">
        <f>SUM((SUMIF($B$4:$B$34,RR_AVG[[#This Row],[Baller]],$R$4:$R$34))/RR_AVG[[#This Row],[Games Played]])</f>
        <v>#DIV/0!</v>
      </c>
      <c r="S58" s="215" t="e">
        <f>SUM((SUMIF($B$4:$B$34,RR_AVG[[#This Row],[Baller]],$S$4:$S$34))/RR_AVG[[#This Row],[Games Played]])</f>
        <v>#DIV/0!</v>
      </c>
      <c r="T58" s="215" t="e">
        <f>SUM((SUMIF($B$4:$B$34,RR_AVG[[#This Row],[Baller]],$T$4:$T$34))/RR_AVG[[#This Row],[Games Played]])</f>
        <v>#DIV/0!</v>
      </c>
      <c r="U58" s="215" t="e">
        <f>SUM((SUMIF($B$4:$B$34,RR_AVG[[#This Row],[Baller]],$U$4:$U$34))/RR_AVG[[#This Row],[Games Played]])</f>
        <v>#DIV/0!</v>
      </c>
      <c r="V58" s="215" t="e">
        <f>SUM((SUMIF($B$4:$B$34,RR_AVG[[#This Row],[Baller]],$V$4:$V$34))/RR_AVG[[#This Row],[Games Played]])</f>
        <v>#DIV/0!</v>
      </c>
      <c r="W58" s="215" t="e">
        <f>SUM((SUMIF($B$4:$B$34,RR_AVG[[#This Row],[Baller]],$W$4:$W$34))/RR_AVG[[#This Row],[Games Played]])</f>
        <v>#DIV/0!</v>
      </c>
      <c r="X58" s="215" t="e">
        <f>SUM((SUMIF($B$4:$B$34,RR_AVG[[#This Row],[Baller]],$X$4:$X$34))/RR_AVG[[#This Row],[Games Played]])</f>
        <v>#DIV/0!</v>
      </c>
      <c r="Y58" s="215" t="e">
        <f>SUM((SUMIF($B$4:$B$34,RR_AVG[[#This Row],[Baller]],$Y$4:$Y$34))/RR_AVG[[#This Row],[Games Played]])</f>
        <v>#DIV/0!</v>
      </c>
      <c r="Z58" s="204" t="e">
        <f>RR_AVG[[#This Row],[Dimes]]/RR_AVG[[#This Row],[Turnovers]]</f>
        <v>#DIV/0!</v>
      </c>
    </row>
    <row r="59" spans="1:26" x14ac:dyDescent="0.2">
      <c r="A59" s="14" t="s">
        <v>42</v>
      </c>
      <c r="B59" t="s">
        <v>101</v>
      </c>
      <c r="C59" t="s">
        <v>132</v>
      </c>
      <c r="D59" s="86">
        <f t="shared" si="0"/>
        <v>0</v>
      </c>
      <c r="E59" s="215" t="e">
        <f>SUM((SUMIF($B$4:$B$34,RR_AVG[[#This Row],[Baller]],$E$4:$E$34))/RR_AVG[[#This Row],[Games Played]])</f>
        <v>#DIV/0!</v>
      </c>
      <c r="F59" s="215" t="e">
        <f>SUM((SUMIF($B$4:$B$34,RR_AVG[[#This Row],[Baller]],$F$4:$F$34))/RR_AVG[[#This Row],[Games Played]])</f>
        <v>#DIV/0!</v>
      </c>
      <c r="G59" s="203" t="e">
        <f>RR_AVG[[#This Row],[Total FGM]]/RR_AVG[[#This Row],[Total FGA]]</f>
        <v>#DIV/0!</v>
      </c>
      <c r="H59" s="216" t="e">
        <f>SUM((SUMIF($B$4:$B$34,RR_AVG[[#This Row],[Baller]],$H$4:$H$34))/RR_AVG[[#This Row],[Games Played]])</f>
        <v>#DIV/0!</v>
      </c>
      <c r="I59" s="92" t="e">
        <f>SUM((SUMIF($B$4:$B$34,RR_AVG[[#This Row],[Baller]],$I$4:$I$34))/RR_AVG[[#This Row],[Games Played]])</f>
        <v>#DIV/0!</v>
      </c>
      <c r="J59" s="91" t="e">
        <f>RR_AVG[[#This Row],[2PT FGM]]/RR_AVG[[#This Row],[2PT FGA]]</f>
        <v>#DIV/0!</v>
      </c>
      <c r="K59" s="92" t="e">
        <f>SUM((SUMIF($B$4:$B$34,RR_AVG[[#This Row],[Baller]],$K$4:$K$34))/RR_AVG[[#This Row],[Games Played]])</f>
        <v>#DIV/0!</v>
      </c>
      <c r="L59" s="92" t="e">
        <f>SUM((SUMIF($B$4:$B$34,RR_AVG[[#This Row],[Baller]],$L$4:$L$34))/RR_AVG[[#This Row],[Games Played]])</f>
        <v>#DIV/0!</v>
      </c>
      <c r="M59" s="91" t="e">
        <f>RR_AVG[[#This Row],[3PT FGM]]/RR_AVG[[#This Row],[3PT FGA]]</f>
        <v>#DIV/0!</v>
      </c>
      <c r="N59" s="92" t="e">
        <f>SUM((SUMIF($B$4:$B$34,RR_AVG[[#This Row],[Baller]],$N$4:$N$34))/RR_AVG[[#This Row],[Games Played]])</f>
        <v>#DIV/0!</v>
      </c>
      <c r="O59" s="92" t="e">
        <f>SUM((SUMIF($B$4:$B$34,RR_AVG[[#This Row],[Baller]],$O$4:$O$34))/RR_AVG[[#This Row],[Games Played]])</f>
        <v>#DIV/0!</v>
      </c>
      <c r="P59" s="99" t="e">
        <f>RR_AVG[[#This Row],[FTM]]/RR_AVG[[#This Row],[FTA]]</f>
        <v>#DIV/0!</v>
      </c>
      <c r="Q59" s="215" t="e">
        <f>SUM((SUMIF($B$4:$B$34,RR_AVG[[#This Row],[Baller]],$Q$4:$Q$34))/RR_AVG[[#This Row],[Games Played]])</f>
        <v>#DIV/0!</v>
      </c>
      <c r="R59" s="215" t="e">
        <f>SUM((SUMIF($B$4:$B$34,RR_AVG[[#This Row],[Baller]],$R$4:$R$34))/RR_AVG[[#This Row],[Games Played]])</f>
        <v>#DIV/0!</v>
      </c>
      <c r="S59" s="215" t="e">
        <f>SUM((SUMIF($B$4:$B$34,RR_AVG[[#This Row],[Baller]],$S$4:$S$34))/RR_AVG[[#This Row],[Games Played]])</f>
        <v>#DIV/0!</v>
      </c>
      <c r="T59" s="215" t="e">
        <f>SUM((SUMIF($B$4:$B$34,RR_AVG[[#This Row],[Baller]],$T$4:$T$34))/RR_AVG[[#This Row],[Games Played]])</f>
        <v>#DIV/0!</v>
      </c>
      <c r="U59" s="215" t="e">
        <f>SUM((SUMIF($B$4:$B$34,RR_AVG[[#This Row],[Baller]],$U$4:$U$34))/RR_AVG[[#This Row],[Games Played]])</f>
        <v>#DIV/0!</v>
      </c>
      <c r="V59" s="215" t="e">
        <f>SUM((SUMIF($B$4:$B$34,RR_AVG[[#This Row],[Baller]],$V$4:$V$34))/RR_AVG[[#This Row],[Games Played]])</f>
        <v>#DIV/0!</v>
      </c>
      <c r="W59" s="215" t="e">
        <f>SUM((SUMIF($B$4:$B$34,RR_AVG[[#This Row],[Baller]],$W$4:$W$34))/RR_AVG[[#This Row],[Games Played]])</f>
        <v>#DIV/0!</v>
      </c>
      <c r="X59" s="215" t="e">
        <f>SUM((SUMIF($B$4:$B$34,RR_AVG[[#This Row],[Baller]],$X$4:$X$34))/RR_AVG[[#This Row],[Games Played]])</f>
        <v>#DIV/0!</v>
      </c>
      <c r="Y59" s="215" t="e">
        <f>SUM((SUMIF($B$4:$B$34,RR_AVG[[#This Row],[Baller]],$Y$4:$Y$34))/RR_AVG[[#This Row],[Games Played]])</f>
        <v>#DIV/0!</v>
      </c>
      <c r="Z59" s="204" t="e">
        <f>RR_AVG[[#This Row],[Dimes]]/RR_AVG[[#This Row],[Turnovers]]</f>
        <v>#DIV/0!</v>
      </c>
    </row>
    <row r="60" spans="1:26" x14ac:dyDescent="0.2">
      <c r="A60" s="14" t="s">
        <v>48</v>
      </c>
      <c r="B60" t="s">
        <v>99</v>
      </c>
      <c r="C60" t="s">
        <v>132</v>
      </c>
      <c r="D60" s="86">
        <f t="shared" si="0"/>
        <v>0</v>
      </c>
      <c r="E60" s="215" t="e">
        <f>SUM((SUMIF($B$4:$B$34,RR_AVG[[#This Row],[Baller]],$E$4:$E$34))/RR_AVG[[#This Row],[Games Played]])</f>
        <v>#DIV/0!</v>
      </c>
      <c r="F60" s="215" t="e">
        <f>SUM((SUMIF($B$4:$B$34,RR_AVG[[#This Row],[Baller]],$F$4:$F$34))/RR_AVG[[#This Row],[Games Played]])</f>
        <v>#DIV/0!</v>
      </c>
      <c r="G60" s="203" t="e">
        <f>RR_AVG[[#This Row],[Total FGM]]/RR_AVG[[#This Row],[Total FGA]]</f>
        <v>#DIV/0!</v>
      </c>
      <c r="H60" s="216" t="e">
        <f>SUM((SUMIF($B$4:$B$34,RR_AVG[[#This Row],[Baller]],$H$4:$H$34))/RR_AVG[[#This Row],[Games Played]])</f>
        <v>#DIV/0!</v>
      </c>
      <c r="I60" s="92" t="e">
        <f>SUM((SUMIF($B$4:$B$34,RR_AVG[[#This Row],[Baller]],$I$4:$I$34))/RR_AVG[[#This Row],[Games Played]])</f>
        <v>#DIV/0!</v>
      </c>
      <c r="J60" s="91" t="e">
        <f>RR_AVG[[#This Row],[2PT FGM]]/RR_AVG[[#This Row],[2PT FGA]]</f>
        <v>#DIV/0!</v>
      </c>
      <c r="K60" s="92" t="e">
        <f>SUM((SUMIF($B$4:$B$34,RR_AVG[[#This Row],[Baller]],$K$4:$K$34))/RR_AVG[[#This Row],[Games Played]])</f>
        <v>#DIV/0!</v>
      </c>
      <c r="L60" s="92" t="e">
        <f>SUM((SUMIF($B$4:$B$34,RR_AVG[[#This Row],[Baller]],$L$4:$L$34))/RR_AVG[[#This Row],[Games Played]])</f>
        <v>#DIV/0!</v>
      </c>
      <c r="M60" s="91" t="e">
        <f>RR_AVG[[#This Row],[3PT FGM]]/RR_AVG[[#This Row],[3PT FGA]]</f>
        <v>#DIV/0!</v>
      </c>
      <c r="N60" s="92" t="e">
        <f>SUM((SUMIF($B$4:$B$34,RR_AVG[[#This Row],[Baller]],$N$4:$N$34))/RR_AVG[[#This Row],[Games Played]])</f>
        <v>#DIV/0!</v>
      </c>
      <c r="O60" s="92" t="e">
        <f>SUM((SUMIF($B$4:$B$34,RR_AVG[[#This Row],[Baller]],$O$4:$O$34))/RR_AVG[[#This Row],[Games Played]])</f>
        <v>#DIV/0!</v>
      </c>
      <c r="P60" s="99" t="e">
        <f>RR_AVG[[#This Row],[FTM]]/RR_AVG[[#This Row],[FTA]]</f>
        <v>#DIV/0!</v>
      </c>
      <c r="Q60" s="215" t="e">
        <f>SUM((SUMIF($B$4:$B$34,RR_AVG[[#This Row],[Baller]],$Q$4:$Q$34))/RR_AVG[[#This Row],[Games Played]])</f>
        <v>#DIV/0!</v>
      </c>
      <c r="R60" s="215" t="e">
        <f>SUM((SUMIF($B$4:$B$34,RR_AVG[[#This Row],[Baller]],$R$4:$R$34))/RR_AVG[[#This Row],[Games Played]])</f>
        <v>#DIV/0!</v>
      </c>
      <c r="S60" s="215" t="e">
        <f>SUM((SUMIF($B$4:$B$34,RR_AVG[[#This Row],[Baller]],$S$4:$S$34))/RR_AVG[[#This Row],[Games Played]])</f>
        <v>#DIV/0!</v>
      </c>
      <c r="T60" s="215" t="e">
        <f>SUM((SUMIF($B$4:$B$34,RR_AVG[[#This Row],[Baller]],$T$4:$T$34))/RR_AVG[[#This Row],[Games Played]])</f>
        <v>#DIV/0!</v>
      </c>
      <c r="U60" s="215" t="e">
        <f>SUM((SUMIF($B$4:$B$34,RR_AVG[[#This Row],[Baller]],$U$4:$U$34))/RR_AVG[[#This Row],[Games Played]])</f>
        <v>#DIV/0!</v>
      </c>
      <c r="V60" s="215" t="e">
        <f>SUM((SUMIF($B$4:$B$34,RR_AVG[[#This Row],[Baller]],$V$4:$V$34))/RR_AVG[[#This Row],[Games Played]])</f>
        <v>#DIV/0!</v>
      </c>
      <c r="W60" s="215" t="e">
        <f>SUM((SUMIF($B$4:$B$34,RR_AVG[[#This Row],[Baller]],$W$4:$W$34))/RR_AVG[[#This Row],[Games Played]])</f>
        <v>#DIV/0!</v>
      </c>
      <c r="X60" s="215" t="e">
        <f>SUM((SUMIF($B$4:$B$34,RR_AVG[[#This Row],[Baller]],$X$4:$X$34))/RR_AVG[[#This Row],[Games Played]])</f>
        <v>#DIV/0!</v>
      </c>
      <c r="Y60" s="215" t="e">
        <f>SUM((SUMIF($B$4:$B$34,RR_AVG[[#This Row],[Baller]],$Y$4:$Y$34))/RR_AVG[[#This Row],[Games Played]])</f>
        <v>#DIV/0!</v>
      </c>
      <c r="Z60" s="204" t="e">
        <f>RR_AVG[[#This Row],[Dimes]]/RR_AVG[[#This Row],[Turnovers]]</f>
        <v>#DIV/0!</v>
      </c>
    </row>
    <row r="61" spans="1:26" x14ac:dyDescent="0.2">
      <c r="A61" s="14" t="s">
        <v>51</v>
      </c>
      <c r="B61" t="s">
        <v>102</v>
      </c>
      <c r="C61" t="s">
        <v>132</v>
      </c>
      <c r="D61" s="86">
        <f t="shared" si="0"/>
        <v>0</v>
      </c>
      <c r="E61" s="215" t="e">
        <f>SUM((SUMIF($B$4:$B$34,RR_AVG[[#This Row],[Baller]],$E$4:$E$34))/RR_AVG[[#This Row],[Games Played]])</f>
        <v>#DIV/0!</v>
      </c>
      <c r="F61" s="215" t="e">
        <f>SUM((SUMIF($B$4:$B$34,RR_AVG[[#This Row],[Baller]],$F$4:$F$34))/RR_AVG[[#This Row],[Games Played]])</f>
        <v>#DIV/0!</v>
      </c>
      <c r="G61" s="203" t="e">
        <f>RR_AVG[[#This Row],[Total FGM]]/RR_AVG[[#This Row],[Total FGA]]</f>
        <v>#DIV/0!</v>
      </c>
      <c r="H61" s="216" t="e">
        <f>SUM((SUMIF($B$4:$B$34,RR_AVG[[#This Row],[Baller]],$H$4:$H$34))/RR_AVG[[#This Row],[Games Played]])</f>
        <v>#DIV/0!</v>
      </c>
      <c r="I61" s="92" t="e">
        <f>SUM((SUMIF($B$4:$B$34,RR_AVG[[#This Row],[Baller]],$I$4:$I$34))/RR_AVG[[#This Row],[Games Played]])</f>
        <v>#DIV/0!</v>
      </c>
      <c r="J61" s="91" t="e">
        <f>RR_AVG[[#This Row],[2PT FGM]]/RR_AVG[[#This Row],[2PT FGA]]</f>
        <v>#DIV/0!</v>
      </c>
      <c r="K61" s="92" t="e">
        <f>SUM((SUMIF($B$4:$B$34,RR_AVG[[#This Row],[Baller]],$K$4:$K$34))/RR_AVG[[#This Row],[Games Played]])</f>
        <v>#DIV/0!</v>
      </c>
      <c r="L61" s="92" t="e">
        <f>SUM((SUMIF($B$4:$B$34,RR_AVG[[#This Row],[Baller]],$L$4:$L$34))/RR_AVG[[#This Row],[Games Played]])</f>
        <v>#DIV/0!</v>
      </c>
      <c r="M61" s="91" t="e">
        <f>RR_AVG[[#This Row],[3PT FGM]]/RR_AVG[[#This Row],[3PT FGA]]</f>
        <v>#DIV/0!</v>
      </c>
      <c r="N61" s="92" t="e">
        <f>SUM((SUMIF($B$4:$B$34,RR_AVG[[#This Row],[Baller]],$N$4:$N$34))/RR_AVG[[#This Row],[Games Played]])</f>
        <v>#DIV/0!</v>
      </c>
      <c r="O61" s="92" t="e">
        <f>SUM((SUMIF($B$4:$B$34,RR_AVG[[#This Row],[Baller]],$O$4:$O$34))/RR_AVG[[#This Row],[Games Played]])</f>
        <v>#DIV/0!</v>
      </c>
      <c r="P61" s="99" t="e">
        <f>RR_AVG[[#This Row],[FTM]]/RR_AVG[[#This Row],[FTA]]</f>
        <v>#DIV/0!</v>
      </c>
      <c r="Q61" s="215" t="e">
        <f>SUM((SUMIF($B$4:$B$34,RR_AVG[[#This Row],[Baller]],$Q$4:$Q$34))/RR_AVG[[#This Row],[Games Played]])</f>
        <v>#DIV/0!</v>
      </c>
      <c r="R61" s="215" t="e">
        <f>SUM((SUMIF($B$4:$B$34,RR_AVG[[#This Row],[Baller]],$R$4:$R$34))/RR_AVG[[#This Row],[Games Played]])</f>
        <v>#DIV/0!</v>
      </c>
      <c r="S61" s="215" t="e">
        <f>SUM((SUMIF($B$4:$B$34,RR_AVG[[#This Row],[Baller]],$S$4:$S$34))/RR_AVG[[#This Row],[Games Played]])</f>
        <v>#DIV/0!</v>
      </c>
      <c r="T61" s="215" t="e">
        <f>SUM((SUMIF($B$4:$B$34,RR_AVG[[#This Row],[Baller]],$T$4:$T$34))/RR_AVG[[#This Row],[Games Played]])</f>
        <v>#DIV/0!</v>
      </c>
      <c r="U61" s="215" t="e">
        <f>SUM((SUMIF($B$4:$B$34,RR_AVG[[#This Row],[Baller]],$U$4:$U$34))/RR_AVG[[#This Row],[Games Played]])</f>
        <v>#DIV/0!</v>
      </c>
      <c r="V61" s="215" t="e">
        <f>SUM((SUMIF($B$4:$B$34,RR_AVG[[#This Row],[Baller]],$V$4:$V$34))/RR_AVG[[#This Row],[Games Played]])</f>
        <v>#DIV/0!</v>
      </c>
      <c r="W61" s="215" t="e">
        <f>SUM((SUMIF($B$4:$B$34,RR_AVG[[#This Row],[Baller]],$W$4:$W$34))/RR_AVG[[#This Row],[Games Played]])</f>
        <v>#DIV/0!</v>
      </c>
      <c r="X61" s="215" t="e">
        <f>SUM((SUMIF($B$4:$B$34,RR_AVG[[#This Row],[Baller]],$X$4:$X$34))/RR_AVG[[#This Row],[Games Played]])</f>
        <v>#DIV/0!</v>
      </c>
      <c r="Y61" s="215" t="e">
        <f>SUM((SUMIF($B$4:$B$34,RR_AVG[[#This Row],[Baller]],$Y$4:$Y$34))/RR_AVG[[#This Row],[Games Played]])</f>
        <v>#DIV/0!</v>
      </c>
      <c r="Z61" s="204" t="e">
        <f>RR_AVG[[#This Row],[Dimes]]/RR_AVG[[#This Row],[Turnovers]]</f>
        <v>#DIV/0!</v>
      </c>
    </row>
    <row r="62" spans="1:26" x14ac:dyDescent="0.2">
      <c r="A62" s="14" t="s">
        <v>43</v>
      </c>
      <c r="B62" t="s">
        <v>104</v>
      </c>
      <c r="C62" t="s">
        <v>132</v>
      </c>
      <c r="D62" s="86">
        <f t="shared" si="0"/>
        <v>0</v>
      </c>
      <c r="E62" s="215" t="e">
        <f>SUM((SUMIF($B$4:$B$34,RR_AVG[[#This Row],[Baller]],$E$4:$E$34))/RR_AVG[[#This Row],[Games Played]])</f>
        <v>#DIV/0!</v>
      </c>
      <c r="F62" s="215" t="e">
        <f>SUM((SUMIF($B$4:$B$34,RR_AVG[[#This Row],[Baller]],$F$4:$F$34))/RR_AVG[[#This Row],[Games Played]])</f>
        <v>#DIV/0!</v>
      </c>
      <c r="G62" s="203" t="e">
        <f>RR_AVG[[#This Row],[Total FGM]]/RR_AVG[[#This Row],[Total FGA]]</f>
        <v>#DIV/0!</v>
      </c>
      <c r="H62" s="216" t="e">
        <f>SUM((SUMIF($B$4:$B$34,RR_AVG[[#This Row],[Baller]],$H$4:$H$34))/RR_AVG[[#This Row],[Games Played]])</f>
        <v>#DIV/0!</v>
      </c>
      <c r="I62" s="92" t="e">
        <f>SUM((SUMIF($B$4:$B$34,RR_AVG[[#This Row],[Baller]],$I$4:$I$34))/RR_AVG[[#This Row],[Games Played]])</f>
        <v>#DIV/0!</v>
      </c>
      <c r="J62" s="91" t="e">
        <f>RR_AVG[[#This Row],[2PT FGM]]/RR_AVG[[#This Row],[2PT FGA]]</f>
        <v>#DIV/0!</v>
      </c>
      <c r="K62" s="92" t="e">
        <f>SUM((SUMIF($B$4:$B$34,RR_AVG[[#This Row],[Baller]],$K$4:$K$34))/RR_AVG[[#This Row],[Games Played]])</f>
        <v>#DIV/0!</v>
      </c>
      <c r="L62" s="92" t="e">
        <f>SUM((SUMIF($B$4:$B$34,RR_AVG[[#This Row],[Baller]],$L$4:$L$34))/RR_AVG[[#This Row],[Games Played]])</f>
        <v>#DIV/0!</v>
      </c>
      <c r="M62" s="91" t="e">
        <f>RR_AVG[[#This Row],[3PT FGM]]/RR_AVG[[#This Row],[3PT FGA]]</f>
        <v>#DIV/0!</v>
      </c>
      <c r="N62" s="92" t="e">
        <f>SUM((SUMIF($B$4:$B$34,RR_AVG[[#This Row],[Baller]],$N$4:$N$34))/RR_AVG[[#This Row],[Games Played]])</f>
        <v>#DIV/0!</v>
      </c>
      <c r="O62" s="92" t="e">
        <f>SUM((SUMIF($B$4:$B$34,RR_AVG[[#This Row],[Baller]],$O$4:$O$34))/RR_AVG[[#This Row],[Games Played]])</f>
        <v>#DIV/0!</v>
      </c>
      <c r="P62" s="99" t="e">
        <f>RR_AVG[[#This Row],[FTM]]/RR_AVG[[#This Row],[FTA]]</f>
        <v>#DIV/0!</v>
      </c>
      <c r="Q62" s="215" t="e">
        <f>SUM((SUMIF($B$4:$B$34,RR_AVG[[#This Row],[Baller]],$Q$4:$Q$34))/RR_AVG[[#This Row],[Games Played]])</f>
        <v>#DIV/0!</v>
      </c>
      <c r="R62" s="215" t="e">
        <f>SUM((SUMIF($B$4:$B$34,RR_AVG[[#This Row],[Baller]],$R$4:$R$34))/RR_AVG[[#This Row],[Games Played]])</f>
        <v>#DIV/0!</v>
      </c>
      <c r="S62" s="215" t="e">
        <f>SUM((SUMIF($B$4:$B$34,RR_AVG[[#This Row],[Baller]],$S$4:$S$34))/RR_AVG[[#This Row],[Games Played]])</f>
        <v>#DIV/0!</v>
      </c>
      <c r="T62" s="215" t="e">
        <f>SUM((SUMIF($B$4:$B$34,RR_AVG[[#This Row],[Baller]],$T$4:$T$34))/RR_AVG[[#This Row],[Games Played]])</f>
        <v>#DIV/0!</v>
      </c>
      <c r="U62" s="215" t="e">
        <f>SUM((SUMIF($B$4:$B$34,RR_AVG[[#This Row],[Baller]],$U$4:$U$34))/RR_AVG[[#This Row],[Games Played]])</f>
        <v>#DIV/0!</v>
      </c>
      <c r="V62" s="215" t="e">
        <f>SUM((SUMIF($B$4:$B$34,RR_AVG[[#This Row],[Baller]],$V$4:$V$34))/RR_AVG[[#This Row],[Games Played]])</f>
        <v>#DIV/0!</v>
      </c>
      <c r="W62" s="215" t="e">
        <f>SUM((SUMIF($B$4:$B$34,RR_AVG[[#This Row],[Baller]],$W$4:$W$34))/RR_AVG[[#This Row],[Games Played]])</f>
        <v>#DIV/0!</v>
      </c>
      <c r="X62" s="215" t="e">
        <f>SUM((SUMIF($B$4:$B$34,RR_AVG[[#This Row],[Baller]],$X$4:$X$34))/RR_AVG[[#This Row],[Games Played]])</f>
        <v>#DIV/0!</v>
      </c>
      <c r="Y62" s="215" t="e">
        <f>SUM((SUMIF($B$4:$B$34,RR_AVG[[#This Row],[Baller]],$Y$4:$Y$34))/RR_AVG[[#This Row],[Games Played]])</f>
        <v>#DIV/0!</v>
      </c>
      <c r="Z62" s="204" t="e">
        <f>RR_AVG[[#This Row],[Dimes]]/RR_AVG[[#This Row],[Turnovers]]</f>
        <v>#DIV/0!</v>
      </c>
    </row>
    <row r="63" spans="1:26" x14ac:dyDescent="0.2">
      <c r="A63" s="14" t="s">
        <v>45</v>
      </c>
      <c r="B63" t="s">
        <v>90</v>
      </c>
      <c r="C63" t="s">
        <v>132</v>
      </c>
      <c r="D63" s="86">
        <f t="shared" si="0"/>
        <v>0</v>
      </c>
      <c r="E63" s="215" t="e">
        <f>SUM((SUMIF($B$4:$B$34,RR_AVG[[#This Row],[Baller]],$E$4:$E$34))/RR_AVG[[#This Row],[Games Played]])</f>
        <v>#DIV/0!</v>
      </c>
      <c r="F63" s="215" t="e">
        <f>SUM((SUMIF($B$4:$B$34,RR_AVG[[#This Row],[Baller]],$F$4:$F$34))/RR_AVG[[#This Row],[Games Played]])</f>
        <v>#DIV/0!</v>
      </c>
      <c r="G63" s="203" t="e">
        <f>RR_AVG[[#This Row],[Total FGM]]/RR_AVG[[#This Row],[Total FGA]]</f>
        <v>#DIV/0!</v>
      </c>
      <c r="H63" s="216" t="e">
        <f>SUM((SUMIF($B$4:$B$34,RR_AVG[[#This Row],[Baller]],$H$4:$H$34))/RR_AVG[[#This Row],[Games Played]])</f>
        <v>#DIV/0!</v>
      </c>
      <c r="I63" s="92" t="e">
        <f>SUM((SUMIF($B$4:$B$34,RR_AVG[[#This Row],[Baller]],$I$4:$I$34))/RR_AVG[[#This Row],[Games Played]])</f>
        <v>#DIV/0!</v>
      </c>
      <c r="J63" s="91" t="e">
        <f>RR_AVG[[#This Row],[2PT FGM]]/RR_AVG[[#This Row],[2PT FGA]]</f>
        <v>#DIV/0!</v>
      </c>
      <c r="K63" s="92" t="e">
        <f>SUM((SUMIF($B$4:$B$34,RR_AVG[[#This Row],[Baller]],$K$4:$K$34))/RR_AVG[[#This Row],[Games Played]])</f>
        <v>#DIV/0!</v>
      </c>
      <c r="L63" s="92" t="e">
        <f>SUM((SUMIF($B$4:$B$34,RR_AVG[[#This Row],[Baller]],$L$4:$L$34))/RR_AVG[[#This Row],[Games Played]])</f>
        <v>#DIV/0!</v>
      </c>
      <c r="M63" s="91" t="e">
        <f>RR_AVG[[#This Row],[3PT FGM]]/RR_AVG[[#This Row],[3PT FGA]]</f>
        <v>#DIV/0!</v>
      </c>
      <c r="N63" s="92" t="e">
        <f>SUM((SUMIF($B$4:$B$34,RR_AVG[[#This Row],[Baller]],$N$4:$N$34))/RR_AVG[[#This Row],[Games Played]])</f>
        <v>#DIV/0!</v>
      </c>
      <c r="O63" s="92" t="e">
        <f>SUM((SUMIF($B$4:$B$34,RR_AVG[[#This Row],[Baller]],$O$4:$O$34))/RR_AVG[[#This Row],[Games Played]])</f>
        <v>#DIV/0!</v>
      </c>
      <c r="P63" s="99" t="e">
        <f>RR_AVG[[#This Row],[FTM]]/RR_AVG[[#This Row],[FTA]]</f>
        <v>#DIV/0!</v>
      </c>
      <c r="Q63" s="215" t="e">
        <f>SUM((SUMIF($B$4:$B$34,RR_AVG[[#This Row],[Baller]],$Q$4:$Q$34))/RR_AVG[[#This Row],[Games Played]])</f>
        <v>#DIV/0!</v>
      </c>
      <c r="R63" s="215" t="e">
        <f>SUM((SUMIF($B$4:$B$34,RR_AVG[[#This Row],[Baller]],$R$4:$R$34))/RR_AVG[[#This Row],[Games Played]])</f>
        <v>#DIV/0!</v>
      </c>
      <c r="S63" s="215" t="e">
        <f>SUM((SUMIF($B$4:$B$34,RR_AVG[[#This Row],[Baller]],$S$4:$S$34))/RR_AVG[[#This Row],[Games Played]])</f>
        <v>#DIV/0!</v>
      </c>
      <c r="T63" s="215" t="e">
        <f>SUM((SUMIF($B$4:$B$34,RR_AVG[[#This Row],[Baller]],$T$4:$T$34))/RR_AVG[[#This Row],[Games Played]])</f>
        <v>#DIV/0!</v>
      </c>
      <c r="U63" s="215" t="e">
        <f>SUM((SUMIF($B$4:$B$34,RR_AVG[[#This Row],[Baller]],$U$4:$U$34))/RR_AVG[[#This Row],[Games Played]])</f>
        <v>#DIV/0!</v>
      </c>
      <c r="V63" s="215" t="e">
        <f>SUM((SUMIF($B$4:$B$34,RR_AVG[[#This Row],[Baller]],$V$4:$V$34))/RR_AVG[[#This Row],[Games Played]])</f>
        <v>#DIV/0!</v>
      </c>
      <c r="W63" s="215" t="e">
        <f>SUM((SUMIF($B$4:$B$34,RR_AVG[[#This Row],[Baller]],$W$4:$W$34))/RR_AVG[[#This Row],[Games Played]])</f>
        <v>#DIV/0!</v>
      </c>
      <c r="X63" s="215" t="e">
        <f>SUM((SUMIF($B$4:$B$34,RR_AVG[[#This Row],[Baller]],$X$4:$X$34))/RR_AVG[[#This Row],[Games Played]])</f>
        <v>#DIV/0!</v>
      </c>
      <c r="Y63" s="215" t="e">
        <f>SUM((SUMIF($B$4:$B$34,RR_AVG[[#This Row],[Baller]],$Y$4:$Y$34))/RR_AVG[[#This Row],[Games Played]])</f>
        <v>#DIV/0!</v>
      </c>
      <c r="Z63" s="204" t="e">
        <f>RR_AVG[[#This Row],[Dimes]]/RR_AVG[[#This Row],[Turnovers]]</f>
        <v>#DIV/0!</v>
      </c>
    </row>
    <row r="64" spans="1:26" x14ac:dyDescent="0.2">
      <c r="A64" s="16" t="s">
        <v>37</v>
      </c>
      <c r="B64" t="s">
        <v>100</v>
      </c>
      <c r="C64" t="s">
        <v>209</v>
      </c>
      <c r="D64" s="86">
        <f t="shared" si="0"/>
        <v>0</v>
      </c>
      <c r="E64" s="215" t="e">
        <f>SUM((SUMIF($B$4:$B$34,RR_AVG[[#This Row],[Baller]],$E$4:$E$34))/RR_AVG[[#This Row],[Games Played]])</f>
        <v>#DIV/0!</v>
      </c>
      <c r="F64" s="215" t="e">
        <f>SUM((SUMIF($B$4:$B$34,RR_AVG[[#This Row],[Baller]],$F$4:$F$34))/RR_AVG[[#This Row],[Games Played]])</f>
        <v>#DIV/0!</v>
      </c>
      <c r="G64" s="203" t="e">
        <f>RR_AVG[[#This Row],[Total FGM]]/RR_AVG[[#This Row],[Total FGA]]</f>
        <v>#DIV/0!</v>
      </c>
      <c r="H64" s="216" t="e">
        <f>SUM((SUMIF($B$4:$B$34,RR_AVG[[#This Row],[Baller]],$H$4:$H$34))/RR_AVG[[#This Row],[Games Played]])</f>
        <v>#DIV/0!</v>
      </c>
      <c r="I64" s="92" t="e">
        <f>SUM((SUMIF($B$4:$B$34,RR_AVG[[#This Row],[Baller]],$I$4:$I$34))/RR_AVG[[#This Row],[Games Played]])</f>
        <v>#DIV/0!</v>
      </c>
      <c r="J64" s="91" t="e">
        <f>RR_AVG[[#This Row],[2PT FGM]]/RR_AVG[[#This Row],[2PT FGA]]</f>
        <v>#DIV/0!</v>
      </c>
      <c r="K64" s="92" t="e">
        <f>SUM((SUMIF($B$4:$B$34,RR_AVG[[#This Row],[Baller]],$K$4:$K$34))/RR_AVG[[#This Row],[Games Played]])</f>
        <v>#DIV/0!</v>
      </c>
      <c r="L64" s="92" t="e">
        <f>SUM((SUMIF($B$4:$B$34,RR_AVG[[#This Row],[Baller]],$L$4:$L$34))/RR_AVG[[#This Row],[Games Played]])</f>
        <v>#DIV/0!</v>
      </c>
      <c r="M64" s="91" t="e">
        <f>RR_AVG[[#This Row],[3PT FGM]]/RR_AVG[[#This Row],[3PT FGA]]</f>
        <v>#DIV/0!</v>
      </c>
      <c r="N64" s="92" t="e">
        <f>SUM((SUMIF($B$4:$B$34,RR_AVG[[#This Row],[Baller]],$N$4:$N$34))/RR_AVG[[#This Row],[Games Played]])</f>
        <v>#DIV/0!</v>
      </c>
      <c r="O64" s="92" t="e">
        <f>SUM((SUMIF($B$4:$B$34,RR_AVG[[#This Row],[Baller]],$O$4:$O$34))/RR_AVG[[#This Row],[Games Played]])</f>
        <v>#DIV/0!</v>
      </c>
      <c r="P64" s="99" t="e">
        <f>RR_AVG[[#This Row],[FTM]]/RR_AVG[[#This Row],[FTA]]</f>
        <v>#DIV/0!</v>
      </c>
      <c r="Q64" s="215" t="e">
        <f>SUM((SUMIF($B$4:$B$34,RR_AVG[[#This Row],[Baller]],$Q$4:$Q$34))/RR_AVG[[#This Row],[Games Played]])</f>
        <v>#DIV/0!</v>
      </c>
      <c r="R64" s="215" t="e">
        <f>SUM((SUMIF($B$4:$B$34,RR_AVG[[#This Row],[Baller]],$R$4:$R$34))/RR_AVG[[#This Row],[Games Played]])</f>
        <v>#DIV/0!</v>
      </c>
      <c r="S64" s="215" t="e">
        <f>SUM((SUMIF($B$4:$B$34,RR_AVG[[#This Row],[Baller]],$S$4:$S$34))/RR_AVG[[#This Row],[Games Played]])</f>
        <v>#DIV/0!</v>
      </c>
      <c r="T64" s="215" t="e">
        <f>SUM((SUMIF($B$4:$B$34,RR_AVG[[#This Row],[Baller]],$T$4:$T$34))/RR_AVG[[#This Row],[Games Played]])</f>
        <v>#DIV/0!</v>
      </c>
      <c r="U64" s="215" t="e">
        <f>SUM((SUMIF($B$4:$B$34,RR_AVG[[#This Row],[Baller]],$U$4:$U$34))/RR_AVG[[#This Row],[Games Played]])</f>
        <v>#DIV/0!</v>
      </c>
      <c r="V64" s="215" t="e">
        <f>SUM((SUMIF($B$4:$B$34,RR_AVG[[#This Row],[Baller]],$V$4:$V$34))/RR_AVG[[#This Row],[Games Played]])</f>
        <v>#DIV/0!</v>
      </c>
      <c r="W64" s="215" t="e">
        <f>SUM((SUMIF($B$4:$B$34,RR_AVG[[#This Row],[Baller]],$W$4:$W$34))/RR_AVG[[#This Row],[Games Played]])</f>
        <v>#DIV/0!</v>
      </c>
      <c r="X64" s="215" t="e">
        <f>SUM((SUMIF($B$4:$B$34,RR_AVG[[#This Row],[Baller]],$X$4:$X$34))/RR_AVG[[#This Row],[Games Played]])</f>
        <v>#DIV/0!</v>
      </c>
      <c r="Y64" s="215" t="e">
        <f>SUM((SUMIF($B$4:$B$34,RR_AVG[[#This Row],[Baller]],$Y$4:$Y$34))/RR_AVG[[#This Row],[Games Played]])</f>
        <v>#DIV/0!</v>
      </c>
      <c r="Z64" s="204" t="e">
        <f>RR_AVG[[#This Row],[Dimes]]/RR_AVG[[#This Row],[Turnovers]]</f>
        <v>#DIV/0!</v>
      </c>
    </row>
    <row r="65" spans="1:26" x14ac:dyDescent="0.2">
      <c r="A65" s="14" t="s">
        <v>32</v>
      </c>
      <c r="B65" t="s">
        <v>103</v>
      </c>
      <c r="C65" t="s">
        <v>209</v>
      </c>
      <c r="D65" s="86">
        <f t="shared" si="0"/>
        <v>0</v>
      </c>
      <c r="E65" s="215" t="e">
        <f>SUM((SUMIF($B$4:$B$34,RR_AVG[[#This Row],[Baller]],$E$4:$E$34))/RR_AVG[[#This Row],[Games Played]])</f>
        <v>#DIV/0!</v>
      </c>
      <c r="F65" s="215" t="e">
        <f>SUM((SUMIF($B$4:$B$34,RR_AVG[[#This Row],[Baller]],$F$4:$F$34))/RR_AVG[[#This Row],[Games Played]])</f>
        <v>#DIV/0!</v>
      </c>
      <c r="G65" s="203" t="e">
        <f>RR_AVG[[#This Row],[Total FGM]]/RR_AVG[[#This Row],[Total FGA]]</f>
        <v>#DIV/0!</v>
      </c>
      <c r="H65" s="216" t="e">
        <f>SUM((SUMIF($B$4:$B$34,RR_AVG[[#This Row],[Baller]],$H$4:$H$34))/RR_AVG[[#This Row],[Games Played]])</f>
        <v>#DIV/0!</v>
      </c>
      <c r="I65" s="92" t="e">
        <f>SUM((SUMIF($B$4:$B$34,RR_AVG[[#This Row],[Baller]],$I$4:$I$34))/RR_AVG[[#This Row],[Games Played]])</f>
        <v>#DIV/0!</v>
      </c>
      <c r="J65" s="91" t="e">
        <f>RR_AVG[[#This Row],[2PT FGM]]/RR_AVG[[#This Row],[2PT FGA]]</f>
        <v>#DIV/0!</v>
      </c>
      <c r="K65" s="92" t="e">
        <f>SUM((SUMIF($B$4:$B$34,RR_AVG[[#This Row],[Baller]],$K$4:$K$34))/RR_AVG[[#This Row],[Games Played]])</f>
        <v>#DIV/0!</v>
      </c>
      <c r="L65" s="92" t="e">
        <f>SUM((SUMIF($B$4:$B$34,RR_AVG[[#This Row],[Baller]],$L$4:$L$34))/RR_AVG[[#This Row],[Games Played]])</f>
        <v>#DIV/0!</v>
      </c>
      <c r="M65" s="91" t="e">
        <f>RR_AVG[[#This Row],[3PT FGM]]/RR_AVG[[#This Row],[3PT FGA]]</f>
        <v>#DIV/0!</v>
      </c>
      <c r="N65" s="92" t="e">
        <f>SUM((SUMIF($B$4:$B$34,RR_AVG[[#This Row],[Baller]],$N$4:$N$34))/RR_AVG[[#This Row],[Games Played]])</f>
        <v>#DIV/0!</v>
      </c>
      <c r="O65" s="92" t="e">
        <f>SUM((SUMIF($B$4:$B$34,RR_AVG[[#This Row],[Baller]],$O$4:$O$34))/RR_AVG[[#This Row],[Games Played]])</f>
        <v>#DIV/0!</v>
      </c>
      <c r="P65" s="99" t="e">
        <f>RR_AVG[[#This Row],[FTM]]/RR_AVG[[#This Row],[FTA]]</f>
        <v>#DIV/0!</v>
      </c>
      <c r="Q65" s="215" t="e">
        <f>SUM((SUMIF($B$4:$B$34,RR_AVG[[#This Row],[Baller]],$Q$4:$Q$34))/RR_AVG[[#This Row],[Games Played]])</f>
        <v>#DIV/0!</v>
      </c>
      <c r="R65" s="215" t="e">
        <f>SUM((SUMIF($B$4:$B$34,RR_AVG[[#This Row],[Baller]],$R$4:$R$34))/RR_AVG[[#This Row],[Games Played]])</f>
        <v>#DIV/0!</v>
      </c>
      <c r="S65" s="215" t="e">
        <f>SUM((SUMIF($B$4:$B$34,RR_AVG[[#This Row],[Baller]],$S$4:$S$34))/RR_AVG[[#This Row],[Games Played]])</f>
        <v>#DIV/0!</v>
      </c>
      <c r="T65" s="215" t="e">
        <f>SUM((SUMIF($B$4:$B$34,RR_AVG[[#This Row],[Baller]],$T$4:$T$34))/RR_AVG[[#This Row],[Games Played]])</f>
        <v>#DIV/0!</v>
      </c>
      <c r="U65" s="215" t="e">
        <f>SUM((SUMIF($B$4:$B$34,RR_AVG[[#This Row],[Baller]],$U$4:$U$34))/RR_AVG[[#This Row],[Games Played]])</f>
        <v>#DIV/0!</v>
      </c>
      <c r="V65" s="215" t="e">
        <f>SUM((SUMIF($B$4:$B$34,RR_AVG[[#This Row],[Baller]],$V$4:$V$34))/RR_AVG[[#This Row],[Games Played]])</f>
        <v>#DIV/0!</v>
      </c>
      <c r="W65" s="215" t="e">
        <f>SUM((SUMIF($B$4:$B$34,RR_AVG[[#This Row],[Baller]],$W$4:$W$34))/RR_AVG[[#This Row],[Games Played]])</f>
        <v>#DIV/0!</v>
      </c>
      <c r="X65" s="215" t="e">
        <f>SUM((SUMIF($B$4:$B$34,RR_AVG[[#This Row],[Baller]],$X$4:$X$34))/RR_AVG[[#This Row],[Games Played]])</f>
        <v>#DIV/0!</v>
      </c>
      <c r="Y65" s="215" t="e">
        <f>SUM((SUMIF($B$4:$B$34,RR_AVG[[#This Row],[Baller]],$Y$4:$Y$34))/RR_AVG[[#This Row],[Games Played]])</f>
        <v>#DIV/0!</v>
      </c>
      <c r="Z65" s="204" t="e">
        <f>RR_AVG[[#This Row],[Dimes]]/RR_AVG[[#This Row],[Turnovers]]</f>
        <v>#DIV/0!</v>
      </c>
    </row>
    <row r="66" spans="1:26" x14ac:dyDescent="0.2">
      <c r="A66" s="14" t="s">
        <v>29</v>
      </c>
      <c r="B66" t="s">
        <v>24</v>
      </c>
      <c r="C66" t="s">
        <v>209</v>
      </c>
      <c r="D66" s="86">
        <f t="shared" si="0"/>
        <v>0</v>
      </c>
      <c r="E66" s="215" t="e">
        <f>SUM((SUMIF($B$4:$B$34,RR_AVG[[#This Row],[Baller]],$E$4:$E$34))/RR_AVG[[#This Row],[Games Played]])</f>
        <v>#DIV/0!</v>
      </c>
      <c r="F66" s="215" t="e">
        <f>SUM((SUMIF($B$4:$B$34,RR_AVG[[#This Row],[Baller]],$F$4:$F$34))/RR_AVG[[#This Row],[Games Played]])</f>
        <v>#DIV/0!</v>
      </c>
      <c r="G66" s="203" t="e">
        <f>RR_AVG[[#This Row],[Total FGM]]/RR_AVG[[#This Row],[Total FGA]]</f>
        <v>#DIV/0!</v>
      </c>
      <c r="H66" s="216" t="e">
        <f>SUM((SUMIF($B$4:$B$34,RR_AVG[[#This Row],[Baller]],$H$4:$H$34))/RR_AVG[[#This Row],[Games Played]])</f>
        <v>#DIV/0!</v>
      </c>
      <c r="I66" s="92" t="e">
        <f>SUM((SUMIF($B$4:$B$34,RR_AVG[[#This Row],[Baller]],$I$4:$I$34))/RR_AVG[[#This Row],[Games Played]])</f>
        <v>#DIV/0!</v>
      </c>
      <c r="J66" s="91" t="e">
        <f>RR_AVG[[#This Row],[2PT FGM]]/RR_AVG[[#This Row],[2PT FGA]]</f>
        <v>#DIV/0!</v>
      </c>
      <c r="K66" s="92" t="e">
        <f>SUM((SUMIF($B$4:$B$34,RR_AVG[[#This Row],[Baller]],$K$4:$K$34))/RR_AVG[[#This Row],[Games Played]])</f>
        <v>#DIV/0!</v>
      </c>
      <c r="L66" s="92" t="e">
        <f>SUM((SUMIF($B$4:$B$34,RR_AVG[[#This Row],[Baller]],$L$4:$L$34))/RR_AVG[[#This Row],[Games Played]])</f>
        <v>#DIV/0!</v>
      </c>
      <c r="M66" s="91" t="e">
        <f>RR_AVG[[#This Row],[3PT FGM]]/RR_AVG[[#This Row],[3PT FGA]]</f>
        <v>#DIV/0!</v>
      </c>
      <c r="N66" s="92" t="e">
        <f>SUM((SUMIF($B$4:$B$34,RR_AVG[[#This Row],[Baller]],$N$4:$N$34))/RR_AVG[[#This Row],[Games Played]])</f>
        <v>#DIV/0!</v>
      </c>
      <c r="O66" s="92" t="e">
        <f>SUM((SUMIF($B$4:$B$34,RR_AVG[[#This Row],[Baller]],$O$4:$O$34))/RR_AVG[[#This Row],[Games Played]])</f>
        <v>#DIV/0!</v>
      </c>
      <c r="P66" s="99" t="e">
        <f>RR_AVG[[#This Row],[FTM]]/RR_AVG[[#This Row],[FTA]]</f>
        <v>#DIV/0!</v>
      </c>
      <c r="Q66" s="215" t="e">
        <f>SUM((SUMIF($B$4:$B$34,RR_AVG[[#This Row],[Baller]],$Q$4:$Q$34))/RR_AVG[[#This Row],[Games Played]])</f>
        <v>#DIV/0!</v>
      </c>
      <c r="R66" s="215" t="e">
        <f>SUM((SUMIF($B$4:$B$34,RR_AVG[[#This Row],[Baller]],$R$4:$R$34))/RR_AVG[[#This Row],[Games Played]])</f>
        <v>#DIV/0!</v>
      </c>
      <c r="S66" s="215" t="e">
        <f>SUM((SUMIF($B$4:$B$34,RR_AVG[[#This Row],[Baller]],$S$4:$S$34))/RR_AVG[[#This Row],[Games Played]])</f>
        <v>#DIV/0!</v>
      </c>
      <c r="T66" s="215" t="e">
        <f>SUM((SUMIF($B$4:$B$34,RR_AVG[[#This Row],[Baller]],$T$4:$T$34))/RR_AVG[[#This Row],[Games Played]])</f>
        <v>#DIV/0!</v>
      </c>
      <c r="U66" s="215" t="e">
        <f>SUM((SUMIF($B$4:$B$34,RR_AVG[[#This Row],[Baller]],$U$4:$U$34))/RR_AVG[[#This Row],[Games Played]])</f>
        <v>#DIV/0!</v>
      </c>
      <c r="V66" s="215" t="e">
        <f>SUM((SUMIF($B$4:$B$34,RR_AVG[[#This Row],[Baller]],$V$4:$V$34))/RR_AVG[[#This Row],[Games Played]])</f>
        <v>#DIV/0!</v>
      </c>
      <c r="W66" s="215" t="e">
        <f>SUM((SUMIF($B$4:$B$34,RR_AVG[[#This Row],[Baller]],$W$4:$W$34))/RR_AVG[[#This Row],[Games Played]])</f>
        <v>#DIV/0!</v>
      </c>
      <c r="X66" s="215" t="e">
        <f>SUM((SUMIF($B$4:$B$34,RR_AVG[[#This Row],[Baller]],$X$4:$X$34))/RR_AVG[[#This Row],[Games Played]])</f>
        <v>#DIV/0!</v>
      </c>
      <c r="Y66" s="215" t="e">
        <f>SUM((SUMIF($B$4:$B$34,RR_AVG[[#This Row],[Baller]],$Y$4:$Y$34))/RR_AVG[[#This Row],[Games Played]])</f>
        <v>#DIV/0!</v>
      </c>
      <c r="Z66" s="204" t="e">
        <f>RR_AVG[[#This Row],[Dimes]]/RR_AVG[[#This Row],[Turnovers]]</f>
        <v>#DIV/0!</v>
      </c>
    </row>
    <row r="67" spans="1:26" x14ac:dyDescent="0.2">
      <c r="A67" s="14" t="s">
        <v>33</v>
      </c>
      <c r="B67" t="s">
        <v>135</v>
      </c>
      <c r="C67" t="s">
        <v>209</v>
      </c>
      <c r="D67" s="193">
        <f>SUMIF($B$4:$B$34,B67,$D$4:$D$34)</f>
        <v>0</v>
      </c>
      <c r="E67" s="215" t="e">
        <f>SUM((SUMIF($B$4:$B$34,RR_AVG[[#This Row],[Baller]],$E$4:$E$34))/RR_AVG[[#This Row],[Games Played]])</f>
        <v>#DIV/0!</v>
      </c>
      <c r="F67" s="215" t="e">
        <f>SUM((SUMIF($B$4:$B$34,RR_AVG[[#This Row],[Baller]],$F$4:$F$34))/RR_AVG[[#This Row],[Games Played]])</f>
        <v>#DIV/0!</v>
      </c>
      <c r="G67" s="206" t="e">
        <f>RR_AVG[[#This Row],[Total FGM]]/RR_AVG[[#This Row],[Total FGA]]</f>
        <v>#DIV/0!</v>
      </c>
      <c r="H67" s="216" t="e">
        <f>SUM((SUMIF($B$4:$B$34,RR_AVG[[#This Row],[Baller]],$H$4:$H$34))/RR_AVG[[#This Row],[Games Played]])</f>
        <v>#DIV/0!</v>
      </c>
      <c r="I67" s="92" t="e">
        <f>SUM((SUMIF($B$4:$B$34,RR_AVG[[#This Row],[Baller]],$I$4:$I$34))/RR_AVG[[#This Row],[Games Played]])</f>
        <v>#DIV/0!</v>
      </c>
      <c r="J67" s="209" t="e">
        <f>RR_AVG[[#This Row],[2PT FGM]]/RR_AVG[[#This Row],[2PT FGA]]</f>
        <v>#DIV/0!</v>
      </c>
      <c r="K67" s="92" t="e">
        <f>SUM((SUMIF($B$4:$B$34,RR_AVG[[#This Row],[Baller]],$K$4:$K$34))/RR_AVG[[#This Row],[Games Played]])</f>
        <v>#DIV/0!</v>
      </c>
      <c r="L67" s="92" t="e">
        <f>SUM((SUMIF($B$4:$B$34,RR_AVG[[#This Row],[Baller]],$L$4:$L$34))/RR_AVG[[#This Row],[Games Played]])</f>
        <v>#DIV/0!</v>
      </c>
      <c r="M67" s="209" t="e">
        <f>RR_AVG[[#This Row],[3PT FGM]]/RR_AVG[[#This Row],[3PT FGA]]</f>
        <v>#DIV/0!</v>
      </c>
      <c r="N67" s="92" t="e">
        <f>SUM((SUMIF($B$4:$B$34,RR_AVG[[#This Row],[Baller]],$N$4:$N$34))/RR_AVG[[#This Row],[Games Played]])</f>
        <v>#DIV/0!</v>
      </c>
      <c r="O67" s="92" t="e">
        <f>SUM((SUMIF($B$4:$B$34,RR_AVG[[#This Row],[Baller]],$O$4:$O$34))/RR_AVG[[#This Row],[Games Played]])</f>
        <v>#DIV/0!</v>
      </c>
      <c r="P67" s="210" t="e">
        <f>RR_AVG[[#This Row],[FTM]]/RR_AVG[[#This Row],[FTA]]</f>
        <v>#DIV/0!</v>
      </c>
      <c r="Q67" s="215" t="e">
        <f>SUM((SUMIF($B$4:$B$34,RR_AVG[[#This Row],[Baller]],$Q$4:$Q$34))/RR_AVG[[#This Row],[Games Played]])</f>
        <v>#DIV/0!</v>
      </c>
      <c r="R67" s="215" t="e">
        <f>SUM((SUMIF($B$4:$B$34,RR_AVG[[#This Row],[Baller]],$R$4:$R$34))/RR_AVG[[#This Row],[Games Played]])</f>
        <v>#DIV/0!</v>
      </c>
      <c r="S67" s="215" t="e">
        <f>SUM((SUMIF($B$4:$B$34,RR_AVG[[#This Row],[Baller]],$S$4:$S$34))/RR_AVG[[#This Row],[Games Played]])</f>
        <v>#DIV/0!</v>
      </c>
      <c r="T67" s="215" t="e">
        <f>SUM((SUMIF($B$4:$B$34,RR_AVG[[#This Row],[Baller]],$T$4:$T$34))/RR_AVG[[#This Row],[Games Played]])</f>
        <v>#DIV/0!</v>
      </c>
      <c r="U67" s="215" t="e">
        <f>SUM((SUMIF($B$4:$B$34,RR_AVG[[#This Row],[Baller]],$U$4:$U$34))/RR_AVG[[#This Row],[Games Played]])</f>
        <v>#DIV/0!</v>
      </c>
      <c r="V67" s="215" t="e">
        <f>SUM((SUMIF($B$4:$B$34,RR_AVG[[#This Row],[Baller]],$V$4:$V$34))/RR_AVG[[#This Row],[Games Played]])</f>
        <v>#DIV/0!</v>
      </c>
      <c r="W67" s="215" t="e">
        <f>SUM((SUMIF($B$4:$B$34,RR_AVG[[#This Row],[Baller]],$W$4:$W$34))/RR_AVG[[#This Row],[Games Played]])</f>
        <v>#DIV/0!</v>
      </c>
      <c r="X67" s="215" t="e">
        <f>SUM((SUMIF($B$4:$B$34,RR_AVG[[#This Row],[Baller]],$X$4:$X$34))/RR_AVG[[#This Row],[Games Played]])</f>
        <v>#DIV/0!</v>
      </c>
      <c r="Y67" s="215" t="e">
        <f>SUM((SUMIF($B$4:$B$34,RR_AVG[[#This Row],[Baller]],$Y$4:$Y$34))/RR_AVG[[#This Row],[Games Played]])</f>
        <v>#DIV/0!</v>
      </c>
      <c r="Z67" s="206" t="e">
        <f>RR_AVG[[#This Row],[Dimes]]/RR_AVG[[#This Row],[Turnovers]]</f>
        <v>#DIV/0!</v>
      </c>
    </row>
    <row r="68" spans="1:26" ht="16" thickBot="1" x14ac:dyDescent="0.25">
      <c r="A68" s="14" t="s">
        <v>55</v>
      </c>
      <c r="B68" t="s">
        <v>85</v>
      </c>
      <c r="C68" t="s">
        <v>209</v>
      </c>
      <c r="D68" s="86">
        <f t="shared" si="0"/>
        <v>0</v>
      </c>
      <c r="E68" s="215" t="e">
        <f>SUM((SUMIF($B$4:$B$34,RR_AVG[[#This Row],[Baller]],$E$4:$E$34))/RR_AVG[[#This Row],[Games Played]])</f>
        <v>#DIV/0!</v>
      </c>
      <c r="F68" s="215" t="e">
        <f>SUM((SUMIF($B$4:$B$34,RR_AVG[[#This Row],[Baller]],$F$4:$F$34))/RR_AVG[[#This Row],[Games Played]])</f>
        <v>#DIV/0!</v>
      </c>
      <c r="G68" s="203" t="e">
        <f>RR_AVG[[#This Row],[Total FGM]]/RR_AVG[[#This Row],[Total FGA]]</f>
        <v>#DIV/0!</v>
      </c>
      <c r="H68" s="217" t="e">
        <f>SUM((SUMIF($B$4:$B$34,RR_AVG[[#This Row],[Baller]],$H$4:$H$34))/RR_AVG[[#This Row],[Games Played]])</f>
        <v>#DIV/0!</v>
      </c>
      <c r="I68" s="218" t="e">
        <f>SUM((SUMIF($B$4:$B$34,RR_AVG[[#This Row],[Baller]],$I$4:$I$34))/RR_AVG[[#This Row],[Games Played]])</f>
        <v>#DIV/0!</v>
      </c>
      <c r="J68" s="213" t="e">
        <f>RR_AVG[[#This Row],[2PT FGM]]/RR_AVG[[#This Row],[2PT FGA]]</f>
        <v>#DIV/0!</v>
      </c>
      <c r="K68" s="218" t="e">
        <f>SUM((SUMIF($B$4:$B$34,RR_AVG[[#This Row],[Baller]],$K$4:$K$34))/RR_AVG[[#This Row],[Games Played]])</f>
        <v>#DIV/0!</v>
      </c>
      <c r="L68" s="218" t="e">
        <f>SUM((SUMIF($B$4:$B$34,RR_AVG[[#This Row],[Baller]],$L$4:$L$34))/RR_AVG[[#This Row],[Games Played]])</f>
        <v>#DIV/0!</v>
      </c>
      <c r="M68" s="213" t="e">
        <f>RR_AVG[[#This Row],[3PT FGM]]/RR_AVG[[#This Row],[3PT FGA]]</f>
        <v>#DIV/0!</v>
      </c>
      <c r="N68" s="218" t="e">
        <f>SUM((SUMIF($B$4:$B$34,RR_AVG[[#This Row],[Baller]],$N$4:$N$34))/RR_AVG[[#This Row],[Games Played]])</f>
        <v>#DIV/0!</v>
      </c>
      <c r="O68" s="218" t="e">
        <f>SUM((SUMIF($B$4:$B$34,RR_AVG[[#This Row],[Baller]],$O$4:$O$34))/RR_AVG[[#This Row],[Games Played]])</f>
        <v>#DIV/0!</v>
      </c>
      <c r="P68" s="214" t="e">
        <f>RR_AVG[[#This Row],[FTM]]/RR_AVG[[#This Row],[FTA]]</f>
        <v>#DIV/0!</v>
      </c>
      <c r="Q68" s="215" t="e">
        <f>SUM((SUMIF($B$4:$B$34,RR_AVG[[#This Row],[Baller]],$Q$4:$Q$34))/RR_AVG[[#This Row],[Games Played]])</f>
        <v>#DIV/0!</v>
      </c>
      <c r="R68" s="215" t="e">
        <f>SUM((SUMIF($B$4:$B$34,RR_AVG[[#This Row],[Baller]],$R$4:$R$34))/RR_AVG[[#This Row],[Games Played]])</f>
        <v>#DIV/0!</v>
      </c>
      <c r="S68" s="215" t="e">
        <f>SUM((SUMIF($B$4:$B$34,RR_AVG[[#This Row],[Baller]],$S$4:$S$34))/RR_AVG[[#This Row],[Games Played]])</f>
        <v>#DIV/0!</v>
      </c>
      <c r="T68" s="215" t="e">
        <f>SUM((SUMIF($B$4:$B$34,RR_AVG[[#This Row],[Baller]],$T$4:$T$34))/RR_AVG[[#This Row],[Games Played]])</f>
        <v>#DIV/0!</v>
      </c>
      <c r="U68" s="215" t="e">
        <f>SUM((SUMIF($B$4:$B$34,RR_AVG[[#This Row],[Baller]],$U$4:$U$34))/RR_AVG[[#This Row],[Games Played]])</f>
        <v>#DIV/0!</v>
      </c>
      <c r="V68" s="215" t="e">
        <f>SUM((SUMIF($B$4:$B$34,RR_AVG[[#This Row],[Baller]],$V$4:$V$34))/RR_AVG[[#This Row],[Games Played]])</f>
        <v>#DIV/0!</v>
      </c>
      <c r="W68" s="215" t="e">
        <f>SUM((SUMIF($B$4:$B$34,RR_AVG[[#This Row],[Baller]],$W$4:$W$34))/RR_AVG[[#This Row],[Games Played]])</f>
        <v>#DIV/0!</v>
      </c>
      <c r="X68" s="215" t="e">
        <f>SUM((SUMIF($B$4:$B$34,RR_AVG[[#This Row],[Baller]],$X$4:$X$34))/RR_AVG[[#This Row],[Games Played]])</f>
        <v>#DIV/0!</v>
      </c>
      <c r="Y68" s="215" t="e">
        <f>SUM((SUMIF($B$4:$B$34,RR_AVG[[#This Row],[Baller]],$Y$4:$Y$34))/RR_AVG[[#This Row],[Games Played]])</f>
        <v>#DIV/0!</v>
      </c>
      <c r="Z68" s="204" t="e">
        <f>RR_AVG[[#This Row],[Dimes]]/RR_AVG[[#This Row],[Turnovers]]</f>
        <v>#DIV/0!</v>
      </c>
    </row>
    <row r="72" spans="1:26" x14ac:dyDescent="0.2">
      <c r="J72" s="87"/>
      <c r="N72" s="13"/>
      <c r="O72"/>
    </row>
  </sheetData>
  <pageMargins left="0.7" right="0.7" top="0.75" bottom="0.75" header="0.3" footer="0.3"/>
  <tableParts count="2">
    <tablePart r:id="rId1"/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D8CB-DEFC-407C-A57C-64A455F39406}">
  <sheetPr>
    <tabColor theme="1"/>
  </sheetPr>
  <dimension ref="A1:X25"/>
  <sheetViews>
    <sheetView showGridLines="0" zoomScale="95" zoomScaleNormal="95" workbookViewId="0">
      <selection activeCell="E19" sqref="E19"/>
    </sheetView>
  </sheetViews>
  <sheetFormatPr baseColWidth="10" defaultColWidth="8.83203125" defaultRowHeight="15" x14ac:dyDescent="0.2"/>
  <cols>
    <col min="1" max="1" width="25.5" bestFit="1" customWidth="1"/>
    <col min="2" max="2" width="15.5" customWidth="1"/>
    <col min="3" max="3" width="12.33203125" customWidth="1"/>
    <col min="4" max="4" width="11.6640625" customWidth="1"/>
    <col min="5" max="5" width="14" customWidth="1"/>
    <col min="6" max="6" width="11" customWidth="1"/>
    <col min="7" max="7" width="10.5" customWidth="1"/>
    <col min="8" max="8" width="10.6640625" customWidth="1"/>
    <col min="9" max="9" width="11" customWidth="1"/>
    <col min="10" max="10" width="10.5" customWidth="1"/>
    <col min="11" max="11" width="10.6640625" customWidth="1"/>
    <col min="15" max="15" width="11.83203125" customWidth="1"/>
    <col min="17" max="17" width="13.5" customWidth="1"/>
    <col min="18" max="18" width="13.1640625" customWidth="1"/>
    <col min="19" max="19" width="11.5" customWidth="1"/>
    <col min="21" max="21" width="10.1640625" customWidth="1"/>
    <col min="23" max="23" width="12.33203125" customWidth="1"/>
    <col min="24" max="24" width="11.6640625" customWidth="1"/>
  </cols>
  <sheetData>
    <row r="1" spans="1:24" x14ac:dyDescent="0.2">
      <c r="A1" t="s">
        <v>141</v>
      </c>
    </row>
    <row r="2" spans="1:24" ht="16" thickBot="1" x14ac:dyDescent="0.25">
      <c r="A2" s="121" t="s">
        <v>75</v>
      </c>
      <c r="B2" s="121"/>
      <c r="C2" s="121"/>
      <c r="D2" s="122"/>
      <c r="E2" s="121"/>
      <c r="F2" s="121"/>
      <c r="G2" s="122"/>
      <c r="H2" s="121"/>
      <c r="I2" s="121"/>
      <c r="J2" s="122"/>
      <c r="K2" s="121"/>
      <c r="L2" s="121"/>
      <c r="M2" s="122"/>
      <c r="N2" s="121"/>
      <c r="O2" s="121"/>
      <c r="P2" s="121"/>
      <c r="Q2" s="121"/>
      <c r="R2" s="121"/>
      <c r="S2" s="121"/>
      <c r="T2" s="121"/>
      <c r="U2" s="121"/>
      <c r="V2" s="121"/>
      <c r="W2" s="122"/>
      <c r="X2" s="121"/>
    </row>
    <row r="3" spans="1:24" ht="16" x14ac:dyDescent="0.2">
      <c r="A3" s="123" t="s">
        <v>23</v>
      </c>
      <c r="B3" s="123" t="s">
        <v>138</v>
      </c>
      <c r="C3" s="54" t="s">
        <v>0</v>
      </c>
      <c r="D3" s="54" t="s">
        <v>1</v>
      </c>
      <c r="E3" s="88" t="s">
        <v>2</v>
      </c>
      <c r="F3" s="110" t="s">
        <v>3</v>
      </c>
      <c r="G3" s="111" t="s">
        <v>4</v>
      </c>
      <c r="H3" s="112" t="s">
        <v>5</v>
      </c>
      <c r="I3" s="111" t="s">
        <v>6</v>
      </c>
      <c r="J3" s="111" t="s">
        <v>7</v>
      </c>
      <c r="K3" s="112" t="s">
        <v>8</v>
      </c>
      <c r="L3" s="111" t="s">
        <v>9</v>
      </c>
      <c r="M3" s="111" t="s">
        <v>10</v>
      </c>
      <c r="N3" s="113" t="s">
        <v>11</v>
      </c>
      <c r="O3" s="54" t="s">
        <v>12</v>
      </c>
      <c r="P3" s="54" t="s">
        <v>13</v>
      </c>
      <c r="Q3" s="54" t="s">
        <v>14</v>
      </c>
      <c r="R3" s="54" t="s">
        <v>15</v>
      </c>
      <c r="S3" s="54" t="s">
        <v>16</v>
      </c>
      <c r="T3" s="54" t="s">
        <v>17</v>
      </c>
      <c r="U3" s="54" t="s">
        <v>18</v>
      </c>
      <c r="V3" s="54" t="s">
        <v>19</v>
      </c>
      <c r="W3" s="54" t="s">
        <v>20</v>
      </c>
      <c r="X3" s="88" t="s">
        <v>21</v>
      </c>
    </row>
    <row r="4" spans="1:24" x14ac:dyDescent="0.2">
      <c r="A4" s="164" t="s">
        <v>208</v>
      </c>
      <c r="B4" s="86"/>
      <c r="C4" s="194">
        <f>SUMIF(RR!$C$3:$C$34,A4,RR!$E$3:$E$34)</f>
        <v>0</v>
      </c>
      <c r="D4" s="194">
        <f>SUMIF(RR!$C$3:$C$34,A4,RR!$F$3:$F$34)</f>
        <v>0</v>
      </c>
      <c r="E4" s="195" t="e">
        <f>RR_TEAM_TOT[[#This Row],[Total FGM]]/RR_TEAM_TOT[[#This Row],[Total FGA]]</f>
        <v>#DIV/0!</v>
      </c>
      <c r="F4" s="196">
        <f>SUMIF(RR!$C$3:$C$34,A4,RR!$H$3:$H$34)</f>
        <v>0</v>
      </c>
      <c r="G4" s="197">
        <f>SUMIF(RR!$C$3:$C$34,A4,RR!$I$3:$I$34)</f>
        <v>0</v>
      </c>
      <c r="H4" s="198" t="e">
        <f>RR_TEAM_TOT[[#This Row],[2PT FGM]]/RR_TEAM_TOT[[#This Row],[2PT FGA]]</f>
        <v>#DIV/0!</v>
      </c>
      <c r="I4" s="197">
        <f>SUMIF(RR!$C$3:$C$34,A4,RR!$K$3:$K$34)</f>
        <v>0</v>
      </c>
      <c r="J4" s="197">
        <f>SUMIF(RR!$C$3:$C$34,A4,RR!$L$3:$L$34)</f>
        <v>0</v>
      </c>
      <c r="K4" s="198" t="e">
        <f>RR_TEAM_TOT[[#This Row],[3PT FGM]]/RR_TEAM_TOT[[#This Row],[3PT FGA]]</f>
        <v>#DIV/0!</v>
      </c>
      <c r="L4" s="197">
        <f>SUMIF(RR!$C$3:$C$34,A4,RR!$N$3:$N$34)</f>
        <v>0</v>
      </c>
      <c r="M4" s="197">
        <f>SUMIF(RR!$C$3:$C$34,A4,RR!$O$3:$O$34)</f>
        <v>0</v>
      </c>
      <c r="N4" s="199" t="e">
        <f>RR_TEAM_TOT[[#This Row],[FTM]]/RR_TEAM_TOT[[#This Row],[FTA]]</f>
        <v>#DIV/0!</v>
      </c>
      <c r="O4" s="194">
        <f>SUMIF(RR!$C$3:$C$34,A4,RR!$Q$3:$Q$34)</f>
        <v>0</v>
      </c>
      <c r="P4" s="194">
        <f>SUMIF(RR!$C$3:$C$34,A4,RR!$R$3:$R$34)</f>
        <v>0</v>
      </c>
      <c r="Q4" s="194">
        <f>SUMIF(RR!$C$3:$C$34,A4,RR!$S$3:$S$34)</f>
        <v>0</v>
      </c>
      <c r="R4" s="194">
        <f>SUMIF(RR!$C$3:$C$34,A4,RR!$T$3:$T$34)</f>
        <v>0</v>
      </c>
      <c r="S4" s="194">
        <f>SUMIF(RR!$C$3:$C$34,A4,RR!$U$3:$U$34)</f>
        <v>0</v>
      </c>
      <c r="T4" s="194">
        <f>SUMIF(RR!$C$3:$C$34,A4,RR!$V$3:$V$34)</f>
        <v>0</v>
      </c>
      <c r="U4" s="194">
        <f>SUMIF(RR!$C$3:$C$34,A4,RR!$W$3:$W$34)</f>
        <v>0</v>
      </c>
      <c r="V4" s="194">
        <f>SUMIF(RR!$C$3:$C$34,A4,RR!$X$3:$X$34)</f>
        <v>0</v>
      </c>
      <c r="W4" s="194">
        <f>SUMIF(RR!$C$3:$C$34,A4,RR!$Y$3:$Y$34)</f>
        <v>0</v>
      </c>
      <c r="X4" s="169" t="e">
        <f>RR_TEAM_TOT[[#This Row],[Dimes]]/RR_TEAM_TOT[[#This Row],[Turnovers]]</f>
        <v>#DIV/0!</v>
      </c>
    </row>
    <row r="5" spans="1:24" x14ac:dyDescent="0.2">
      <c r="A5" s="164" t="s">
        <v>209</v>
      </c>
      <c r="B5" s="86"/>
      <c r="C5" s="194">
        <f>SUMIF(RR!$C$3:$C$34,A5,RR!$E$3:$E$34)</f>
        <v>0</v>
      </c>
      <c r="D5" s="194">
        <f>SUMIF(RR!$C$3:$C$34,A5,RR!$F$3:$F$34)</f>
        <v>0</v>
      </c>
      <c r="E5" s="195" t="e">
        <f>RR_TEAM_TOT[[#This Row],[Total FGM]]/RR_TEAM_TOT[[#This Row],[Total FGA]]</f>
        <v>#DIV/0!</v>
      </c>
      <c r="F5" s="196">
        <f>SUMIF(RR!$C$3:$C$34,A5,RR!$H$3:$H$34)</f>
        <v>0</v>
      </c>
      <c r="G5" s="197">
        <f>SUMIF(RR!$C$3:$C$34,A5,RR!$I$3:$I$34)</f>
        <v>0</v>
      </c>
      <c r="H5" s="198" t="e">
        <f>RR_TEAM_TOT[[#This Row],[2PT FGM]]/RR_TEAM_TOT[[#This Row],[2PT FGA]]</f>
        <v>#DIV/0!</v>
      </c>
      <c r="I5" s="197">
        <f>SUMIF(RR!$C$3:$C$34,A5,RR!$K$3:$K$34)</f>
        <v>0</v>
      </c>
      <c r="J5" s="197">
        <f>SUMIF(RR!$C$3:$C$34,A5,RR!$L$3:$L$34)</f>
        <v>0</v>
      </c>
      <c r="K5" s="198" t="e">
        <f>RR_TEAM_TOT[[#This Row],[3PT FGM]]/RR_TEAM_TOT[[#This Row],[3PT FGA]]</f>
        <v>#DIV/0!</v>
      </c>
      <c r="L5" s="197">
        <f>SUMIF(RR!$C$3:$C$34,A5,RR!$N$3:$N$34)</f>
        <v>0</v>
      </c>
      <c r="M5" s="197">
        <f>SUMIF(RR!$C$3:$C$34,A5,RR!$O$3:$O$34)</f>
        <v>0</v>
      </c>
      <c r="N5" s="199" t="e">
        <f>RR_TEAM_TOT[[#This Row],[FTM]]/RR_TEAM_TOT[[#This Row],[FTA]]</f>
        <v>#DIV/0!</v>
      </c>
      <c r="O5" s="194">
        <f>SUMIF(RR!$C$3:$C$34,A5,RR!$Q$3:$Q$34)</f>
        <v>0</v>
      </c>
      <c r="P5" s="194">
        <f>SUMIF(RR!$C$3:$C$34,A5,RR!$R$3:$R$34)</f>
        <v>0</v>
      </c>
      <c r="Q5" s="194">
        <f>SUMIF(RR!$C$3:$C$34,A5,RR!$S$3:$S$34)</f>
        <v>0</v>
      </c>
      <c r="R5" s="194">
        <f>SUMIF(RR!$C$3:$C$34,A5,RR!$T$3:$T$34)</f>
        <v>0</v>
      </c>
      <c r="S5" s="194">
        <f>SUMIF(RR!$C$3:$C$34,A5,RR!$U$3:$U$34)</f>
        <v>0</v>
      </c>
      <c r="T5" s="194">
        <f>SUMIF(RR!$C$3:$C$34,A5,RR!$V$3:$V$34)</f>
        <v>0</v>
      </c>
      <c r="U5" s="194">
        <f>SUMIF(RR!$C$3:$C$34,A5,RR!$W$3:$W$34)</f>
        <v>0</v>
      </c>
      <c r="V5" s="194">
        <f>SUMIF(RR!$C$3:$C$34,A5,RR!$X$3:$X$34)</f>
        <v>0</v>
      </c>
      <c r="W5" s="194">
        <f>SUMIF(RR!$C$3:$C$34,A5,RR!$Y$3:$Y$34)</f>
        <v>0</v>
      </c>
      <c r="X5" s="169" t="e">
        <f>RR_TEAM_TOT[[#This Row],[Dimes]]/RR_TEAM_TOT[[#This Row],[Turnovers]]</f>
        <v>#DIV/0!</v>
      </c>
    </row>
    <row r="6" spans="1:24" x14ac:dyDescent="0.2">
      <c r="A6" s="164"/>
      <c r="B6" s="86"/>
      <c r="C6" s="194">
        <f>SUMIF(RR!$C$3:$C$34,A6,RR!$E$3:$E$34)</f>
        <v>0</v>
      </c>
      <c r="D6" s="194">
        <f>SUMIF(RR!$C$3:$C$34,A6,RR!$F$3:$F$34)</f>
        <v>0</v>
      </c>
      <c r="E6" s="195" t="e">
        <f>RR_TEAM_TOT[[#This Row],[Total FGM]]/RR_TEAM_TOT[[#This Row],[Total FGA]]</f>
        <v>#DIV/0!</v>
      </c>
      <c r="F6" s="196">
        <f>SUMIF(RR!$C$3:$C$34,A6,RR!$H$3:$H$34)</f>
        <v>0</v>
      </c>
      <c r="G6" s="197">
        <f>SUMIF(RR!$C$3:$C$34,A6,RR!$I$3:$I$34)</f>
        <v>0</v>
      </c>
      <c r="H6" s="198" t="e">
        <f>RR_TEAM_TOT[[#This Row],[2PT FGM]]/RR_TEAM_TOT[[#This Row],[2PT FGA]]</f>
        <v>#DIV/0!</v>
      </c>
      <c r="I6" s="197">
        <f>SUMIF(RR!$C$3:$C$34,A6,RR!$K$3:$K$34)</f>
        <v>0</v>
      </c>
      <c r="J6" s="197">
        <f>SUMIF(RR!$C$3:$C$34,A6,RR!$L$3:$L$34)</f>
        <v>0</v>
      </c>
      <c r="K6" s="198" t="e">
        <f>RR_TEAM_TOT[[#This Row],[3PT FGM]]/RR_TEAM_TOT[[#This Row],[3PT FGA]]</f>
        <v>#DIV/0!</v>
      </c>
      <c r="L6" s="197">
        <f>SUMIF(RR!$C$3:$C$34,A6,RR!$N$3:$N$34)</f>
        <v>0</v>
      </c>
      <c r="M6" s="197">
        <f>SUMIF(RR!$C$3:$C$34,A6,RR!$O$3:$O$34)</f>
        <v>0</v>
      </c>
      <c r="N6" s="199" t="e">
        <f>RR_TEAM_TOT[[#This Row],[FTM]]/RR_TEAM_TOT[[#This Row],[FTA]]</f>
        <v>#DIV/0!</v>
      </c>
      <c r="O6" s="194">
        <f>SUMIF(RR!$C$3:$C$34,A6,RR!$Q$3:$Q$34)</f>
        <v>0</v>
      </c>
      <c r="P6" s="194">
        <f>SUMIF(RR!$C$3:$C$34,A6,RR!$R$3:$R$34)</f>
        <v>0</v>
      </c>
      <c r="Q6" s="194">
        <f>SUMIF(RR!$C$3:$C$34,A6,RR!$S$3:$S$34)</f>
        <v>0</v>
      </c>
      <c r="R6" s="194">
        <f>SUMIF(RR!$C$3:$C$34,A6,RR!$T$3:$T$34)</f>
        <v>0</v>
      </c>
      <c r="S6" s="194">
        <f>SUMIF(RR!$C$3:$C$34,A6,RR!$U$3:$U$34)</f>
        <v>0</v>
      </c>
      <c r="T6" s="194">
        <f>SUMIF(RR!$C$3:$C$34,A6,RR!$V$3:$V$34)</f>
        <v>0</v>
      </c>
      <c r="U6" s="194">
        <f>SUMIF(RR!$C$3:$C$34,A6,RR!$W$3:$W$34)</f>
        <v>0</v>
      </c>
      <c r="V6" s="194">
        <f>SUMIF(RR!$C$3:$C$34,A6,RR!$X$3:$X$34)</f>
        <v>0</v>
      </c>
      <c r="W6" s="194">
        <f>SUMIF(RR!$C$3:$C$34,A6,RR!$Y$3:$Y$34)</f>
        <v>0</v>
      </c>
      <c r="X6" s="169" t="e">
        <f>RR_TEAM_TOT[[#This Row],[Dimes]]/RR_TEAM_TOT[[#This Row],[Turnovers]]</f>
        <v>#DIV/0!</v>
      </c>
    </row>
    <row r="7" spans="1:24" x14ac:dyDescent="0.2">
      <c r="A7" s="164"/>
      <c r="B7" s="86"/>
      <c r="C7" s="194">
        <f>SUMIF(RR!$C$3:$C$34,A7,RR!$E$3:$E$34)</f>
        <v>0</v>
      </c>
      <c r="D7" s="194">
        <f>SUMIF(RR!$C$3:$C$34,A7,RR!$F$3:$F$34)</f>
        <v>0</v>
      </c>
      <c r="E7" s="195" t="e">
        <f>RR_TEAM_TOT[[#This Row],[Total FGM]]/RR_TEAM_TOT[[#This Row],[Total FGA]]</f>
        <v>#DIV/0!</v>
      </c>
      <c r="F7" s="196">
        <f>SUMIF(RR!$C$3:$C$34,A7,RR!$H$3:$H$34)</f>
        <v>0</v>
      </c>
      <c r="G7" s="197">
        <f>SUMIF(RR!$C$3:$C$34,A7,RR!$I$3:$I$34)</f>
        <v>0</v>
      </c>
      <c r="H7" s="198" t="e">
        <f>RR_TEAM_TOT[[#This Row],[2PT FGM]]/RR_TEAM_TOT[[#This Row],[2PT FGA]]</f>
        <v>#DIV/0!</v>
      </c>
      <c r="I7" s="197">
        <f>SUMIF(RR!$C$3:$C$34,A7,RR!$K$3:$K$34)</f>
        <v>0</v>
      </c>
      <c r="J7" s="197">
        <f>SUMIF(RR!$C$3:$C$34,A7,RR!$L$3:$L$34)</f>
        <v>0</v>
      </c>
      <c r="K7" s="198" t="e">
        <f>RR_TEAM_TOT[[#This Row],[3PT FGM]]/RR_TEAM_TOT[[#This Row],[3PT FGA]]</f>
        <v>#DIV/0!</v>
      </c>
      <c r="L7" s="197">
        <f>SUMIF(RR!$C$3:$C$34,A7,RR!$N$3:$N$34)</f>
        <v>0</v>
      </c>
      <c r="M7" s="197">
        <f>SUMIF(RR!$C$3:$C$34,A7,RR!$O$3:$O$34)</f>
        <v>0</v>
      </c>
      <c r="N7" s="199" t="e">
        <f>RR_TEAM_TOT[[#This Row],[FTM]]/RR_TEAM_TOT[[#This Row],[FTA]]</f>
        <v>#DIV/0!</v>
      </c>
      <c r="O7" s="194">
        <f>SUMIF(RR!$C$3:$C$34,A7,RR!$Q$3:$Q$34)</f>
        <v>0</v>
      </c>
      <c r="P7" s="194">
        <f>SUMIF(RR!$C$3:$C$34,A7,RR!$R$3:$R$34)</f>
        <v>0</v>
      </c>
      <c r="Q7" s="194">
        <f>SUMIF(RR!$C$3:$C$34,A7,RR!$S$3:$S$34)</f>
        <v>0</v>
      </c>
      <c r="R7" s="194">
        <f>SUMIF(RR!$C$3:$C$34,A7,RR!$T$3:$T$34)</f>
        <v>0</v>
      </c>
      <c r="S7" s="194">
        <f>SUMIF(RR!$C$3:$C$34,A7,RR!$U$3:$U$34)</f>
        <v>0</v>
      </c>
      <c r="T7" s="194">
        <f>SUMIF(RR!$C$3:$C$34,A7,RR!$V$3:$V$34)</f>
        <v>0</v>
      </c>
      <c r="U7" s="194">
        <f>SUMIF(RR!$C$3:$C$34,A7,RR!$W$3:$W$34)</f>
        <v>0</v>
      </c>
      <c r="V7" s="194">
        <f>SUMIF(RR!$C$3:$C$34,A7,RR!$X$3:$X$34)</f>
        <v>0</v>
      </c>
      <c r="W7" s="194">
        <f>SUMIF(RR!$C$3:$C$34,A7,RR!$Y$3:$Y$34)</f>
        <v>0</v>
      </c>
      <c r="X7" s="169" t="e">
        <f>RR_TEAM_TOT[[#This Row],[Dimes]]/RR_TEAM_TOT[[#This Row],[Turnovers]]</f>
        <v>#DIV/0!</v>
      </c>
    </row>
    <row r="8" spans="1:24" hidden="1" x14ac:dyDescent="0.2">
      <c r="B8" s="86"/>
      <c r="C8" s="86">
        <f>SUMIF(RR!$C$3:$C$34,A8,RR!$E$3:$E$34)</f>
        <v>0</v>
      </c>
      <c r="D8" s="86">
        <f>SUMIF(RR!$C$3:$C$34,A8,RR!$F$3:$F$34)</f>
        <v>0</v>
      </c>
      <c r="E8" s="124" t="e">
        <f>RR_TEAM_TOT[[#This Row],[Total FGM]]/RR_TEAM_TOT[[#This Row],[Total FGA]]</f>
        <v>#DIV/0!</v>
      </c>
      <c r="F8" s="126">
        <f>SUMIF(RR!$C$3:$C$34,A8,RR!$H$3:$H$34)</f>
        <v>0</v>
      </c>
      <c r="G8" s="127">
        <f>SUMIF(RR!$C$3:$C$34,A8,RR!$I$3:$I$34)</f>
        <v>0</v>
      </c>
      <c r="H8" s="128" t="e">
        <f>RR_TEAM_TOT[[#This Row],[2PT FGM]]/RR_TEAM_TOT[[#This Row],[2PT FGA]]</f>
        <v>#DIV/0!</v>
      </c>
      <c r="I8" s="127">
        <f>SUMIF(RR!$C$3:$C$34,A8,RR!$K$3:$K$34)</f>
        <v>0</v>
      </c>
      <c r="J8" s="127">
        <f>SUMIF(RR!$C$3:$C$34,A8,RR!$L$3:$L$34)</f>
        <v>0</v>
      </c>
      <c r="K8" s="128" t="e">
        <f>RR_TEAM_TOT[[#This Row],[3PT FGM]]/RR_TEAM_TOT[[#This Row],[3PT FGA]]</f>
        <v>#DIV/0!</v>
      </c>
      <c r="L8" s="127">
        <f>SUMIF(RR!$C$3:$C$34,A8,RR!$N$3:$N$34)</f>
        <v>0</v>
      </c>
      <c r="M8" s="127">
        <f>SUMIF(RR!$C$3:$C$34,A8,RR!$O$3:$O$34)</f>
        <v>0</v>
      </c>
      <c r="N8" s="129" t="e">
        <f>RR_TEAM_TOT[[#This Row],[FTM]]/RR_TEAM_TOT[[#This Row],[FTA]]</f>
        <v>#DIV/0!</v>
      </c>
      <c r="O8" s="86">
        <f>SUMIF(RR!$C$3:$C$34,A8,RR!$Q$3:$Q$34)</f>
        <v>0</v>
      </c>
      <c r="P8" s="86">
        <f>SUMIF(RR!$C$3:$C$34,A8,RR!$R$3:$R$34)</f>
        <v>0</v>
      </c>
      <c r="Q8" s="86">
        <f>SUMIF(RR!$C$3:$C$34,A8,RR!$S$3:$S$34)</f>
        <v>0</v>
      </c>
      <c r="R8" s="86">
        <f>SUMIF(RR!$C$3:$C$34,A8,RR!$T$3:$T$34)</f>
        <v>0</v>
      </c>
      <c r="S8" s="86">
        <f>SUMIF(RR!$C$3:$C$34,A8,RR!$U$3:$U$34)</f>
        <v>0</v>
      </c>
      <c r="T8" s="86">
        <f>SUMIF(RR!$C$3:$C$34,A8,RR!$V$3:$V$34)</f>
        <v>0</v>
      </c>
      <c r="U8" s="86">
        <f>SUMIF(RR!$C$3:$C$34,A8,RR!$W$3:$W$34)</f>
        <v>0</v>
      </c>
      <c r="V8" s="86">
        <f>SUMIF(RR!$C$3:$C$34,A8,RR!$X$3:$X$34)</f>
        <v>0</v>
      </c>
      <c r="W8" s="86">
        <f>SUMIF(RR!$C$3:$C$34,A8,RR!$Y$3:$Y$34)</f>
        <v>0</v>
      </c>
      <c r="X8" s="125" t="e">
        <f>RR_TEAM_TOT[[#This Row],[Dimes]]/RR_TEAM_TOT[[#This Row],[Turnovers]]</f>
        <v>#DIV/0!</v>
      </c>
    </row>
    <row r="9" spans="1:24" x14ac:dyDescent="0.2">
      <c r="B9" s="86"/>
      <c r="C9" s="86">
        <f>SUBTOTAL(109,RR_TEAM_TOT[Total FGM])</f>
        <v>0</v>
      </c>
      <c r="D9" s="86">
        <f>SUBTOTAL(109,RR_TEAM_TOT[Total FGA])</f>
        <v>0</v>
      </c>
      <c r="E9" s="132" t="e">
        <f>RR_TEAM_TOT[[#Totals],[Total FGM]]/RR_TEAM_TOT[[#Totals],[Total FGA]]</f>
        <v>#DIV/0!</v>
      </c>
      <c r="F9" s="126">
        <f>SUBTOTAL(109,RR_TEAM_TOT[2PT FGM])</f>
        <v>0</v>
      </c>
      <c r="G9" s="86">
        <f>SUBTOTAL(109,RR_TEAM_TOT[2PT FGA])</f>
        <v>0</v>
      </c>
      <c r="H9" s="132" t="e">
        <f>RR_TEAM_TOT[[#Totals],[2PT FGM]]/RR_TEAM_TOT[[#Totals],[2PT FGA]]</f>
        <v>#DIV/0!</v>
      </c>
      <c r="I9" s="86">
        <f>SUBTOTAL(109,RR_TEAM_TOT[3PT FGM])</f>
        <v>0</v>
      </c>
      <c r="J9" s="86">
        <f>SUBTOTAL(109,RR_TEAM_TOT[3PT FGA])</f>
        <v>0</v>
      </c>
      <c r="K9" s="132" t="e">
        <f>RR_TEAM_TOT[[#Totals],[3PT FGM]]/RR_TEAM_TOT[[#Totals],[3PT FGA]]</f>
        <v>#DIV/0!</v>
      </c>
      <c r="L9" s="86">
        <f>SUBTOTAL(109,RR_TEAM_TOT[FTM])</f>
        <v>0</v>
      </c>
      <c r="M9" s="86">
        <f>SUBTOTAL(109,RR_TEAM_TOT[FTA])</f>
        <v>0</v>
      </c>
      <c r="N9" s="133" t="e">
        <f>RR_TEAM_TOT[[#Totals],[FTM]]/RR_TEAM_TOT[[#Totals],[FTA]]</f>
        <v>#DIV/0!</v>
      </c>
      <c r="O9" s="86">
        <f>SUBTOTAL(109,RR_TEAM_TOT[TOTAL POINTS])</f>
        <v>0</v>
      </c>
      <c r="P9" s="86">
        <f>SUBTOTAL(109,RR_TEAM_TOT[Dunks])</f>
        <v>0</v>
      </c>
      <c r="Q9" s="86">
        <f>SUBTOTAL(109,RR_TEAM_TOT[Def. Boards])</f>
        <v>0</v>
      </c>
      <c r="R9" s="86">
        <f>SUBTOTAL(109,RR_TEAM_TOT[Off. Boards])</f>
        <v>0</v>
      </c>
      <c r="S9" s="86">
        <f>SUBTOTAL(109,RR_TEAM_TOT[Total Boards])</f>
        <v>0</v>
      </c>
      <c r="T9" s="86">
        <f>SUBTOTAL(109,RR_TEAM_TOT[Dimes])</f>
        <v>0</v>
      </c>
      <c r="U9" s="86">
        <f>SUBTOTAL(109,RR_TEAM_TOT[Cookies])</f>
        <v>0</v>
      </c>
      <c r="V9" s="86">
        <f>SUBTOTAL(109,RR_TEAM_TOT[Swats])</f>
        <v>0</v>
      </c>
      <c r="W9" s="86">
        <f>SUBTOTAL(109,RR_TEAM_TOT[Turnovers])</f>
        <v>0</v>
      </c>
      <c r="X9" s="125" t="e">
        <f>SUBTOTAL(101,RR_TEAM_TOT[Dimes:TO])</f>
        <v>#DIV/0!</v>
      </c>
    </row>
    <row r="12" spans="1:24" ht="16" thickBot="1" x14ac:dyDescent="0.25">
      <c r="A12" s="134" t="s">
        <v>139</v>
      </c>
      <c r="B12" s="134"/>
      <c r="C12" s="134"/>
      <c r="D12" s="135"/>
      <c r="E12" s="134"/>
      <c r="F12" s="134"/>
      <c r="G12" s="135"/>
      <c r="H12" s="134"/>
      <c r="I12" s="134"/>
      <c r="J12" s="135"/>
      <c r="K12" s="134"/>
      <c r="L12" s="134"/>
      <c r="M12" s="135"/>
      <c r="N12" s="134"/>
      <c r="O12" s="134"/>
      <c r="P12" s="134"/>
      <c r="Q12" s="134"/>
      <c r="R12" s="134"/>
      <c r="S12" s="134"/>
      <c r="T12" s="134"/>
      <c r="U12" s="134"/>
      <c r="V12" s="134"/>
      <c r="W12" s="135"/>
      <c r="X12" s="134"/>
    </row>
    <row r="13" spans="1:24" ht="16" x14ac:dyDescent="0.2">
      <c r="A13" s="123" t="s">
        <v>23</v>
      </c>
      <c r="B13" s="123" t="s">
        <v>138</v>
      </c>
      <c r="C13" s="54" t="s">
        <v>0</v>
      </c>
      <c r="D13" s="54" t="s">
        <v>1</v>
      </c>
      <c r="E13" s="88" t="s">
        <v>2</v>
      </c>
      <c r="F13" s="110" t="s">
        <v>3</v>
      </c>
      <c r="G13" s="111" t="s">
        <v>4</v>
      </c>
      <c r="H13" s="112" t="s">
        <v>5</v>
      </c>
      <c r="I13" s="111" t="s">
        <v>6</v>
      </c>
      <c r="J13" s="111" t="s">
        <v>7</v>
      </c>
      <c r="K13" s="112" t="s">
        <v>8</v>
      </c>
      <c r="L13" s="111" t="s">
        <v>9</v>
      </c>
      <c r="M13" s="111" t="s">
        <v>10</v>
      </c>
      <c r="N13" s="113" t="s">
        <v>11</v>
      </c>
      <c r="O13" s="54" t="s">
        <v>12</v>
      </c>
      <c r="P13" s="54" t="s">
        <v>13</v>
      </c>
      <c r="Q13" s="54" t="s">
        <v>14</v>
      </c>
      <c r="R13" s="54" t="s">
        <v>15</v>
      </c>
      <c r="S13" s="54" t="s">
        <v>16</v>
      </c>
      <c r="T13" s="54" t="s">
        <v>17</v>
      </c>
      <c r="U13" s="54" t="s">
        <v>18</v>
      </c>
      <c r="V13" s="54" t="s">
        <v>19</v>
      </c>
      <c r="W13" s="54" t="s">
        <v>20</v>
      </c>
      <c r="X13" s="88" t="s">
        <v>21</v>
      </c>
    </row>
    <row r="14" spans="1:24" x14ac:dyDescent="0.2">
      <c r="A14" s="164" t="s">
        <v>208</v>
      </c>
      <c r="B14" s="86"/>
      <c r="C14" s="200" t="e">
        <f>SUM(SUMIF($A$4:$A$8,RR_TEAM_AVG[[#This Row],[Team]],$C$4:$C$8)/B14)</f>
        <v>#DIV/0!</v>
      </c>
      <c r="D14" s="200" t="e">
        <f>SUM(SUMIF($A$4:$A$8,RR_TEAM_AVG[[#This Row],[Team]],$D$4:$D$8)/B14)</f>
        <v>#DIV/0!</v>
      </c>
      <c r="E14" s="195" t="e">
        <f>RR_TEAM_AVG[[#This Row],[Total FGM]]/RR_TEAM_AVG[[#This Row],[Total FGA]]</f>
        <v>#DIV/0!</v>
      </c>
      <c r="F14" s="201" t="e">
        <f>SUM(SUMIF($A$4:$A$8,RR_TEAM_AVG[[#This Row],[Team]],$F$4:$F$8)/B14)</f>
        <v>#DIV/0!</v>
      </c>
      <c r="G14" s="202" t="e">
        <f>SUM(SUMIF($A$4:$A$8,RR_TEAM_AVG[[#This Row],[Team]],$G$4:$G$8)/B14)</f>
        <v>#DIV/0!</v>
      </c>
      <c r="H14" s="198" t="e">
        <f>RR_TEAM_AVG[[#This Row],[2PT FGM]]/RR_TEAM_AVG[[#This Row],[2PT FGA]]</f>
        <v>#DIV/0!</v>
      </c>
      <c r="I14" s="202" t="e">
        <f>SUM(SUMIF($A$4:$A$8,RR_TEAM_AVG[[#This Row],[Team]],$I$4:$I$8)/B14)</f>
        <v>#DIV/0!</v>
      </c>
      <c r="J14" s="202" t="e">
        <f>SUM(SUMIF($A$4:$A$8,RR_TEAM_AVG[[#This Row],[Team]],$J$4:$J$8)/B14)</f>
        <v>#DIV/0!</v>
      </c>
      <c r="K14" s="198" t="e">
        <f>RR_TEAM_AVG[[#This Row],[3PT FGM]]/RR_TEAM_AVG[[#This Row],[3PT FGA]]</f>
        <v>#DIV/0!</v>
      </c>
      <c r="L14" s="202" t="e">
        <f>SUM(SUMIF($A$4:$A$8,RR_TEAM_AVG[[#This Row],[Team]],$L$4:$L$8)/B14)</f>
        <v>#DIV/0!</v>
      </c>
      <c r="M14" s="202" t="e">
        <f>SUM(SUMIF($A$4:$A$8,RR_TEAM_AVG[[#This Row],[Team]],$M$4:$M$8)/B14)</f>
        <v>#DIV/0!</v>
      </c>
      <c r="N14" s="199" t="e">
        <f>RR_TEAM_AVG[[#This Row],[FTM]]/RR_TEAM_AVG[[#This Row],[FTA]]</f>
        <v>#DIV/0!</v>
      </c>
      <c r="O14" s="200" t="e">
        <f>SUM(SUMIF($A$4:$A$8,RR_TEAM_AVG[[#This Row],[Team]],$O$4:$O$8)/B14)</f>
        <v>#DIV/0!</v>
      </c>
      <c r="P14" s="200" t="e">
        <f>SUM(SUMIF($A$4:$A$8,RR_TEAM_AVG[[#This Row],[Team]],$P$4:$P$8)/B14)</f>
        <v>#DIV/0!</v>
      </c>
      <c r="Q14" s="200" t="e">
        <f>SUM(SUMIF($A$4:$A$8,RR_TEAM_AVG[[#This Row],[Team]],$Q$4:$Q$8)/B14)</f>
        <v>#DIV/0!</v>
      </c>
      <c r="R14" s="200" t="e">
        <f>SUM(SUMIF($A$4:$A$8,RR_TEAM_AVG[[#This Row],[Team]],$R$4:$R$8)/B14)</f>
        <v>#DIV/0!</v>
      </c>
      <c r="S14" s="200" t="e">
        <f>SUM(SUMIF($A$4:$A$8,RR_TEAM_AVG[[#This Row],[Team]],$S$4:$S$8)/B14)</f>
        <v>#DIV/0!</v>
      </c>
      <c r="T14" s="200" t="e">
        <f>SUM(SUMIF($A$4:$A$8,RR_TEAM_AVG[[#This Row],[Team]],$T$4:$T$8)/B14)</f>
        <v>#DIV/0!</v>
      </c>
      <c r="U14" s="200" t="e">
        <f>SUM(SUMIF($A$4:$A$8,RR_TEAM_AVG[[#This Row],[Team]],$U$4:$U$8)/B14)</f>
        <v>#DIV/0!</v>
      </c>
      <c r="V14" s="200" t="e">
        <f>SUM(SUMIF($A$4:$A$8,RR_TEAM_AVG[[#This Row],[Team]],$V$4:$V$8)/B14)</f>
        <v>#DIV/0!</v>
      </c>
      <c r="W14" s="200" t="e">
        <f>SUM(SUMIF($A$4:$A$8,RR_TEAM_AVG[[#This Row],[Team]],$W$4:$W$8)/B14)</f>
        <v>#DIV/0!</v>
      </c>
      <c r="X14" s="169" t="e">
        <f>RR_TEAM_AVG[[#This Row],[Dimes]]/RR_TEAM_AVG[[#This Row],[Turnovers]]</f>
        <v>#DIV/0!</v>
      </c>
    </row>
    <row r="15" spans="1:24" x14ac:dyDescent="0.2">
      <c r="A15" s="164" t="s">
        <v>209</v>
      </c>
      <c r="B15" s="86"/>
      <c r="C15" s="200" t="e">
        <f>SUM(SUMIF($A$4:$A$8,RR_TEAM_AVG[[#This Row],[Team]],$C$4:$C$8)/B15)</f>
        <v>#DIV/0!</v>
      </c>
      <c r="D15" s="200" t="e">
        <f>SUM(SUMIF($A$4:$A$8,RR_TEAM_AVG[[#This Row],[Team]],$D$4:$D$8)/B15)</f>
        <v>#DIV/0!</v>
      </c>
      <c r="E15" s="195" t="e">
        <f>RR_TEAM_AVG[[#This Row],[Total FGM]]/RR_TEAM_AVG[[#This Row],[Total FGA]]</f>
        <v>#DIV/0!</v>
      </c>
      <c r="F15" s="201" t="e">
        <f>SUM(SUMIF($A$4:$A$8,RR_TEAM_AVG[[#This Row],[Team]],$F$4:$F$8)/B15)</f>
        <v>#DIV/0!</v>
      </c>
      <c r="G15" s="202" t="e">
        <f>SUM(SUMIF($A$4:$A$8,RR_TEAM_AVG[[#This Row],[Team]],$G$4:$G$8)/B15)</f>
        <v>#DIV/0!</v>
      </c>
      <c r="H15" s="198" t="e">
        <f>RR_TEAM_AVG[[#This Row],[2PT FGM]]/RR_TEAM_AVG[[#This Row],[2PT FGA]]</f>
        <v>#DIV/0!</v>
      </c>
      <c r="I15" s="202" t="e">
        <f>SUM(SUMIF($A$4:$A$8,RR_TEAM_AVG[[#This Row],[Team]],$I$4:$I$8)/B15)</f>
        <v>#DIV/0!</v>
      </c>
      <c r="J15" s="202" t="e">
        <f>SUM(SUMIF($A$4:$A$8,RR_TEAM_AVG[[#This Row],[Team]],$J$4:$J$8)/B15)</f>
        <v>#DIV/0!</v>
      </c>
      <c r="K15" s="198" t="e">
        <f>RR_TEAM_AVG[[#This Row],[3PT FGM]]/RR_TEAM_AVG[[#This Row],[3PT FGA]]</f>
        <v>#DIV/0!</v>
      </c>
      <c r="L15" s="202" t="e">
        <f>SUM(SUMIF($A$4:$A$8,RR_TEAM_AVG[[#This Row],[Team]],$L$4:$L$8)/B15)</f>
        <v>#DIV/0!</v>
      </c>
      <c r="M15" s="202" t="e">
        <f>SUM(SUMIF($A$4:$A$8,RR_TEAM_AVG[[#This Row],[Team]],$M$4:$M$8)/B15)</f>
        <v>#DIV/0!</v>
      </c>
      <c r="N15" s="199" t="e">
        <f>RR_TEAM_AVG[[#This Row],[FTM]]/RR_TEAM_AVG[[#This Row],[FTA]]</f>
        <v>#DIV/0!</v>
      </c>
      <c r="O15" s="200" t="e">
        <f>SUM(SUMIF($A$4:$A$8,RR_TEAM_AVG[[#This Row],[Team]],$O$4:$O$8)/B15)</f>
        <v>#DIV/0!</v>
      </c>
      <c r="P15" s="200" t="e">
        <f>SUM(SUMIF($A$4:$A$8,RR_TEAM_AVG[[#This Row],[Team]],$P$4:$P$8)/B15)</f>
        <v>#DIV/0!</v>
      </c>
      <c r="Q15" s="200" t="e">
        <f>SUM(SUMIF($A$4:$A$8,RR_TEAM_AVG[[#This Row],[Team]],$Q$4:$Q$8)/B15)</f>
        <v>#DIV/0!</v>
      </c>
      <c r="R15" s="200" t="e">
        <f>SUM(SUMIF($A$4:$A$8,RR_TEAM_AVG[[#This Row],[Team]],$R$4:$R$8)/B15)</f>
        <v>#DIV/0!</v>
      </c>
      <c r="S15" s="200" t="e">
        <f>SUM(SUMIF($A$4:$A$8,RR_TEAM_AVG[[#This Row],[Team]],$S$4:$S$8)/B15)</f>
        <v>#DIV/0!</v>
      </c>
      <c r="T15" s="200" t="e">
        <f>SUM(SUMIF($A$4:$A$8,RR_TEAM_AVG[[#This Row],[Team]],$T$4:$T$8)/B15)</f>
        <v>#DIV/0!</v>
      </c>
      <c r="U15" s="200" t="e">
        <f>SUM(SUMIF($A$4:$A$8,RR_TEAM_AVG[[#This Row],[Team]],$U$4:$U$8)/B15)</f>
        <v>#DIV/0!</v>
      </c>
      <c r="V15" s="200" t="e">
        <f>SUM(SUMIF($A$4:$A$8,RR_TEAM_AVG[[#This Row],[Team]],$V$4:$V$8)/B15)</f>
        <v>#DIV/0!</v>
      </c>
      <c r="W15" s="200" t="e">
        <f>SUM(SUMIF($A$4:$A$8,RR_TEAM_AVG[[#This Row],[Team]],$W$4:$W$8)/B15)</f>
        <v>#DIV/0!</v>
      </c>
      <c r="X15" s="169" t="e">
        <f>RR_TEAM_AVG[[#This Row],[Dimes]]/RR_TEAM_AVG[[#This Row],[Turnovers]]</f>
        <v>#DIV/0!</v>
      </c>
    </row>
    <row r="16" spans="1:24" x14ac:dyDescent="0.2">
      <c r="A16" s="164"/>
      <c r="B16" s="86"/>
      <c r="C16" s="200" t="e">
        <f>SUM(SUMIF($A$4:$A$8,RR_TEAM_AVG[[#This Row],[Team]],$C$4:$C$8)/B16)</f>
        <v>#DIV/0!</v>
      </c>
      <c r="D16" s="200" t="e">
        <f>SUM(SUMIF($A$4:$A$8,RR_TEAM_AVG[[#This Row],[Team]],$D$4:$D$8)/B16)</f>
        <v>#DIV/0!</v>
      </c>
      <c r="E16" s="195" t="e">
        <f>RR_TEAM_AVG[[#This Row],[Total FGM]]/RR_TEAM_AVG[[#This Row],[Total FGA]]</f>
        <v>#DIV/0!</v>
      </c>
      <c r="F16" s="201" t="e">
        <f>SUM(SUMIF($A$4:$A$8,RR_TEAM_AVG[[#This Row],[Team]],$F$4:$F$8)/B16)</f>
        <v>#DIV/0!</v>
      </c>
      <c r="G16" s="202" t="e">
        <f>SUM(SUMIF($A$4:$A$8,RR_TEAM_AVG[[#This Row],[Team]],$G$4:$G$8)/B16)</f>
        <v>#DIV/0!</v>
      </c>
      <c r="H16" s="198" t="e">
        <f>RR_TEAM_AVG[[#This Row],[2PT FGM]]/RR_TEAM_AVG[[#This Row],[2PT FGA]]</f>
        <v>#DIV/0!</v>
      </c>
      <c r="I16" s="202" t="e">
        <f>SUM(SUMIF($A$4:$A$8,RR_TEAM_AVG[[#This Row],[Team]],$I$4:$I$8)/B16)</f>
        <v>#DIV/0!</v>
      </c>
      <c r="J16" s="202" t="e">
        <f>SUM(SUMIF($A$4:$A$8,RR_TEAM_AVG[[#This Row],[Team]],$J$4:$J$8)/B16)</f>
        <v>#DIV/0!</v>
      </c>
      <c r="K16" s="198" t="e">
        <f>RR_TEAM_AVG[[#This Row],[3PT FGM]]/RR_TEAM_AVG[[#This Row],[3PT FGA]]</f>
        <v>#DIV/0!</v>
      </c>
      <c r="L16" s="202" t="e">
        <f>SUM(SUMIF($A$4:$A$8,RR_TEAM_AVG[[#This Row],[Team]],$L$4:$L$8)/B16)</f>
        <v>#DIV/0!</v>
      </c>
      <c r="M16" s="202" t="e">
        <f>SUM(SUMIF($A$4:$A$8,RR_TEAM_AVG[[#This Row],[Team]],$M$4:$M$8)/B16)</f>
        <v>#DIV/0!</v>
      </c>
      <c r="N16" s="199" t="e">
        <f>RR_TEAM_AVG[[#This Row],[FTM]]/RR_TEAM_AVG[[#This Row],[FTA]]</f>
        <v>#DIV/0!</v>
      </c>
      <c r="O16" s="200" t="e">
        <f>SUM(SUMIF($A$4:$A$8,RR_TEAM_AVG[[#This Row],[Team]],$O$4:$O$8)/B16)</f>
        <v>#DIV/0!</v>
      </c>
      <c r="P16" s="200" t="e">
        <f>SUM(SUMIF($A$4:$A$8,RR_TEAM_AVG[[#This Row],[Team]],$P$4:$P$8)/B16)</f>
        <v>#DIV/0!</v>
      </c>
      <c r="Q16" s="200" t="e">
        <f>SUM(SUMIF($A$4:$A$8,RR_TEAM_AVG[[#This Row],[Team]],$Q$4:$Q$8)/B16)</f>
        <v>#DIV/0!</v>
      </c>
      <c r="R16" s="200" t="e">
        <f>SUM(SUMIF($A$4:$A$8,RR_TEAM_AVG[[#This Row],[Team]],$R$4:$R$8)/B16)</f>
        <v>#DIV/0!</v>
      </c>
      <c r="S16" s="200" t="e">
        <f>SUM(SUMIF($A$4:$A$8,RR_TEAM_AVG[[#This Row],[Team]],$S$4:$S$8)/B16)</f>
        <v>#DIV/0!</v>
      </c>
      <c r="T16" s="200" t="e">
        <f>SUM(SUMIF($A$4:$A$8,RR_TEAM_AVG[[#This Row],[Team]],$T$4:$T$8)/B16)</f>
        <v>#DIV/0!</v>
      </c>
      <c r="U16" s="200" t="e">
        <f>SUM(SUMIF($A$4:$A$8,RR_TEAM_AVG[[#This Row],[Team]],$U$4:$U$8)/B16)</f>
        <v>#DIV/0!</v>
      </c>
      <c r="V16" s="200" t="e">
        <f>SUM(SUMIF($A$4:$A$8,RR_TEAM_AVG[[#This Row],[Team]],$V$4:$V$8)/B16)</f>
        <v>#DIV/0!</v>
      </c>
      <c r="W16" s="200" t="e">
        <f>SUM(SUMIF($A$4:$A$8,RR_TEAM_AVG[[#This Row],[Team]],$W$4:$W$8)/B16)</f>
        <v>#DIV/0!</v>
      </c>
      <c r="X16" s="169" t="e">
        <f>RR_TEAM_AVG[[#This Row],[Dimes]]/RR_TEAM_AVG[[#This Row],[Turnovers]]</f>
        <v>#DIV/0!</v>
      </c>
    </row>
    <row r="17" spans="1:24" x14ac:dyDescent="0.2">
      <c r="A17" s="164"/>
      <c r="B17" s="86"/>
      <c r="C17" s="200" t="e">
        <f>SUM(SUMIF($A$4:$A$8,RR_TEAM_AVG[[#This Row],[Team]],$C$4:$C$8)/B17)</f>
        <v>#DIV/0!</v>
      </c>
      <c r="D17" s="200" t="e">
        <f>SUM(SUMIF($A$4:$A$8,RR_TEAM_AVG[[#This Row],[Team]],$D$4:$D$8)/B17)</f>
        <v>#DIV/0!</v>
      </c>
      <c r="E17" s="195" t="e">
        <f>RR_TEAM_AVG[[#This Row],[Total FGM]]/RR_TEAM_AVG[[#This Row],[Total FGA]]</f>
        <v>#DIV/0!</v>
      </c>
      <c r="F17" s="201" t="e">
        <f>SUM(SUMIF($A$4:$A$8,RR_TEAM_AVG[[#This Row],[Team]],$F$4:$F$8)/B17)</f>
        <v>#DIV/0!</v>
      </c>
      <c r="G17" s="202" t="e">
        <f>SUM(SUMIF($A$4:$A$8,RR_TEAM_AVG[[#This Row],[Team]],$G$4:$G$8)/B17)</f>
        <v>#DIV/0!</v>
      </c>
      <c r="H17" s="198" t="e">
        <f>RR_TEAM_AVG[[#This Row],[2PT FGM]]/RR_TEAM_AVG[[#This Row],[2PT FGA]]</f>
        <v>#DIV/0!</v>
      </c>
      <c r="I17" s="202" t="e">
        <f>SUM(SUMIF($A$4:$A$8,RR_TEAM_AVG[[#This Row],[Team]],$I$4:$I$8)/B17)</f>
        <v>#DIV/0!</v>
      </c>
      <c r="J17" s="202" t="e">
        <f>SUM(SUMIF($A$4:$A$8,RR_TEAM_AVG[[#This Row],[Team]],$J$4:$J$8)/B17)</f>
        <v>#DIV/0!</v>
      </c>
      <c r="K17" s="198" t="e">
        <f>RR_TEAM_AVG[[#This Row],[3PT FGM]]/RR_TEAM_AVG[[#This Row],[3PT FGA]]</f>
        <v>#DIV/0!</v>
      </c>
      <c r="L17" s="202" t="e">
        <f>SUM(SUMIF($A$4:$A$8,RR_TEAM_AVG[[#This Row],[Team]],$L$4:$L$8)/B17)</f>
        <v>#DIV/0!</v>
      </c>
      <c r="M17" s="202" t="e">
        <f>SUM(SUMIF($A$4:$A$8,RR_TEAM_AVG[[#This Row],[Team]],$M$4:$M$8)/B17)</f>
        <v>#DIV/0!</v>
      </c>
      <c r="N17" s="199" t="e">
        <f>RR_TEAM_AVG[[#This Row],[FTM]]/RR_TEAM_AVG[[#This Row],[FTA]]</f>
        <v>#DIV/0!</v>
      </c>
      <c r="O17" s="200" t="e">
        <f>SUM(SUMIF($A$4:$A$8,RR_TEAM_AVG[[#This Row],[Team]],$O$4:$O$8)/B17)</f>
        <v>#DIV/0!</v>
      </c>
      <c r="P17" s="200" t="e">
        <f>SUM(SUMIF($A$4:$A$8,RR_TEAM_AVG[[#This Row],[Team]],$P$4:$P$8)/B17)</f>
        <v>#DIV/0!</v>
      </c>
      <c r="Q17" s="200" t="e">
        <f>SUM(SUMIF($A$4:$A$8,RR_TEAM_AVG[[#This Row],[Team]],$Q$4:$Q$8)/B17)</f>
        <v>#DIV/0!</v>
      </c>
      <c r="R17" s="200" t="e">
        <f>SUM(SUMIF($A$4:$A$8,RR_TEAM_AVG[[#This Row],[Team]],$R$4:$R$8)/B17)</f>
        <v>#DIV/0!</v>
      </c>
      <c r="S17" s="200" t="e">
        <f>SUM(SUMIF($A$4:$A$8,RR_TEAM_AVG[[#This Row],[Team]],$S$4:$S$8)/B17)</f>
        <v>#DIV/0!</v>
      </c>
      <c r="T17" s="200" t="e">
        <f>SUM(SUMIF($A$4:$A$8,RR_TEAM_AVG[[#This Row],[Team]],$T$4:$T$8)/B17)</f>
        <v>#DIV/0!</v>
      </c>
      <c r="U17" s="200" t="e">
        <f>SUM(SUMIF($A$4:$A$8,RR_TEAM_AVG[[#This Row],[Team]],$U$4:$U$8)/B17)</f>
        <v>#DIV/0!</v>
      </c>
      <c r="V17" s="200" t="e">
        <f>SUM(SUMIF($A$4:$A$8,RR_TEAM_AVG[[#This Row],[Team]],$V$4:$V$8)/B17)</f>
        <v>#DIV/0!</v>
      </c>
      <c r="W17" s="200" t="e">
        <f>SUM(SUMIF($A$4:$A$8,RR_TEAM_AVG[[#This Row],[Team]],$W$4:$W$8)/B17)</f>
        <v>#DIV/0!</v>
      </c>
      <c r="X17" s="169" t="e">
        <f>RR_TEAM_AVG[[#This Row],[Dimes]]/RR_TEAM_AVG[[#This Row],[Turnovers]]</f>
        <v>#DIV/0!</v>
      </c>
    </row>
    <row r="18" spans="1:24" ht="16" hidden="1" thickBot="1" x14ac:dyDescent="0.25">
      <c r="B18" s="86"/>
      <c r="C18" s="136" t="e">
        <f>SUM(SUMIF($A$4:$A$8,RR_TEAM_AVG[[#This Row],[Team]],$C$4:$C$8)/B18)</f>
        <v>#DIV/0!</v>
      </c>
      <c r="D18" s="136" t="e">
        <f>SUM(SUMIF($A$4:$A$8,RR_TEAM_AVG[[#This Row],[Team]],$D$4:$D$8)/B18)</f>
        <v>#DIV/0!</v>
      </c>
      <c r="E18" s="124" t="e">
        <f>RR_TEAM_AVG[[#This Row],[Total FGM]]/RR_TEAM_AVG[[#This Row],[Total FGA]]</f>
        <v>#DIV/0!</v>
      </c>
      <c r="F18" s="138" t="e">
        <f>SUM(SUMIF($A$4:$A$8,RR_TEAM_AVG[[#This Row],[Team]],$F$4:$F$8)/B18)</f>
        <v>#DIV/0!</v>
      </c>
      <c r="G18" s="139" t="e">
        <f>SUM(SUMIF($A$4:$A$8,RR_TEAM_AVG[[#This Row],[Team]],$G$4:$G$8)/B18)</f>
        <v>#DIV/0!</v>
      </c>
      <c r="H18" s="130" t="e">
        <f>RR_TEAM_AVG[[#This Row],[2PT FGM]]/RR_TEAM_AVG[[#This Row],[2PT FGA]]</f>
        <v>#DIV/0!</v>
      </c>
      <c r="I18" s="139" t="e">
        <f>SUM(SUMIF($A$4:$A$8,RR_TEAM_AVG[[#This Row],[Team]],$I$4:$I$8)/B18)</f>
        <v>#DIV/0!</v>
      </c>
      <c r="J18" s="139" t="e">
        <f>SUM(SUMIF($A$4:$A$8,RR_TEAM_AVG[[#This Row],[Team]],$J$4:$J$8)/B18)</f>
        <v>#DIV/0!</v>
      </c>
      <c r="K18" s="130" t="e">
        <f>RR_TEAM_AVG[[#This Row],[3PT FGM]]/RR_TEAM_AVG[[#This Row],[3PT FGA]]</f>
        <v>#DIV/0!</v>
      </c>
      <c r="L18" s="139" t="e">
        <f>SUM(SUMIF($A$4:$A$8,RR_TEAM_AVG[[#This Row],[Team]],$L$4:$L$8)/B18)</f>
        <v>#DIV/0!</v>
      </c>
      <c r="M18" s="139" t="e">
        <f>SUM(SUMIF($A$4:$A$8,RR_TEAM_AVG[[#This Row],[Team]],$M$4:$M$8)/B18)</f>
        <v>#DIV/0!</v>
      </c>
      <c r="N18" s="131" t="e">
        <f>RR_TEAM_AVG[[#This Row],[FTM]]/RR_TEAM_AVG[[#This Row],[FTA]]</f>
        <v>#DIV/0!</v>
      </c>
      <c r="O18" s="136" t="e">
        <f>SUM(SUMIF($A$4:$A$8,RR_TEAM_AVG[[#This Row],[Team]],$O$4:$O$8)/B18)</f>
        <v>#DIV/0!</v>
      </c>
      <c r="P18" s="136" t="e">
        <f>SUM(SUMIF($A$4:$A$8,RR_TEAM_AVG[[#This Row],[Team]],$P$4:$P$8)/B18)</f>
        <v>#DIV/0!</v>
      </c>
      <c r="Q18" s="136" t="e">
        <f>SUM(SUMIF($A$4:$A$8,RR_TEAM_AVG[[#This Row],[Team]],$Q$4:$Q$8)/B18)</f>
        <v>#DIV/0!</v>
      </c>
      <c r="R18" s="136" t="e">
        <f>SUM(SUMIF($A$4:$A$8,RR_TEAM_AVG[[#This Row],[Team]],$R$4:$R$8)/B18)</f>
        <v>#DIV/0!</v>
      </c>
      <c r="S18" s="136" t="e">
        <f>SUM(SUMIF($A$4:$A$8,RR_TEAM_AVG[[#This Row],[Team]],$S$4:$S$8)/B18)</f>
        <v>#DIV/0!</v>
      </c>
      <c r="T18" s="136" t="e">
        <f>SUM(SUMIF($A$4:$A$8,RR_TEAM_AVG[[#This Row],[Team]],$T$4:$T$8)/B18)</f>
        <v>#DIV/0!</v>
      </c>
      <c r="U18" s="136" t="e">
        <f>SUM(SUMIF($A$4:$A$8,RR_TEAM_AVG[[#This Row],[Team]],$U$4:$U$8)/B18)</f>
        <v>#DIV/0!</v>
      </c>
      <c r="V18" s="136" t="e">
        <f>SUM(SUMIF($A$4:$A$8,RR_TEAM_AVG[[#This Row],[Team]],$V$4:$V$8)/B18)</f>
        <v>#DIV/0!</v>
      </c>
      <c r="W18" s="136" t="e">
        <f>SUM(SUMIF($A$4:$A$8,RR_TEAM_AVG[[#This Row],[Team]],$W$4:$W$8)/B18)</f>
        <v>#DIV/0!</v>
      </c>
      <c r="X18" s="125" t="e">
        <f>RR_TEAM_AVG[[#This Row],[Dimes]]/RR_TEAM_AVG[[#This Row],[Turnovers]]</f>
        <v>#DIV/0!</v>
      </c>
    </row>
    <row r="19" spans="1:24" x14ac:dyDescent="0.2">
      <c r="B19" s="86"/>
      <c r="C19" s="136" t="e">
        <f>SUBTOTAL(101,RR_TEAM_AVG[Total FGM])</f>
        <v>#DIV/0!</v>
      </c>
      <c r="D19" s="136" t="e">
        <f>SUBTOTAL(101,RR_TEAM_AVG[Total FGA])</f>
        <v>#DIV/0!</v>
      </c>
      <c r="E19" s="140" t="e">
        <f>RR_TEAM_AVG[[#Totals],[Total FGM]]/RR_TEAM_AVG[[#Totals],[Total FGA]]</f>
        <v>#DIV/0!</v>
      </c>
      <c r="F19" s="137" t="e">
        <f>SUBTOTAL(101,RR_TEAM_AVG[2PT FGM])</f>
        <v>#DIV/0!</v>
      </c>
      <c r="G19" s="136" t="e">
        <f>SUBTOTAL(101,RR_TEAM_AVG[2PT FGA])</f>
        <v>#DIV/0!</v>
      </c>
      <c r="H19" s="140" t="e">
        <f>RR_TEAM_AVG[[#Totals],[2PT FGM]]/RR_TEAM_AVG[[#Totals],[2PT FGA]]</f>
        <v>#DIV/0!</v>
      </c>
      <c r="I19" s="136" t="e">
        <f>SUBTOTAL(101,RR_TEAM_AVG[3PT FGM])</f>
        <v>#DIV/0!</v>
      </c>
      <c r="J19" s="136" t="e">
        <f>SUBTOTAL(101,RR_TEAM_AVG[3PT FGA])</f>
        <v>#DIV/0!</v>
      </c>
      <c r="K19" s="140" t="e">
        <f>RR_TEAM_AVG[[#Totals],[3PT FGM]]/RR_TEAM_AVG[[#Totals],[3PT FGA]]</f>
        <v>#DIV/0!</v>
      </c>
      <c r="L19" s="136" t="e">
        <f>SUBTOTAL(101,RR_TEAM_AVG[FTM])</f>
        <v>#DIV/0!</v>
      </c>
      <c r="M19" s="136" t="e">
        <f>SUBTOTAL(101,RR_TEAM_AVG[FTA])</f>
        <v>#DIV/0!</v>
      </c>
      <c r="N19" s="141" t="e">
        <f>RR_TEAM_AVG[[#Totals],[FTM]]/RR_TEAM_AVG[[#Totals],[FTA]]</f>
        <v>#DIV/0!</v>
      </c>
      <c r="O19" s="136" t="e">
        <f>SUBTOTAL(101,RR_TEAM_AVG[TOTAL POINTS])</f>
        <v>#DIV/0!</v>
      </c>
      <c r="P19" s="136" t="e">
        <f>SUBTOTAL(101,RR_TEAM_AVG[Dunks])</f>
        <v>#DIV/0!</v>
      </c>
      <c r="Q19" s="136" t="e">
        <f>SUBTOTAL(101,RR_TEAM_AVG[Def. Boards])</f>
        <v>#DIV/0!</v>
      </c>
      <c r="R19" s="136" t="e">
        <f>SUBTOTAL(101,RR_TEAM_AVG[Off. Boards])</f>
        <v>#DIV/0!</v>
      </c>
      <c r="S19" s="136" t="e">
        <f>SUBTOTAL(101,RR_TEAM_AVG[Total Boards])</f>
        <v>#DIV/0!</v>
      </c>
      <c r="T19" s="136" t="e">
        <f>SUBTOTAL(101,RR_TEAM_AVG[Dimes])</f>
        <v>#DIV/0!</v>
      </c>
      <c r="U19" s="136" t="e">
        <f>SUBTOTAL(101,RR_TEAM_AVG[Cookies])</f>
        <v>#DIV/0!</v>
      </c>
      <c r="V19" s="136" t="e">
        <f>SUBTOTAL(101,RR_TEAM_AVG[Swats])</f>
        <v>#DIV/0!</v>
      </c>
      <c r="W19" s="136" t="e">
        <f>SUBTOTAL(101,RR_TEAM_AVG[Turnovers])</f>
        <v>#DIV/0!</v>
      </c>
      <c r="X19" s="125" t="e">
        <f>SUBTOTAL(101,RR_TEAM_AVG[Dimes:TO])</f>
        <v>#DIV/0!</v>
      </c>
    </row>
    <row r="25" spans="1:24" x14ac:dyDescent="0.2">
      <c r="K25" s="13"/>
    </row>
  </sheetData>
  <pageMargins left="0.7" right="0.7" top="0.75" bottom="0.75" header="0.3" footer="0.3"/>
  <tableParts count="2">
    <tablePart r:id="rId1"/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EA35D-650C-4BBC-94CF-67FE98B112BF}">
  <sheetPr>
    <tabColor theme="1"/>
  </sheetPr>
  <dimension ref="A1:W212"/>
  <sheetViews>
    <sheetView showGridLines="0" zoomScale="80" zoomScaleNormal="80" workbookViewId="0">
      <selection activeCell="E19" sqref="E19"/>
    </sheetView>
  </sheetViews>
  <sheetFormatPr baseColWidth="10" defaultColWidth="8.83203125" defaultRowHeight="15" x14ac:dyDescent="0.2"/>
  <cols>
    <col min="1" max="1" width="21.6640625" bestFit="1" customWidth="1"/>
    <col min="2" max="2" width="15.5" customWidth="1"/>
    <col min="3" max="3" width="20.83203125" bestFit="1" customWidth="1"/>
    <col min="4" max="4" width="16.5" bestFit="1" customWidth="1"/>
    <col min="5" max="5" width="20.83203125" bestFit="1" customWidth="1"/>
    <col min="6" max="6" width="13.5" bestFit="1" customWidth="1"/>
    <col min="7" max="7" width="13.83203125" bestFit="1" customWidth="1"/>
    <col min="8" max="8" width="14.1640625" bestFit="1" customWidth="1"/>
    <col min="9" max="9" width="12.83203125" bestFit="1" customWidth="1"/>
    <col min="10" max="10" width="13.1640625" bestFit="1" customWidth="1"/>
    <col min="11" max="11" width="7" customWidth="1"/>
    <col min="12" max="12" width="6.5" customWidth="1"/>
    <col min="13" max="13" width="9.5" bestFit="1" customWidth="1"/>
    <col min="14" max="14" width="18.33203125" bestFit="1" customWidth="1"/>
    <col min="15" max="15" width="11" bestFit="1" customWidth="1"/>
    <col min="16" max="16" width="15.6640625" bestFit="1" customWidth="1"/>
    <col min="17" max="17" width="15.5" bestFit="1" customWidth="1"/>
    <col min="18" max="18" width="16.5" bestFit="1" customWidth="1"/>
    <col min="19" max="19" width="11.83203125" bestFit="1" customWidth="1"/>
    <col min="20" max="20" width="12.83203125" bestFit="1" customWidth="1"/>
    <col min="21" max="21" width="11.5" bestFit="1" customWidth="1"/>
    <col min="22" max="23" width="14.6640625" bestFit="1" customWidth="1"/>
  </cols>
  <sheetData>
    <row r="1" spans="1:23" x14ac:dyDescent="0.2">
      <c r="A1" t="s">
        <v>144</v>
      </c>
    </row>
    <row r="2" spans="1:23" x14ac:dyDescent="0.2">
      <c r="C2" s="86" t="s">
        <v>68</v>
      </c>
      <c r="D2" s="86" t="s">
        <v>134</v>
      </c>
      <c r="E2" s="86" t="s">
        <v>74</v>
      </c>
    </row>
    <row r="3" spans="1:23" ht="24" x14ac:dyDescent="0.2">
      <c r="A3" s="84" t="s">
        <v>66</v>
      </c>
      <c r="B3" s="85">
        <v>1</v>
      </c>
      <c r="C3" s="167" t="s">
        <v>165</v>
      </c>
      <c r="D3" s="85" t="s">
        <v>137</v>
      </c>
      <c r="E3" s="85" t="s">
        <v>166</v>
      </c>
      <c r="H3" s="23"/>
    </row>
    <row r="4" spans="1:23" ht="24" x14ac:dyDescent="0.2">
      <c r="A4" s="84"/>
      <c r="B4" s="85" t="s">
        <v>151</v>
      </c>
      <c r="C4" s="167">
        <f>N12</f>
        <v>0</v>
      </c>
      <c r="D4" s="85"/>
      <c r="E4" s="85">
        <f>N21</f>
        <v>0</v>
      </c>
      <c r="H4" s="23"/>
    </row>
    <row r="5" spans="1:23" ht="16" thickBot="1" x14ac:dyDescent="0.25">
      <c r="A5" s="59" t="s">
        <v>68</v>
      </c>
    </row>
    <row r="6" spans="1:23" ht="30" customHeight="1" x14ac:dyDescent="0.2">
      <c r="A6" s="166" t="s">
        <v>169</v>
      </c>
      <c r="B6" s="11" t="s">
        <v>0</v>
      </c>
      <c r="C6" s="11" t="s">
        <v>1</v>
      </c>
      <c r="D6" s="11" t="s">
        <v>2</v>
      </c>
      <c r="E6" s="95" t="s">
        <v>3</v>
      </c>
      <c r="F6" s="96" t="s">
        <v>4</v>
      </c>
      <c r="G6" s="96" t="s">
        <v>5</v>
      </c>
      <c r="H6" s="96" t="s">
        <v>6</v>
      </c>
      <c r="I6" s="96" t="s">
        <v>7</v>
      </c>
      <c r="J6" s="96" t="s">
        <v>8</v>
      </c>
      <c r="K6" s="96" t="s">
        <v>9</v>
      </c>
      <c r="L6" s="96" t="s">
        <v>10</v>
      </c>
      <c r="M6" s="97" t="s">
        <v>11</v>
      </c>
      <c r="N6" s="11" t="s">
        <v>12</v>
      </c>
      <c r="O6" s="10" t="s">
        <v>13</v>
      </c>
      <c r="P6" s="11" t="s">
        <v>14</v>
      </c>
      <c r="Q6" s="11" t="s">
        <v>15</v>
      </c>
      <c r="R6" s="11" t="s">
        <v>16</v>
      </c>
      <c r="S6" s="10" t="s">
        <v>17</v>
      </c>
      <c r="T6" s="10" t="s">
        <v>18</v>
      </c>
      <c r="U6" s="10" t="s">
        <v>19</v>
      </c>
      <c r="V6" s="10" t="s">
        <v>20</v>
      </c>
      <c r="W6" s="10" t="s">
        <v>21</v>
      </c>
    </row>
    <row r="7" spans="1:23" x14ac:dyDescent="0.2">
      <c r="B7" s="90"/>
      <c r="C7" s="90"/>
      <c r="D7" s="91" t="e">
        <f>LITI_1[[#This Row],[Total FGM]]/LITI_1[[#This Row],[Total FGA]]</f>
        <v>#DIV/0!</v>
      </c>
      <c r="E7" s="98"/>
      <c r="F7" s="19"/>
      <c r="G7" s="91" t="e">
        <f>LITI_1[[#This Row],[2PT FGM]]/LITI_1[[#This Row],[2PT FGA]]</f>
        <v>#DIV/0!</v>
      </c>
      <c r="H7" s="19"/>
      <c r="I7" s="19"/>
      <c r="J7" s="91" t="e">
        <f>LITI_1[[#This Row],[3PT FGM]]/LITI_1[[#This Row],[3PT FGA]]</f>
        <v>#DIV/0!</v>
      </c>
      <c r="K7" s="19"/>
      <c r="L7" s="19"/>
      <c r="M7" s="99" t="e">
        <f>LITI_1[[#This Row],[FTM]]/LITI_1[[#This Row],[FTA]]</f>
        <v>#DIV/0!</v>
      </c>
      <c r="N7" s="19">
        <f>SUM(LITI_1[[#This Row],[2PT FGM]]*2,LITI_1[[#This Row],[3PT FGM]]*3,LITI_1[[#This Row],[FTM]])</f>
        <v>0</v>
      </c>
      <c r="O7" s="19"/>
      <c r="P7" s="19"/>
      <c r="Q7" s="19"/>
      <c r="R7" s="19">
        <f>LITI_1[[#This Row],[Def. Boards]]+LITI_1[[#This Row],[Off. Boards]]</f>
        <v>0</v>
      </c>
      <c r="S7" s="19"/>
      <c r="T7" s="19"/>
      <c r="U7" s="19"/>
      <c r="V7" s="19"/>
      <c r="W7" s="92" t="e">
        <f>LITI_1[[#This Row],[Dimes]]/LITI_1[[#This Row],[Turnovers]]</f>
        <v>#DIV/0!</v>
      </c>
    </row>
    <row r="8" spans="1:23" x14ac:dyDescent="0.2">
      <c r="B8" s="90"/>
      <c r="C8" s="90"/>
      <c r="D8" s="91" t="e">
        <f>LITI_1[[#This Row],[Total FGM]]/LITI_1[[#This Row],[Total FGA]]</f>
        <v>#DIV/0!</v>
      </c>
      <c r="E8" s="98"/>
      <c r="F8" s="19"/>
      <c r="G8" s="91" t="e">
        <f>LITI_1[[#This Row],[2PT FGM]]/LITI_1[[#This Row],[2PT FGA]]</f>
        <v>#DIV/0!</v>
      </c>
      <c r="H8" s="19"/>
      <c r="I8" s="19"/>
      <c r="J8" s="91" t="e">
        <f>LITI_1[[#This Row],[3PT FGM]]/LITI_1[[#This Row],[3PT FGA]]</f>
        <v>#DIV/0!</v>
      </c>
      <c r="K8" s="19"/>
      <c r="L8" s="19"/>
      <c r="M8" s="99" t="e">
        <f>LITI_1[[#This Row],[FTM]]/LITI_1[[#This Row],[FTA]]</f>
        <v>#DIV/0!</v>
      </c>
      <c r="N8" s="19">
        <f>SUM(LITI_1[[#This Row],[2PT FGM]]*2,LITI_1[[#This Row],[3PT FGM]]*3,LITI_1[[#This Row],[FTM]])</f>
        <v>0</v>
      </c>
      <c r="O8" s="19"/>
      <c r="P8" s="19"/>
      <c r="Q8" s="19"/>
      <c r="R8" s="19">
        <f>LITI_1[[#This Row],[Def. Boards]]+LITI_1[[#This Row],[Off. Boards]]</f>
        <v>0</v>
      </c>
      <c r="S8" s="19"/>
      <c r="T8" s="19"/>
      <c r="U8" s="19"/>
      <c r="V8" s="19"/>
      <c r="W8" s="92" t="e">
        <f>LITI_1[[#This Row],[Dimes]]/LITI_1[[#This Row],[Turnovers]]</f>
        <v>#DIV/0!</v>
      </c>
    </row>
    <row r="9" spans="1:23" x14ac:dyDescent="0.2">
      <c r="B9" s="90"/>
      <c r="C9" s="90"/>
      <c r="D9" s="91" t="e">
        <f>LITI_1[[#This Row],[Total FGM]]/LITI_1[[#This Row],[Total FGA]]</f>
        <v>#DIV/0!</v>
      </c>
      <c r="E9" s="98"/>
      <c r="F9" s="19"/>
      <c r="G9" s="91" t="e">
        <f>LITI_1[[#This Row],[2PT FGM]]/LITI_1[[#This Row],[2PT FGA]]</f>
        <v>#DIV/0!</v>
      </c>
      <c r="H9" s="19"/>
      <c r="I9" s="19"/>
      <c r="J9" s="91" t="e">
        <f>LITI_1[[#This Row],[3PT FGM]]/LITI_1[[#This Row],[3PT FGA]]</f>
        <v>#DIV/0!</v>
      </c>
      <c r="K9" s="19"/>
      <c r="L9" s="19"/>
      <c r="M9" s="99" t="e">
        <f>LITI_1[[#This Row],[FTM]]/LITI_1[[#This Row],[FTA]]</f>
        <v>#DIV/0!</v>
      </c>
      <c r="N9" s="19">
        <f>SUM(LITI_1[[#This Row],[2PT FGM]]*2,LITI_1[[#This Row],[3PT FGM]]*3,LITI_1[[#This Row],[FTM]])</f>
        <v>0</v>
      </c>
      <c r="O9" s="19"/>
      <c r="P9" s="19"/>
      <c r="Q9" s="19"/>
      <c r="R9" s="19">
        <f>LITI_1[[#This Row],[Def. Boards]]+LITI_1[[#This Row],[Off. Boards]]</f>
        <v>0</v>
      </c>
      <c r="S9" s="19"/>
      <c r="T9" s="19"/>
      <c r="U9" s="19"/>
      <c r="V9" s="19"/>
      <c r="W9" s="92" t="e">
        <f>LITI_1[[#This Row],[Dimes]]/LITI_1[[#This Row],[Turnovers]]</f>
        <v>#DIV/0!</v>
      </c>
    </row>
    <row r="10" spans="1:23" x14ac:dyDescent="0.2">
      <c r="B10" s="90"/>
      <c r="C10" s="90"/>
      <c r="D10" s="91" t="e">
        <f>LITI_1[[#This Row],[Total FGM]]/LITI_1[[#This Row],[Total FGA]]</f>
        <v>#DIV/0!</v>
      </c>
      <c r="E10" s="98"/>
      <c r="F10" s="19"/>
      <c r="G10" s="91" t="e">
        <f>LITI_1[[#This Row],[2PT FGM]]/LITI_1[[#This Row],[2PT FGA]]</f>
        <v>#DIV/0!</v>
      </c>
      <c r="H10" s="19"/>
      <c r="I10" s="19"/>
      <c r="J10" s="91" t="e">
        <f>LITI_1[[#This Row],[3PT FGM]]/LITI_1[[#This Row],[3PT FGA]]</f>
        <v>#DIV/0!</v>
      </c>
      <c r="K10" s="19"/>
      <c r="L10" s="19"/>
      <c r="M10" s="99" t="e">
        <f>LITI_1[[#This Row],[FTM]]/LITI_1[[#This Row],[FTA]]</f>
        <v>#DIV/0!</v>
      </c>
      <c r="N10" s="19">
        <f>SUM(LITI_1[[#This Row],[2PT FGM]]*2,LITI_1[[#This Row],[3PT FGM]]*3,LITI_1[[#This Row],[FTM]])</f>
        <v>0</v>
      </c>
      <c r="O10" s="19"/>
      <c r="P10" s="19"/>
      <c r="Q10" s="19"/>
      <c r="R10" s="19">
        <f>LITI_1[[#This Row],[Def. Boards]]+LITI_1[[#This Row],[Off. Boards]]</f>
        <v>0</v>
      </c>
      <c r="S10" s="19"/>
      <c r="T10" s="19"/>
      <c r="U10" s="19"/>
      <c r="V10" s="19"/>
      <c r="W10" s="92" t="e">
        <f>LITI_1[[#This Row],[Dimes]]/LITI_1[[#This Row],[Turnovers]]</f>
        <v>#DIV/0!</v>
      </c>
    </row>
    <row r="11" spans="1:23" x14ac:dyDescent="0.2">
      <c r="A11" s="165"/>
      <c r="B11" s="90"/>
      <c r="C11" s="90"/>
      <c r="D11" s="91" t="e">
        <f>LITI_1[[#This Row],[Total FGM]]/LITI_1[[#This Row],[Total FGA]]</f>
        <v>#DIV/0!</v>
      </c>
      <c r="E11" s="98"/>
      <c r="F11" s="19"/>
      <c r="G11" s="91" t="e">
        <f>LITI_1[[#This Row],[2PT FGM]]/LITI_1[[#This Row],[2PT FGA]]</f>
        <v>#DIV/0!</v>
      </c>
      <c r="H11" s="19"/>
      <c r="I11" s="19"/>
      <c r="J11" s="91" t="e">
        <f>LITI_1[[#This Row],[3PT FGM]]/LITI_1[[#This Row],[3PT FGA]]</f>
        <v>#DIV/0!</v>
      </c>
      <c r="K11" s="19"/>
      <c r="L11" s="19"/>
      <c r="M11" s="99" t="e">
        <f>LITI_1[[#This Row],[FTM]]/LITI_1[[#This Row],[FTA]]</f>
        <v>#DIV/0!</v>
      </c>
      <c r="N11" s="19">
        <f>SUM(LITI_1[[#This Row],[2PT FGM]]*2,LITI_1[[#This Row],[3PT FGM]]*3,LITI_1[[#This Row],[FTM]])</f>
        <v>0</v>
      </c>
      <c r="O11" s="19"/>
      <c r="P11" s="19"/>
      <c r="Q11" s="19"/>
      <c r="R11" s="19">
        <f>LITI_1[[#This Row],[Def. Boards]]+LITI_1[[#This Row],[Off. Boards]]</f>
        <v>0</v>
      </c>
      <c r="S11" s="19"/>
      <c r="T11" s="19"/>
      <c r="U11" s="19"/>
      <c r="V11" s="19"/>
      <c r="W11" s="92" t="e">
        <f>LITI_1[[#This Row],[Dimes]]/LITI_1[[#This Row],[Turnovers]]</f>
        <v>#DIV/0!</v>
      </c>
    </row>
    <row r="12" spans="1:23" s="24" customFormat="1" ht="16.5" customHeight="1" thickBot="1" x14ac:dyDescent="0.25">
      <c r="A12" s="82" t="s">
        <v>76</v>
      </c>
      <c r="B12" s="100">
        <f>SUM(B7:B11)</f>
        <v>0</v>
      </c>
      <c r="C12" s="100">
        <f>SUM(C7:C11)</f>
        <v>0</v>
      </c>
      <c r="D12" s="101" t="e">
        <f>LITI_1[[#This Row],[Total FGM]]/LITI_1[[#This Row],[Total FGA]]</f>
        <v>#DIV/0!</v>
      </c>
      <c r="E12" s="102">
        <f>SUM(E7:E11)</f>
        <v>0</v>
      </c>
      <c r="F12" s="103">
        <f>SUM(F7:F11)</f>
        <v>0</v>
      </c>
      <c r="G12" s="108" t="e">
        <f>LITI_1[[#This Row],[2PT FGM]]/LITI_1[[#This Row],[2PT FGA]]</f>
        <v>#DIV/0!</v>
      </c>
      <c r="H12" s="103">
        <f>SUM(H7:H11)</f>
        <v>0</v>
      </c>
      <c r="I12" s="103">
        <f>SUM(I7:I11)</f>
        <v>0</v>
      </c>
      <c r="J12" s="104" t="e">
        <f>LITI_1[[#This Row],[3PT FGM]]/LITI_1[[#This Row],[3PT FGA]]</f>
        <v>#DIV/0!</v>
      </c>
      <c r="K12" s="103">
        <f>SUM(K7:K11)</f>
        <v>0</v>
      </c>
      <c r="L12" s="103">
        <f>SUM(L7:L11)</f>
        <v>0</v>
      </c>
      <c r="M12" s="105" t="e">
        <f>LITI_1[[#This Row],[FTM]]/LITI_1[[#This Row],[FTA]]</f>
        <v>#DIV/0!</v>
      </c>
      <c r="N12" s="62">
        <f>SUM(LITI_1[[#This Row],[2PT FGM]]*2,LITI_1[[#This Row],[3PT FGM]]*3,LITI_1[[#This Row],[FTM]])</f>
        <v>0</v>
      </c>
      <c r="O12" s="106">
        <f>SUM(O7:O11)</f>
        <v>0</v>
      </c>
      <c r="P12" s="106">
        <f t="shared" ref="P12:V12" si="0">SUM(P7:P11)</f>
        <v>0</v>
      </c>
      <c r="Q12" s="106">
        <f t="shared" si="0"/>
        <v>0</v>
      </c>
      <c r="R12" s="106">
        <f t="shared" si="0"/>
        <v>0</v>
      </c>
      <c r="S12" s="106">
        <f t="shared" si="0"/>
        <v>0</v>
      </c>
      <c r="T12" s="106">
        <f t="shared" si="0"/>
        <v>0</v>
      </c>
      <c r="U12" s="106">
        <f t="shared" si="0"/>
        <v>0</v>
      </c>
      <c r="V12" s="106">
        <f t="shared" si="0"/>
        <v>0</v>
      </c>
      <c r="W12" s="107" t="e">
        <f>LITI_1[[#This Row],[Dimes]]/LITI_1[[#This Row],[Turnovers]]</f>
        <v>#DIV/0!</v>
      </c>
    </row>
    <row r="13" spans="1:23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 ht="16" thickBot="1" x14ac:dyDescent="0.25">
      <c r="A14" s="94" t="s">
        <v>74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 ht="30" customHeight="1" x14ac:dyDescent="0.2">
      <c r="A15" s="166" t="s">
        <v>169</v>
      </c>
      <c r="B15" s="11" t="s">
        <v>0</v>
      </c>
      <c r="C15" s="11" t="s">
        <v>1</v>
      </c>
      <c r="D15" s="11" t="s">
        <v>2</v>
      </c>
      <c r="E15" s="95" t="s">
        <v>3</v>
      </c>
      <c r="F15" s="96" t="s">
        <v>4</v>
      </c>
      <c r="G15" s="96" t="s">
        <v>5</v>
      </c>
      <c r="H15" s="96" t="s">
        <v>6</v>
      </c>
      <c r="I15" s="96" t="s">
        <v>7</v>
      </c>
      <c r="J15" s="96" t="s">
        <v>8</v>
      </c>
      <c r="K15" s="96" t="s">
        <v>9</v>
      </c>
      <c r="L15" s="96" t="s">
        <v>10</v>
      </c>
      <c r="M15" s="97" t="s">
        <v>11</v>
      </c>
      <c r="N15" s="11" t="s">
        <v>12</v>
      </c>
      <c r="O15" s="10" t="s">
        <v>13</v>
      </c>
      <c r="P15" s="11" t="s">
        <v>14</v>
      </c>
      <c r="Q15" s="11" t="s">
        <v>15</v>
      </c>
      <c r="R15" s="11" t="s">
        <v>16</v>
      </c>
      <c r="S15" s="10" t="s">
        <v>17</v>
      </c>
      <c r="T15" s="10" t="s">
        <v>18</v>
      </c>
      <c r="U15" s="10" t="s">
        <v>19</v>
      </c>
      <c r="V15" s="10" t="s">
        <v>20</v>
      </c>
      <c r="W15" s="10" t="s">
        <v>21</v>
      </c>
    </row>
    <row r="16" spans="1:23" x14ac:dyDescent="0.2">
      <c r="B16" s="90">
        <f>GN_1[[#This Row],[2PT FGM]]+GN_1[[#This Row],[3PT FGM]]</f>
        <v>0</v>
      </c>
      <c r="C16" s="90">
        <f>GN_1[[#This Row],[2PT FGA]]+GN_1[[#This Row],[3PT FGA]]</f>
        <v>0</v>
      </c>
      <c r="D16" s="91" t="e">
        <f>GN_1[[#This Row],[Total FGM]]/GN_1[[#This Row],[Total FGA]]</f>
        <v>#DIV/0!</v>
      </c>
      <c r="E16" s="98"/>
      <c r="F16" s="19"/>
      <c r="G16" s="91" t="e">
        <f>GN_1[[#This Row],[2PT FGM]]/GN_1[[#This Row],[2PT FGA]]</f>
        <v>#DIV/0!</v>
      </c>
      <c r="H16" s="19"/>
      <c r="I16" s="19"/>
      <c r="J16" s="91" t="e">
        <f>GN_1[[#This Row],[3PT FGM]]/GN_1[[#This Row],[3PT FGA]]</f>
        <v>#DIV/0!</v>
      </c>
      <c r="K16" s="19"/>
      <c r="L16" s="19"/>
      <c r="M16" s="99" t="e">
        <f>GN_1[[#This Row],[FTM]]/GN_1[[#This Row],[FTA]]</f>
        <v>#DIV/0!</v>
      </c>
      <c r="N16" s="19">
        <f>SUM(GN_1[[#This Row],[2PT FGM]]*2,GN_1[[#This Row],[3PT FGM]]*3,GN_1[[#This Row],[FTM]])</f>
        <v>0</v>
      </c>
      <c r="O16" s="19"/>
      <c r="P16" s="19"/>
      <c r="Q16" s="19"/>
      <c r="R16" s="19">
        <f>GN_1[[#This Row],[Def. Boards]]+GN_1[[#This Row],[Off. Boards]]</f>
        <v>0</v>
      </c>
      <c r="S16" s="19"/>
      <c r="T16" s="19"/>
      <c r="U16" s="19"/>
      <c r="V16" s="19"/>
      <c r="W16" s="92" t="e">
        <f>GN_1[[#This Row],[Dimes]]/GN_1[[#This Row],[Turnovers]]</f>
        <v>#DIV/0!</v>
      </c>
    </row>
    <row r="17" spans="1:23" x14ac:dyDescent="0.2">
      <c r="B17" s="90">
        <f>GN_1[[#This Row],[2PT FGM]]+GN_1[[#This Row],[3PT FGM]]</f>
        <v>0</v>
      </c>
      <c r="C17" s="90">
        <f>GN_1[[#This Row],[2PT FGA]]+GN_1[[#This Row],[3PT FGA]]</f>
        <v>0</v>
      </c>
      <c r="D17" s="91" t="e">
        <f>GN_1[[#This Row],[Total FGM]]/GN_1[[#This Row],[Total FGA]]</f>
        <v>#DIV/0!</v>
      </c>
      <c r="E17" s="98"/>
      <c r="F17" s="19"/>
      <c r="G17" s="91" t="e">
        <f>GN_1[[#This Row],[2PT FGM]]/GN_1[[#This Row],[2PT FGA]]</f>
        <v>#DIV/0!</v>
      </c>
      <c r="H17" s="19"/>
      <c r="I17" s="19"/>
      <c r="J17" s="91" t="e">
        <f>GN_1[[#This Row],[3PT FGM]]/GN_1[[#This Row],[3PT FGA]]</f>
        <v>#DIV/0!</v>
      </c>
      <c r="K17" s="19"/>
      <c r="L17" s="19"/>
      <c r="M17" s="99" t="e">
        <f>GN_1[[#This Row],[FTM]]/GN_1[[#This Row],[FTA]]</f>
        <v>#DIV/0!</v>
      </c>
      <c r="N17" s="19">
        <f>SUM(GN_1[[#This Row],[2PT FGM]]*2,GN_1[[#This Row],[3PT FGM]]*3,GN_1[[#This Row],[FTM]])</f>
        <v>0</v>
      </c>
      <c r="O17" s="19"/>
      <c r="P17" s="19"/>
      <c r="Q17" s="19"/>
      <c r="R17" s="19">
        <f>GN_1[[#This Row],[Def. Boards]]+GN_1[[#This Row],[Off. Boards]]</f>
        <v>0</v>
      </c>
      <c r="S17" s="19"/>
      <c r="T17" s="19"/>
      <c r="U17" s="19"/>
      <c r="V17" s="19"/>
      <c r="W17" s="92" t="e">
        <f>GN_1[[#This Row],[Dimes]]/GN_1[[#This Row],[Turnovers]]</f>
        <v>#DIV/0!</v>
      </c>
    </row>
    <row r="18" spans="1:23" x14ac:dyDescent="0.2">
      <c r="B18" s="90">
        <f>GN_1[[#This Row],[2PT FGM]]+GN_1[[#This Row],[3PT FGM]]</f>
        <v>0</v>
      </c>
      <c r="C18" s="90">
        <f>GN_1[[#This Row],[2PT FGA]]+GN_1[[#This Row],[3PT FGA]]</f>
        <v>0</v>
      </c>
      <c r="D18" s="91" t="e">
        <f>GN_1[[#This Row],[Total FGM]]/GN_1[[#This Row],[Total FGA]]</f>
        <v>#DIV/0!</v>
      </c>
      <c r="E18" s="98"/>
      <c r="F18" s="19"/>
      <c r="G18" s="91" t="e">
        <f>GN_1[[#This Row],[2PT FGM]]/GN_1[[#This Row],[2PT FGA]]</f>
        <v>#DIV/0!</v>
      </c>
      <c r="H18" s="19"/>
      <c r="I18" s="19"/>
      <c r="J18" s="91" t="e">
        <f>GN_1[[#This Row],[3PT FGM]]/GN_1[[#This Row],[3PT FGA]]</f>
        <v>#DIV/0!</v>
      </c>
      <c r="K18" s="19"/>
      <c r="L18" s="19"/>
      <c r="M18" s="99" t="e">
        <f>GN_1[[#This Row],[FTM]]/GN_1[[#This Row],[FTA]]</f>
        <v>#DIV/0!</v>
      </c>
      <c r="N18" s="19">
        <f>SUM(GN_1[[#This Row],[2PT FGM]]*2,GN_1[[#This Row],[3PT FGM]]*3,GN_1[[#This Row],[FTM]])</f>
        <v>0</v>
      </c>
      <c r="O18" s="19"/>
      <c r="P18" s="19"/>
      <c r="Q18" s="19"/>
      <c r="R18" s="19">
        <f>GN_1[[#This Row],[Def. Boards]]+GN_1[[#This Row],[Off. Boards]]</f>
        <v>0</v>
      </c>
      <c r="S18" s="19"/>
      <c r="T18" s="19"/>
      <c r="U18" s="19"/>
      <c r="V18" s="19"/>
      <c r="W18" s="92" t="e">
        <f>GN_1[[#This Row],[Dimes]]/GN_1[[#This Row],[Turnovers]]</f>
        <v>#DIV/0!</v>
      </c>
    </row>
    <row r="19" spans="1:23" x14ac:dyDescent="0.2">
      <c r="B19" s="90">
        <f>GN_1[[#This Row],[2PT FGM]]+GN_1[[#This Row],[3PT FGM]]</f>
        <v>0</v>
      </c>
      <c r="C19" s="90">
        <f>GN_1[[#This Row],[2PT FGA]]+GN_1[[#This Row],[3PT FGA]]</f>
        <v>0</v>
      </c>
      <c r="D19" s="91" t="e">
        <f>GN_1[[#This Row],[Total FGM]]/GN_1[[#This Row],[Total FGA]]</f>
        <v>#DIV/0!</v>
      </c>
      <c r="E19" s="98"/>
      <c r="F19" s="19"/>
      <c r="G19" s="91" t="e">
        <f>GN_1[[#This Row],[2PT FGM]]/GN_1[[#This Row],[2PT FGA]]</f>
        <v>#DIV/0!</v>
      </c>
      <c r="H19" s="19"/>
      <c r="I19" s="19"/>
      <c r="J19" s="91" t="e">
        <f>GN_1[[#This Row],[3PT FGM]]/GN_1[[#This Row],[3PT FGA]]</f>
        <v>#DIV/0!</v>
      </c>
      <c r="K19" s="19"/>
      <c r="L19" s="19"/>
      <c r="M19" s="99" t="e">
        <f>GN_1[[#This Row],[FTM]]/GN_1[[#This Row],[FTA]]</f>
        <v>#DIV/0!</v>
      </c>
      <c r="N19" s="19">
        <f>SUM(GN_1[[#This Row],[2PT FGM]]*2,GN_1[[#This Row],[3PT FGM]]*3,GN_1[[#This Row],[FTM]])</f>
        <v>0</v>
      </c>
      <c r="O19" s="19"/>
      <c r="P19" s="19"/>
      <c r="Q19" s="19"/>
      <c r="R19" s="19">
        <f>GN_1[[#This Row],[Def. Boards]]+GN_1[[#This Row],[Off. Boards]]</f>
        <v>0</v>
      </c>
      <c r="S19" s="19"/>
      <c r="T19" s="19"/>
      <c r="U19" s="19"/>
      <c r="V19" s="19"/>
      <c r="W19" s="92" t="e">
        <f>GN_1[[#This Row],[Dimes]]/GN_1[[#This Row],[Turnovers]]</f>
        <v>#DIV/0!</v>
      </c>
    </row>
    <row r="20" spans="1:23" x14ac:dyDescent="0.2">
      <c r="A20" s="165"/>
      <c r="B20" s="90"/>
      <c r="C20" s="90"/>
      <c r="D20" s="91"/>
      <c r="E20" s="98"/>
      <c r="F20" s="19"/>
      <c r="G20" s="91"/>
      <c r="H20" s="19"/>
      <c r="I20" s="19"/>
      <c r="J20" s="91"/>
      <c r="K20" s="19"/>
      <c r="L20" s="19"/>
      <c r="M20" s="99"/>
      <c r="N20" s="19"/>
      <c r="O20" s="19"/>
      <c r="P20" s="19"/>
      <c r="Q20" s="19"/>
      <c r="R20" s="19"/>
      <c r="S20" s="19"/>
      <c r="T20" s="19"/>
      <c r="U20" s="19"/>
      <c r="V20" s="19"/>
      <c r="W20" s="92"/>
    </row>
    <row r="21" spans="1:23" s="24" customFormat="1" ht="16" thickBot="1" x14ac:dyDescent="0.25">
      <c r="A21" s="82" t="s">
        <v>76</v>
      </c>
      <c r="B21" s="100">
        <f>SUM(B16:B20)</f>
        <v>0</v>
      </c>
      <c r="C21" s="100">
        <f>SUM(C16:C20)</f>
        <v>0</v>
      </c>
      <c r="D21" s="101" t="e">
        <f>GN_1[[#This Row],[Total FGM]]/GN_1[[#This Row],[Total FGA]]</f>
        <v>#DIV/0!</v>
      </c>
      <c r="E21" s="102">
        <f>SUM(E16:E20)</f>
        <v>0</v>
      </c>
      <c r="F21" s="103">
        <f>SUM(F16:F20)</f>
        <v>0</v>
      </c>
      <c r="G21" s="104" t="e">
        <f>GN_1[[#This Row],[2PT FGM]]/GN_1[[#This Row],[2PT FGA]]</f>
        <v>#DIV/0!</v>
      </c>
      <c r="H21" s="103">
        <f>SUM(H16:H20)</f>
        <v>0</v>
      </c>
      <c r="I21" s="103">
        <f>SUM(I16:I20)</f>
        <v>0</v>
      </c>
      <c r="J21" s="109" t="e">
        <f>GN_1[[#This Row],[3PT FGM]]/GN_1[[#This Row],[3PT FGA]]</f>
        <v>#DIV/0!</v>
      </c>
      <c r="K21" s="103">
        <f>SUM(K16:K20)</f>
        <v>0</v>
      </c>
      <c r="L21" s="103">
        <f>SUM(L16:L20)</f>
        <v>0</v>
      </c>
      <c r="M21" s="105" t="e">
        <f>GN_1[[#This Row],[FTM]]/GN_1[[#This Row],[FTA]]</f>
        <v>#DIV/0!</v>
      </c>
      <c r="N21" s="62">
        <f>SUM(GN_1[[#This Row],[2PT FGM]]*2,GN_1[[#This Row],[3PT FGM]]*3,GN_1[[#This Row],[FTM]])</f>
        <v>0</v>
      </c>
      <c r="O21" s="100">
        <f>SUM(O16:O20)</f>
        <v>0</v>
      </c>
      <c r="P21" s="100">
        <f>SUM(P16:P20)</f>
        <v>0</v>
      </c>
      <c r="Q21" s="100">
        <f>SUM(Q16:Q20)</f>
        <v>0</v>
      </c>
      <c r="R21" s="106">
        <f>GN_1[[#This Row],[Def. Boards]]+GN_1[[#This Row],[Off. Boards]]</f>
        <v>0</v>
      </c>
      <c r="S21" s="100">
        <f>SUM(S16:S20)</f>
        <v>0</v>
      </c>
      <c r="T21" s="100">
        <f>SUM(T16:T20)</f>
        <v>0</v>
      </c>
      <c r="U21" s="100">
        <f>SUM(U16:U20)</f>
        <v>0</v>
      </c>
      <c r="V21" s="100">
        <f>SUM(V16:V20)</f>
        <v>0</v>
      </c>
      <c r="W21" s="107" t="e">
        <f>GN_1[[#This Row],[Dimes]]/GN_1[[#This Row],[Turnovers]]</f>
        <v>#DIV/0!</v>
      </c>
    </row>
    <row r="22" spans="1:23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</row>
    <row r="23" spans="1:23" x14ac:dyDescent="0.2">
      <c r="C23" s="86" t="s">
        <v>68</v>
      </c>
      <c r="D23" s="86" t="s">
        <v>134</v>
      </c>
      <c r="E23" s="86" t="s">
        <v>74</v>
      </c>
    </row>
    <row r="24" spans="1:23" ht="19" x14ac:dyDescent="0.2">
      <c r="A24" s="84" t="s">
        <v>66</v>
      </c>
      <c r="B24" s="85">
        <v>2</v>
      </c>
      <c r="C24" s="85" t="s">
        <v>167</v>
      </c>
      <c r="D24" s="85" t="s">
        <v>137</v>
      </c>
      <c r="E24" s="167" t="s">
        <v>168</v>
      </c>
    </row>
    <row r="25" spans="1:23" ht="24" x14ac:dyDescent="0.2">
      <c r="A25" s="84"/>
      <c r="B25" s="85" t="s">
        <v>151</v>
      </c>
      <c r="C25" s="85">
        <f>N33</f>
        <v>0</v>
      </c>
      <c r="D25" s="85"/>
      <c r="E25" s="167">
        <f>N42</f>
        <v>0</v>
      </c>
      <c r="H25" s="23"/>
    </row>
    <row r="26" spans="1:23" ht="16" thickBot="1" x14ac:dyDescent="0.25">
      <c r="A26" s="59" t="s">
        <v>68</v>
      </c>
    </row>
    <row r="27" spans="1:23" ht="16" x14ac:dyDescent="0.2">
      <c r="A27" s="166" t="s">
        <v>169</v>
      </c>
      <c r="B27" s="11" t="s">
        <v>0</v>
      </c>
      <c r="C27" s="11" t="s">
        <v>1</v>
      </c>
      <c r="D27" s="11" t="s">
        <v>2</v>
      </c>
      <c r="E27" s="95" t="s">
        <v>3</v>
      </c>
      <c r="F27" s="96" t="s">
        <v>4</v>
      </c>
      <c r="G27" s="96" t="s">
        <v>5</v>
      </c>
      <c r="H27" s="96" t="s">
        <v>6</v>
      </c>
      <c r="I27" s="96" t="s">
        <v>7</v>
      </c>
      <c r="J27" s="96" t="s">
        <v>8</v>
      </c>
      <c r="K27" s="96" t="s">
        <v>9</v>
      </c>
      <c r="L27" s="96" t="s">
        <v>10</v>
      </c>
      <c r="M27" s="97" t="s">
        <v>11</v>
      </c>
      <c r="N27" s="11" t="s">
        <v>12</v>
      </c>
      <c r="O27" s="10" t="s">
        <v>13</v>
      </c>
      <c r="P27" s="11" t="s">
        <v>14</v>
      </c>
      <c r="Q27" s="11" t="s">
        <v>15</v>
      </c>
      <c r="R27" s="11" t="s">
        <v>16</v>
      </c>
      <c r="S27" s="10" t="s">
        <v>17</v>
      </c>
      <c r="T27" s="10" t="s">
        <v>18</v>
      </c>
      <c r="U27" s="10" t="s">
        <v>19</v>
      </c>
      <c r="V27" s="10" t="s">
        <v>20</v>
      </c>
      <c r="W27" s="10" t="s">
        <v>21</v>
      </c>
    </row>
    <row r="28" spans="1:23" x14ac:dyDescent="0.2">
      <c r="A28" s="13"/>
      <c r="B28" s="90">
        <f>GEN_1[[#This Row],[2PT FGM]]+GEN_1[[#This Row],[3PT FGM]]</f>
        <v>0</v>
      </c>
      <c r="C28" s="90">
        <f>GEN_1[[#This Row],[2PT FGA]]+GEN_1[[#This Row],[3PT FGA]]</f>
        <v>0</v>
      </c>
      <c r="D28" s="91" t="e">
        <f>GEN_1[[#This Row],[Total FGM]]/GEN_1[[#This Row],[Total FGA]]</f>
        <v>#DIV/0!</v>
      </c>
      <c r="E28" s="98"/>
      <c r="F28" s="19"/>
      <c r="G28" s="91" t="e">
        <f>GEN_1[[#This Row],[2PT FGM]]/GEN_1[[#This Row],[2PT FGA]]</f>
        <v>#DIV/0!</v>
      </c>
      <c r="H28" s="19"/>
      <c r="I28" s="19"/>
      <c r="J28" s="91" t="e">
        <f>GEN_1[[#This Row],[3PT FGM]]/GEN_1[[#This Row],[3PT FGA]]</f>
        <v>#DIV/0!</v>
      </c>
      <c r="K28" s="19"/>
      <c r="L28" s="19"/>
      <c r="M28" s="99" t="e">
        <f>GEN_1[[#This Row],[FTM]]/GEN_1[[#This Row],[FTA]]</f>
        <v>#DIV/0!</v>
      </c>
      <c r="N28" s="19">
        <f>SUM(GEN_1[[#This Row],[2PT FGM]]*2,GEN_1[[#This Row],[3PT FGM]]*3,GEN_1[[#This Row],[FTM]])</f>
        <v>0</v>
      </c>
      <c r="O28" s="19"/>
      <c r="P28" s="19"/>
      <c r="Q28" s="19"/>
      <c r="R28" s="19">
        <f>GEN_1[[#This Row],[Def. Boards]]+GEN_1[[#This Row],[Off. Boards]]</f>
        <v>0</v>
      </c>
      <c r="S28" s="19"/>
      <c r="T28" s="19"/>
      <c r="U28" s="19"/>
      <c r="V28" s="19"/>
      <c r="W28" s="92" t="e">
        <f>GEN_1[[#This Row],[Dimes]]/GEN_1[[#This Row],[Turnovers]]</f>
        <v>#DIV/0!</v>
      </c>
    </row>
    <row r="29" spans="1:23" x14ac:dyDescent="0.2">
      <c r="A29" s="13"/>
      <c r="B29" s="90">
        <f>GEN_1[[#This Row],[2PT FGM]]+GEN_1[[#This Row],[3PT FGM]]</f>
        <v>0</v>
      </c>
      <c r="C29" s="90">
        <f>GEN_1[[#This Row],[2PT FGA]]+GEN_1[[#This Row],[3PT FGA]]</f>
        <v>0</v>
      </c>
      <c r="D29" s="91" t="e">
        <f>GEN_1[[#This Row],[Total FGM]]/GEN_1[[#This Row],[Total FGA]]</f>
        <v>#DIV/0!</v>
      </c>
      <c r="E29" s="98"/>
      <c r="F29" s="19"/>
      <c r="G29" s="91" t="e">
        <f>GEN_1[[#This Row],[2PT FGM]]/GEN_1[[#This Row],[2PT FGA]]</f>
        <v>#DIV/0!</v>
      </c>
      <c r="H29" s="19"/>
      <c r="I29" s="19"/>
      <c r="J29" s="91" t="e">
        <f>GEN_1[[#This Row],[3PT FGM]]/GEN_1[[#This Row],[3PT FGA]]</f>
        <v>#DIV/0!</v>
      </c>
      <c r="K29" s="19"/>
      <c r="L29" s="19"/>
      <c r="M29" s="99" t="e">
        <f>GEN_1[[#This Row],[FTM]]/GEN_1[[#This Row],[FTA]]</f>
        <v>#DIV/0!</v>
      </c>
      <c r="N29" s="19">
        <f>SUM(GEN_1[[#This Row],[2PT FGM]]*2,GEN_1[[#This Row],[3PT FGM]]*3,GEN_1[[#This Row],[FTM]])</f>
        <v>0</v>
      </c>
      <c r="O29" s="19"/>
      <c r="P29" s="19"/>
      <c r="Q29" s="19"/>
      <c r="R29" s="19">
        <f>GEN_1[[#This Row],[Def. Boards]]+GEN_1[[#This Row],[Off. Boards]]</f>
        <v>0</v>
      </c>
      <c r="S29" s="19"/>
      <c r="T29" s="19"/>
      <c r="U29" s="19"/>
      <c r="V29" s="19"/>
      <c r="W29" s="92" t="e">
        <f>GEN_1[[#This Row],[Dimes]]/GEN_1[[#This Row],[Turnovers]]</f>
        <v>#DIV/0!</v>
      </c>
    </row>
    <row r="30" spans="1:23" x14ac:dyDescent="0.2">
      <c r="A30" s="13"/>
      <c r="B30" s="90">
        <f>GEN_1[[#This Row],[2PT FGM]]+GEN_1[[#This Row],[3PT FGM]]</f>
        <v>0</v>
      </c>
      <c r="C30" s="90">
        <f>GEN_1[[#This Row],[2PT FGA]]+GEN_1[[#This Row],[3PT FGA]]</f>
        <v>0</v>
      </c>
      <c r="D30" s="91" t="e">
        <f>GEN_1[[#This Row],[Total FGM]]/GEN_1[[#This Row],[Total FGA]]</f>
        <v>#DIV/0!</v>
      </c>
      <c r="E30" s="98"/>
      <c r="F30" s="19"/>
      <c r="G30" s="91" t="e">
        <f>GEN_1[[#This Row],[2PT FGM]]/GEN_1[[#This Row],[2PT FGA]]</f>
        <v>#DIV/0!</v>
      </c>
      <c r="H30" s="19"/>
      <c r="I30" s="19"/>
      <c r="J30" s="91" t="e">
        <f>GEN_1[[#This Row],[3PT FGM]]/GEN_1[[#This Row],[3PT FGA]]</f>
        <v>#DIV/0!</v>
      </c>
      <c r="K30" s="19"/>
      <c r="L30" s="19"/>
      <c r="M30" s="99" t="e">
        <f>GEN_1[[#This Row],[FTM]]/GEN_1[[#This Row],[FTA]]</f>
        <v>#DIV/0!</v>
      </c>
      <c r="N30" s="19">
        <f>SUM(GEN_1[[#This Row],[2PT FGM]]*2,GEN_1[[#This Row],[3PT FGM]]*3,GEN_1[[#This Row],[FTM]])</f>
        <v>0</v>
      </c>
      <c r="O30" s="19"/>
      <c r="P30" s="19"/>
      <c r="Q30" s="19"/>
      <c r="R30" s="19">
        <f>GEN_1[[#This Row],[Def. Boards]]+GEN_1[[#This Row],[Off. Boards]]</f>
        <v>0</v>
      </c>
      <c r="S30" s="19"/>
      <c r="T30" s="19"/>
      <c r="U30" s="19"/>
      <c r="V30" s="19"/>
      <c r="W30" s="92" t="e">
        <f>GEN_1[[#This Row],[Dimes]]/GEN_1[[#This Row],[Turnovers]]</f>
        <v>#DIV/0!</v>
      </c>
    </row>
    <row r="31" spans="1:23" x14ac:dyDescent="0.2">
      <c r="A31" s="13"/>
      <c r="B31" s="90">
        <f>GEN_1[[#This Row],[2PT FGM]]+GEN_1[[#This Row],[3PT FGM]]</f>
        <v>0</v>
      </c>
      <c r="C31" s="90">
        <f>GEN_1[[#This Row],[2PT FGA]]+GEN_1[[#This Row],[3PT FGA]]</f>
        <v>0</v>
      </c>
      <c r="D31" s="91" t="e">
        <f>GEN_1[[#This Row],[Total FGM]]/GEN_1[[#This Row],[Total FGA]]</f>
        <v>#DIV/0!</v>
      </c>
      <c r="E31" s="98"/>
      <c r="F31" s="19"/>
      <c r="G31" s="91" t="e">
        <f>GEN_1[[#This Row],[2PT FGM]]/GEN_1[[#This Row],[2PT FGA]]</f>
        <v>#DIV/0!</v>
      </c>
      <c r="H31" s="19"/>
      <c r="I31" s="19"/>
      <c r="J31" s="91" t="e">
        <f>GEN_1[[#This Row],[3PT FGM]]/GEN_1[[#This Row],[3PT FGA]]</f>
        <v>#DIV/0!</v>
      </c>
      <c r="K31" s="19"/>
      <c r="L31" s="19"/>
      <c r="M31" s="99" t="e">
        <f>GEN_1[[#This Row],[FTM]]/GEN_1[[#This Row],[FTA]]</f>
        <v>#DIV/0!</v>
      </c>
      <c r="N31" s="19">
        <f>SUM(GEN_1[[#This Row],[2PT FGM]]*2,GEN_1[[#This Row],[3PT FGM]]*3,GEN_1[[#This Row],[FTM]])</f>
        <v>0</v>
      </c>
      <c r="O31" s="19"/>
      <c r="P31" s="19"/>
      <c r="Q31" s="19"/>
      <c r="R31" s="19">
        <f>GEN_1[[#This Row],[Def. Boards]]+GEN_1[[#This Row],[Off. Boards]]</f>
        <v>0</v>
      </c>
      <c r="S31" s="19"/>
      <c r="T31" s="19"/>
      <c r="U31" s="19"/>
      <c r="V31" s="19"/>
      <c r="W31" s="92" t="e">
        <f>GEN_1[[#This Row],[Dimes]]/GEN_1[[#This Row],[Turnovers]]</f>
        <v>#DIV/0!</v>
      </c>
    </row>
    <row r="32" spans="1:23" x14ac:dyDescent="0.2">
      <c r="A32" s="13"/>
      <c r="B32" s="90"/>
      <c r="C32" s="90"/>
      <c r="D32" s="91"/>
      <c r="E32" s="98"/>
      <c r="F32" s="19"/>
      <c r="G32" s="91"/>
      <c r="H32" s="19"/>
      <c r="I32" s="19"/>
      <c r="J32" s="91"/>
      <c r="K32" s="19"/>
      <c r="L32" s="19"/>
      <c r="M32" s="99"/>
      <c r="N32" s="19"/>
      <c r="O32" s="19"/>
      <c r="P32" s="19"/>
      <c r="Q32" s="19"/>
      <c r="R32" s="19"/>
      <c r="S32" s="19"/>
      <c r="T32" s="19"/>
      <c r="U32" s="19"/>
      <c r="V32" s="19"/>
      <c r="W32" s="92" t="e">
        <f>GEN_1[[#This Row],[Dimes]]/GEN_1[[#This Row],[Turnovers]]</f>
        <v>#DIV/0!</v>
      </c>
    </row>
    <row r="33" spans="1:23" ht="16" thickBot="1" x14ac:dyDescent="0.25">
      <c r="A33" s="82" t="s">
        <v>76</v>
      </c>
      <c r="B33" s="100">
        <f>SUM(B28:B32)</f>
        <v>0</v>
      </c>
      <c r="C33" s="100">
        <f>SUM(C28:C32)</f>
        <v>0</v>
      </c>
      <c r="D33" s="101" t="e">
        <f>GEN_1[[#This Row],[Total FGM]]/GEN_1[[#This Row],[Total FGA]]</f>
        <v>#DIV/0!</v>
      </c>
      <c r="E33" s="102">
        <f>SUM(E28:E32)</f>
        <v>0</v>
      </c>
      <c r="F33" s="103">
        <f>SUM(F28:F32)</f>
        <v>0</v>
      </c>
      <c r="G33" s="108" t="e">
        <f>GEN_1[[#This Row],[2PT FGM]]/GEN_1[[#This Row],[2PT FGA]]</f>
        <v>#DIV/0!</v>
      </c>
      <c r="H33" s="103">
        <f>SUM(H28:H32)</f>
        <v>0</v>
      </c>
      <c r="I33" s="103">
        <f>SUM(I28:I32)</f>
        <v>0</v>
      </c>
      <c r="J33" s="104" t="e">
        <f>GEN_1[[#This Row],[3PT FGM]]/GEN_1[[#This Row],[3PT FGA]]</f>
        <v>#DIV/0!</v>
      </c>
      <c r="K33" s="103">
        <f>SUM(K28:K32)</f>
        <v>0</v>
      </c>
      <c r="L33" s="103">
        <f>SUM(L28:L32)</f>
        <v>0</v>
      </c>
      <c r="M33" s="105" t="e">
        <f>GEN_1[[#This Row],[FTM]]/GEN_1[[#This Row],[FTA]]</f>
        <v>#DIV/0!</v>
      </c>
      <c r="N33" s="62">
        <f>SUM(GEN_1[[#This Row],[2PT FGM]]*2,GEN_1[[#This Row],[3PT FGM]]*3,GEN_1[[#This Row],[FTM]])</f>
        <v>0</v>
      </c>
      <c r="O33" s="106">
        <f>SUM(O28:O32)</f>
        <v>0</v>
      </c>
      <c r="P33" s="106">
        <f t="shared" ref="P33" si="1">SUM(P28:P32)</f>
        <v>0</v>
      </c>
      <c r="Q33" s="106">
        <f t="shared" ref="Q33" si="2">SUM(Q28:Q32)</f>
        <v>0</v>
      </c>
      <c r="R33" s="106">
        <f t="shared" ref="R33" si="3">SUM(R28:R32)</f>
        <v>0</v>
      </c>
      <c r="S33" s="106">
        <f t="shared" ref="S33" si="4">SUM(S28:S32)</f>
        <v>0</v>
      </c>
      <c r="T33" s="106">
        <f t="shared" ref="T33" si="5">SUM(T28:T32)</f>
        <v>0</v>
      </c>
      <c r="U33" s="106">
        <f t="shared" ref="U33" si="6">SUM(U28:U32)</f>
        <v>0</v>
      </c>
      <c r="V33" s="106">
        <f t="shared" ref="V33" si="7">SUM(V28:V32)</f>
        <v>0</v>
      </c>
      <c r="W33" s="107" t="e">
        <f>GEN_1[[#This Row],[Dimes]]/GEN_1[[#This Row],[Turnovers]]</f>
        <v>#DIV/0!</v>
      </c>
    </row>
    <row r="34" spans="1:23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1:23" ht="16" thickBot="1" x14ac:dyDescent="0.25">
      <c r="A35" s="94" t="s">
        <v>74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1:23" ht="16" x14ac:dyDescent="0.2">
      <c r="A36" s="166" t="s">
        <v>169</v>
      </c>
      <c r="B36" s="11" t="s">
        <v>0</v>
      </c>
      <c r="C36" s="11" t="s">
        <v>1</v>
      </c>
      <c r="D36" s="11" t="s">
        <v>2</v>
      </c>
      <c r="E36" s="95" t="s">
        <v>3</v>
      </c>
      <c r="F36" s="96" t="s">
        <v>4</v>
      </c>
      <c r="G36" s="96" t="s">
        <v>5</v>
      </c>
      <c r="H36" s="96" t="s">
        <v>6</v>
      </c>
      <c r="I36" s="96" t="s">
        <v>7</v>
      </c>
      <c r="J36" s="96" t="s">
        <v>8</v>
      </c>
      <c r="K36" s="96" t="s">
        <v>9</v>
      </c>
      <c r="L36" s="96" t="s">
        <v>10</v>
      </c>
      <c r="M36" s="97" t="s">
        <v>11</v>
      </c>
      <c r="N36" s="11" t="s">
        <v>12</v>
      </c>
      <c r="O36" s="10" t="s">
        <v>13</v>
      </c>
      <c r="P36" s="11" t="s">
        <v>14</v>
      </c>
      <c r="Q36" s="11" t="s">
        <v>15</v>
      </c>
      <c r="R36" s="11" t="s">
        <v>16</v>
      </c>
      <c r="S36" s="10" t="s">
        <v>17</v>
      </c>
      <c r="T36" s="10" t="s">
        <v>18</v>
      </c>
      <c r="U36" s="10" t="s">
        <v>19</v>
      </c>
      <c r="V36" s="10" t="s">
        <v>20</v>
      </c>
      <c r="W36" s="10" t="s">
        <v>21</v>
      </c>
    </row>
    <row r="37" spans="1:23" x14ac:dyDescent="0.2">
      <c r="A37" s="13"/>
      <c r="B37" s="90">
        <f>AKA_1[[#This Row],[2PT FGM]]+AKA_1[[#This Row],[3PT FGM]]</f>
        <v>0</v>
      </c>
      <c r="C37" s="90">
        <f>AKA_1[[#This Row],[2PT FGA]]+AKA_1[[#This Row],[3PT FGA]]</f>
        <v>0</v>
      </c>
      <c r="D37" s="91" t="e">
        <f>AKA_1[[#This Row],[Total FGM]]/AKA_1[[#This Row],[Total FGA]]</f>
        <v>#DIV/0!</v>
      </c>
      <c r="E37" s="98"/>
      <c r="F37" s="19"/>
      <c r="G37" s="91" t="e">
        <f>AKA_1[[#This Row],[2PT FGM]]/AKA_1[[#This Row],[2PT FGA]]</f>
        <v>#DIV/0!</v>
      </c>
      <c r="H37" s="19"/>
      <c r="I37" s="19"/>
      <c r="J37" s="91" t="e">
        <f>AKA_1[[#This Row],[3PT FGM]]/AKA_1[[#This Row],[3PT FGA]]</f>
        <v>#DIV/0!</v>
      </c>
      <c r="K37" s="19"/>
      <c r="L37" s="19"/>
      <c r="M37" s="99" t="e">
        <f>AKA_1[[#This Row],[FTM]]/AKA_1[[#This Row],[FTA]]</f>
        <v>#DIV/0!</v>
      </c>
      <c r="N37" s="19">
        <f>SUM(AKA_1[[#This Row],[2PT FGM]]*2,AKA_1[[#This Row],[3PT FGM]]*3,AKA_1[[#This Row],[FTM]])</f>
        <v>0</v>
      </c>
      <c r="O37" s="19"/>
      <c r="P37" s="19"/>
      <c r="Q37" s="19"/>
      <c r="R37" s="19">
        <f>AKA_1[[#This Row],[Def. Boards]]+AKA_1[[#This Row],[Off. Boards]]</f>
        <v>0</v>
      </c>
      <c r="S37" s="19"/>
      <c r="T37" s="19"/>
      <c r="U37" s="19"/>
      <c r="V37" s="19"/>
      <c r="W37" s="92" t="e">
        <f>AKA_1[[#This Row],[Dimes]]/AKA_1[[#This Row],[Turnovers]]</f>
        <v>#DIV/0!</v>
      </c>
    </row>
    <row r="38" spans="1:23" x14ac:dyDescent="0.2">
      <c r="A38" s="14"/>
      <c r="B38" s="90">
        <f>AKA_1[[#This Row],[2PT FGM]]+AKA_1[[#This Row],[3PT FGM]]</f>
        <v>0</v>
      </c>
      <c r="C38" s="90">
        <f>AKA_1[[#This Row],[2PT FGA]]+AKA_1[[#This Row],[3PT FGA]]</f>
        <v>0</v>
      </c>
      <c r="D38" s="91" t="e">
        <f>AKA_1[[#This Row],[Total FGM]]/AKA_1[[#This Row],[Total FGA]]</f>
        <v>#DIV/0!</v>
      </c>
      <c r="E38" s="98"/>
      <c r="F38" s="19"/>
      <c r="G38" s="91" t="e">
        <f>AKA_1[[#This Row],[2PT FGM]]/AKA_1[[#This Row],[2PT FGA]]</f>
        <v>#DIV/0!</v>
      </c>
      <c r="H38" s="19"/>
      <c r="I38" s="19"/>
      <c r="J38" s="91" t="e">
        <f>AKA_1[[#This Row],[3PT FGM]]/AKA_1[[#This Row],[3PT FGA]]</f>
        <v>#DIV/0!</v>
      </c>
      <c r="K38" s="19"/>
      <c r="L38" s="19"/>
      <c r="M38" s="99" t="e">
        <f>AKA_1[[#This Row],[FTM]]/AKA_1[[#This Row],[FTA]]</f>
        <v>#DIV/0!</v>
      </c>
      <c r="N38" s="19">
        <f>SUM(AKA_1[[#This Row],[2PT FGM]]*2,AKA_1[[#This Row],[3PT FGM]]*3,AKA_1[[#This Row],[FTM]])</f>
        <v>0</v>
      </c>
      <c r="O38" s="19"/>
      <c r="P38" s="19"/>
      <c r="Q38" s="19"/>
      <c r="R38" s="19">
        <f>AKA_1[[#This Row],[Def. Boards]]+AKA_1[[#This Row],[Off. Boards]]</f>
        <v>0</v>
      </c>
      <c r="S38" s="19"/>
      <c r="T38" s="19"/>
      <c r="U38" s="19"/>
      <c r="V38" s="19"/>
      <c r="W38" s="92" t="e">
        <f>AKA_1[[#This Row],[Dimes]]/AKA_1[[#This Row],[Turnovers]]</f>
        <v>#DIV/0!</v>
      </c>
    </row>
    <row r="39" spans="1:23" x14ac:dyDescent="0.2">
      <c r="A39" s="13"/>
      <c r="B39" s="90">
        <f>AKA_1[[#This Row],[2PT FGM]]+AKA_1[[#This Row],[3PT FGM]]</f>
        <v>0</v>
      </c>
      <c r="C39" s="90">
        <f>AKA_1[[#This Row],[2PT FGA]]+AKA_1[[#This Row],[3PT FGA]]</f>
        <v>0</v>
      </c>
      <c r="D39" s="91" t="e">
        <f>AKA_1[[#This Row],[Total FGM]]/AKA_1[[#This Row],[Total FGA]]</f>
        <v>#DIV/0!</v>
      </c>
      <c r="E39" s="98"/>
      <c r="F39" s="19"/>
      <c r="G39" s="91" t="e">
        <f>AKA_1[[#This Row],[2PT FGM]]/AKA_1[[#This Row],[2PT FGA]]</f>
        <v>#DIV/0!</v>
      </c>
      <c r="H39" s="19"/>
      <c r="I39" s="19"/>
      <c r="J39" s="91" t="e">
        <f>AKA_1[[#This Row],[3PT FGM]]/AKA_1[[#This Row],[3PT FGA]]</f>
        <v>#DIV/0!</v>
      </c>
      <c r="K39" s="19"/>
      <c r="L39" s="19"/>
      <c r="M39" s="99" t="e">
        <f>AKA_1[[#This Row],[FTM]]/AKA_1[[#This Row],[FTA]]</f>
        <v>#DIV/0!</v>
      </c>
      <c r="N39" s="19">
        <f>SUM(AKA_1[[#This Row],[2PT FGM]]*2,AKA_1[[#This Row],[3PT FGM]]*3,AKA_1[[#This Row],[FTM]])</f>
        <v>0</v>
      </c>
      <c r="O39" s="19"/>
      <c r="P39" s="19"/>
      <c r="Q39" s="19"/>
      <c r="R39" s="19">
        <f>AKA_1[[#This Row],[Def. Boards]]+AKA_1[[#This Row],[Off. Boards]]</f>
        <v>0</v>
      </c>
      <c r="S39" s="19"/>
      <c r="T39" s="19"/>
      <c r="U39" s="19"/>
      <c r="V39" s="19"/>
      <c r="W39" s="92" t="e">
        <f>AKA_1[[#This Row],[Dimes]]/AKA_1[[#This Row],[Turnovers]]</f>
        <v>#DIV/0!</v>
      </c>
    </row>
    <row r="40" spans="1:23" x14ac:dyDescent="0.2">
      <c r="A40" s="13"/>
      <c r="B40" s="90">
        <f>AKA_1[[#This Row],[2PT FGM]]+AKA_1[[#This Row],[3PT FGM]]</f>
        <v>0</v>
      </c>
      <c r="C40" s="90">
        <f>AKA_1[[#This Row],[2PT FGA]]+AKA_1[[#This Row],[3PT FGA]]</f>
        <v>0</v>
      </c>
      <c r="D40" s="91" t="e">
        <f>AKA_1[[#This Row],[Total FGM]]/AKA_1[[#This Row],[Total FGA]]</f>
        <v>#DIV/0!</v>
      </c>
      <c r="E40" s="98"/>
      <c r="F40" s="19"/>
      <c r="G40" s="91" t="e">
        <f>AKA_1[[#This Row],[2PT FGM]]/AKA_1[[#This Row],[2PT FGA]]</f>
        <v>#DIV/0!</v>
      </c>
      <c r="H40" s="19"/>
      <c r="I40" s="19"/>
      <c r="J40" s="91" t="e">
        <f>AKA_1[[#This Row],[3PT FGM]]/AKA_1[[#This Row],[3PT FGA]]</f>
        <v>#DIV/0!</v>
      </c>
      <c r="K40" s="19"/>
      <c r="L40" s="19"/>
      <c r="M40" s="99" t="e">
        <f>AKA_1[[#This Row],[FTM]]/AKA_1[[#This Row],[FTA]]</f>
        <v>#DIV/0!</v>
      </c>
      <c r="N40" s="19">
        <f>SUM(AKA_1[[#This Row],[2PT FGM]]*2,AKA_1[[#This Row],[3PT FGM]]*3,AKA_1[[#This Row],[FTM]])</f>
        <v>0</v>
      </c>
      <c r="O40" s="19"/>
      <c r="P40" s="19"/>
      <c r="Q40" s="19"/>
      <c r="R40" s="19">
        <f>AKA_1[[#This Row],[Def. Boards]]+AKA_1[[#This Row],[Off. Boards]]</f>
        <v>0</v>
      </c>
      <c r="S40" s="19"/>
      <c r="T40" s="19"/>
      <c r="U40" s="19"/>
      <c r="V40" s="19"/>
      <c r="W40" s="92" t="e">
        <f>AKA_1[[#This Row],[Dimes]]/AKA_1[[#This Row],[Turnovers]]</f>
        <v>#DIV/0!</v>
      </c>
    </row>
    <row r="41" spans="1:23" x14ac:dyDescent="0.2">
      <c r="A41" s="93"/>
      <c r="B41" s="90"/>
      <c r="C41" s="90"/>
      <c r="D41" s="91"/>
      <c r="E41" s="98"/>
      <c r="F41" s="19"/>
      <c r="G41" s="91"/>
      <c r="H41" s="19"/>
      <c r="I41" s="19"/>
      <c r="J41" s="91"/>
      <c r="K41" s="19"/>
      <c r="L41" s="19"/>
      <c r="M41" s="99"/>
      <c r="N41" s="19"/>
      <c r="O41" s="19"/>
      <c r="P41" s="19"/>
      <c r="Q41" s="19"/>
      <c r="R41" s="19"/>
      <c r="S41" s="19"/>
      <c r="T41" s="19"/>
      <c r="U41" s="19"/>
      <c r="V41" s="19"/>
      <c r="W41" s="92" t="e">
        <f>AKA_1[[#This Row],[Dimes]]/AKA_1[[#This Row],[Turnovers]]</f>
        <v>#DIV/0!</v>
      </c>
    </row>
    <row r="42" spans="1:23" ht="16" thickBot="1" x14ac:dyDescent="0.25">
      <c r="A42" s="82" t="s">
        <v>76</v>
      </c>
      <c r="B42" s="100">
        <f>SUM(B37:B41)</f>
        <v>0</v>
      </c>
      <c r="C42" s="100">
        <f>SUM(C37:C41)</f>
        <v>0</v>
      </c>
      <c r="D42" s="101" t="e">
        <f>AKA_1[[#This Row],[Total FGM]]/AKA_1[[#This Row],[Total FGA]]</f>
        <v>#DIV/0!</v>
      </c>
      <c r="E42" s="102">
        <f>SUM(E37:E41)</f>
        <v>0</v>
      </c>
      <c r="F42" s="103">
        <f>SUM(F37:F41)</f>
        <v>0</v>
      </c>
      <c r="G42" s="104" t="e">
        <f>AKA_1[[#This Row],[2PT FGM]]/AKA_1[[#This Row],[2PT FGA]]</f>
        <v>#DIV/0!</v>
      </c>
      <c r="H42" s="103">
        <f>SUM(H37:H41)</f>
        <v>0</v>
      </c>
      <c r="I42" s="103">
        <f>SUM(I37:I41)</f>
        <v>0</v>
      </c>
      <c r="J42" s="109" t="e">
        <f>AKA_1[[#This Row],[3PT FGM]]/AKA_1[[#This Row],[3PT FGA]]</f>
        <v>#DIV/0!</v>
      </c>
      <c r="K42" s="103">
        <f>SUM(K37:K41)</f>
        <v>0</v>
      </c>
      <c r="L42" s="103">
        <f>SUM(L37:L41)</f>
        <v>0</v>
      </c>
      <c r="M42" s="105" t="e">
        <f>AKA_1[[#This Row],[FTM]]/AKA_1[[#This Row],[FTA]]</f>
        <v>#DIV/0!</v>
      </c>
      <c r="N42" s="62">
        <f>SUM(AKA_1[[#This Row],[2PT FGM]]*2,AKA_1[[#This Row],[3PT FGM]]*3,AKA_1[[#This Row],[FTM]])</f>
        <v>0</v>
      </c>
      <c r="O42" s="100">
        <f>SUM(O37:O41)</f>
        <v>0</v>
      </c>
      <c r="P42" s="100">
        <f>SUM(P37:P41)</f>
        <v>0</v>
      </c>
      <c r="Q42" s="100">
        <f>SUM(Q37:Q41)</f>
        <v>0</v>
      </c>
      <c r="R42" s="106">
        <f>AKA_1[[#This Row],[Def. Boards]]+AKA_1[[#This Row],[Off. Boards]]</f>
        <v>0</v>
      </c>
      <c r="S42" s="100">
        <f>SUM(S37:S41)</f>
        <v>0</v>
      </c>
      <c r="T42" s="100">
        <f>SUM(T37:T41)</f>
        <v>0</v>
      </c>
      <c r="U42" s="100">
        <f>SUM(U37:U41)</f>
        <v>0</v>
      </c>
      <c r="V42" s="100">
        <f>SUM(V37:V41)</f>
        <v>0</v>
      </c>
      <c r="W42" s="107" t="e">
        <f>AKA_1[[#This Row],[Dimes]]/AKA_1[[#This Row],[Turnovers]]</f>
        <v>#DIV/0!</v>
      </c>
    </row>
    <row r="44" spans="1:23" x14ac:dyDescent="0.2">
      <c r="C44" s="86" t="s">
        <v>68</v>
      </c>
      <c r="D44" s="86" t="s">
        <v>134</v>
      </c>
      <c r="E44" s="86" t="s">
        <v>74</v>
      </c>
    </row>
    <row r="45" spans="1:23" ht="24" x14ac:dyDescent="0.2">
      <c r="A45" s="84" t="s">
        <v>66</v>
      </c>
      <c r="B45" s="85">
        <v>3</v>
      </c>
      <c r="C45" s="167" t="s">
        <v>165</v>
      </c>
      <c r="D45" s="85" t="s">
        <v>137</v>
      </c>
      <c r="E45" s="85" t="s">
        <v>167</v>
      </c>
      <c r="H45" s="23"/>
      <c r="I45" s="23"/>
    </row>
    <row r="46" spans="1:23" ht="24" x14ac:dyDescent="0.2">
      <c r="A46" s="84"/>
      <c r="B46" s="85" t="s">
        <v>151</v>
      </c>
      <c r="C46" s="167">
        <f>N54</f>
        <v>0</v>
      </c>
      <c r="D46" s="85"/>
      <c r="E46" s="85">
        <f>N63</f>
        <v>0</v>
      </c>
      <c r="H46" s="23"/>
    </row>
    <row r="47" spans="1:23" ht="16" thickBot="1" x14ac:dyDescent="0.25">
      <c r="A47" s="59" t="s">
        <v>68</v>
      </c>
    </row>
    <row r="48" spans="1:23" ht="16" x14ac:dyDescent="0.2">
      <c r="A48" s="166" t="s">
        <v>169</v>
      </c>
      <c r="B48" s="11" t="s">
        <v>0</v>
      </c>
      <c r="C48" s="11" t="s">
        <v>1</v>
      </c>
      <c r="D48" s="11" t="s">
        <v>2</v>
      </c>
      <c r="E48" s="95" t="s">
        <v>3</v>
      </c>
      <c r="F48" s="96" t="s">
        <v>4</v>
      </c>
      <c r="G48" s="96" t="s">
        <v>5</v>
      </c>
      <c r="H48" s="96" t="s">
        <v>6</v>
      </c>
      <c r="I48" s="96" t="s">
        <v>7</v>
      </c>
      <c r="J48" s="96" t="s">
        <v>8</v>
      </c>
      <c r="K48" s="96" t="s">
        <v>9</v>
      </c>
      <c r="L48" s="96" t="s">
        <v>10</v>
      </c>
      <c r="M48" s="97" t="s">
        <v>11</v>
      </c>
      <c r="N48" s="11" t="s">
        <v>12</v>
      </c>
      <c r="O48" s="10" t="s">
        <v>13</v>
      </c>
      <c r="P48" s="11" t="s">
        <v>14</v>
      </c>
      <c r="Q48" s="11" t="s">
        <v>15</v>
      </c>
      <c r="R48" s="11" t="s">
        <v>16</v>
      </c>
      <c r="S48" s="10" t="s">
        <v>17</v>
      </c>
      <c r="T48" s="10" t="s">
        <v>18</v>
      </c>
      <c r="U48" s="10" t="s">
        <v>19</v>
      </c>
      <c r="V48" s="10" t="s">
        <v>20</v>
      </c>
      <c r="W48" s="10" t="s">
        <v>21</v>
      </c>
    </row>
    <row r="49" spans="1:23" x14ac:dyDescent="0.2">
      <c r="B49" s="90">
        <f>BH_1[[#This Row],[2PT FGM]]+BH_1[[#This Row],[3PT FGM]]</f>
        <v>0</v>
      </c>
      <c r="C49" s="90">
        <f>BH_1[[#This Row],[2PT FGA]]+BH_1[[#This Row],[3PT FGA]]</f>
        <v>0</v>
      </c>
      <c r="D49" s="91" t="e">
        <f>BH_1[[#This Row],[Total FGM]]/BH_1[[#This Row],[Total FGA]]</f>
        <v>#DIV/0!</v>
      </c>
      <c r="E49" s="98"/>
      <c r="F49" s="19"/>
      <c r="G49" s="91" t="e">
        <f>BH_1[[#This Row],[2PT FGM]]/BH_1[[#This Row],[2PT FGA]]</f>
        <v>#DIV/0!</v>
      </c>
      <c r="H49" s="19"/>
      <c r="I49" s="19"/>
      <c r="J49" s="91" t="e">
        <f>BH_1[[#This Row],[3PT FGM]]/BH_1[[#This Row],[3PT FGA]]</f>
        <v>#DIV/0!</v>
      </c>
      <c r="K49" s="19"/>
      <c r="L49" s="19"/>
      <c r="M49" s="99" t="e">
        <f>BH_1[[#This Row],[FTM]]/BH_1[[#This Row],[FTA]]</f>
        <v>#DIV/0!</v>
      </c>
      <c r="N49" s="19">
        <f>SUM(BH_1[[#This Row],[2PT FGM]]*2,BH_1[[#This Row],[3PT FGM]]*3,BH_1[[#This Row],[FTM]])</f>
        <v>0</v>
      </c>
      <c r="O49" s="19"/>
      <c r="P49" s="19"/>
      <c r="Q49" s="19"/>
      <c r="R49" s="19">
        <f>BH_1[[#This Row],[Def. Boards]]+BH_1[[#This Row],[Off. Boards]]</f>
        <v>0</v>
      </c>
      <c r="S49" s="19"/>
      <c r="T49" s="19"/>
      <c r="U49" s="19"/>
      <c r="V49" s="19"/>
      <c r="W49" s="92" t="e">
        <f>BH_1[[#This Row],[Dimes]]/BH_1[[#This Row],[Turnovers]]</f>
        <v>#DIV/0!</v>
      </c>
    </row>
    <row r="50" spans="1:23" x14ac:dyDescent="0.2">
      <c r="B50" s="90">
        <f>BH_1[[#This Row],[2PT FGM]]+BH_1[[#This Row],[3PT FGM]]</f>
        <v>0</v>
      </c>
      <c r="C50" s="90">
        <f>BH_1[[#This Row],[2PT FGA]]+BH_1[[#This Row],[3PT FGA]]</f>
        <v>0</v>
      </c>
      <c r="D50" s="91" t="e">
        <f>BH_1[[#This Row],[Total FGM]]/BH_1[[#This Row],[Total FGA]]</f>
        <v>#DIV/0!</v>
      </c>
      <c r="E50" s="98"/>
      <c r="F50" s="19"/>
      <c r="G50" s="91" t="e">
        <f>BH_1[[#This Row],[2PT FGM]]/BH_1[[#This Row],[2PT FGA]]</f>
        <v>#DIV/0!</v>
      </c>
      <c r="H50" s="19"/>
      <c r="I50" s="19"/>
      <c r="J50" s="91" t="e">
        <f>BH_1[[#This Row],[3PT FGM]]/BH_1[[#This Row],[3PT FGA]]</f>
        <v>#DIV/0!</v>
      </c>
      <c r="K50" s="19"/>
      <c r="L50" s="19"/>
      <c r="M50" s="99" t="e">
        <f>BH_1[[#This Row],[FTM]]/BH_1[[#This Row],[FTA]]</f>
        <v>#DIV/0!</v>
      </c>
      <c r="N50" s="19">
        <f>SUM(BH_1[[#This Row],[2PT FGM]]*2,BH_1[[#This Row],[3PT FGM]]*3,BH_1[[#This Row],[FTM]])</f>
        <v>0</v>
      </c>
      <c r="O50" s="19"/>
      <c r="P50" s="19"/>
      <c r="Q50" s="19"/>
      <c r="R50" s="19">
        <f>BH_1[[#This Row],[Def. Boards]]+BH_1[[#This Row],[Off. Boards]]</f>
        <v>0</v>
      </c>
      <c r="S50" s="19"/>
      <c r="T50" s="19"/>
      <c r="U50" s="19"/>
      <c r="V50" s="19"/>
      <c r="W50" s="92" t="e">
        <f>BH_1[[#This Row],[Dimes]]/BH_1[[#This Row],[Turnovers]]</f>
        <v>#DIV/0!</v>
      </c>
    </row>
    <row r="51" spans="1:23" x14ac:dyDescent="0.2">
      <c r="B51" s="90">
        <f>BH_1[[#This Row],[2PT FGM]]+BH_1[[#This Row],[3PT FGM]]</f>
        <v>0</v>
      </c>
      <c r="C51" s="90">
        <f>BH_1[[#This Row],[2PT FGA]]+BH_1[[#This Row],[3PT FGA]]</f>
        <v>0</v>
      </c>
      <c r="D51" s="91" t="e">
        <f>BH_1[[#This Row],[Total FGM]]/BH_1[[#This Row],[Total FGA]]</f>
        <v>#DIV/0!</v>
      </c>
      <c r="E51" s="98"/>
      <c r="F51" s="19"/>
      <c r="G51" s="91" t="e">
        <f>BH_1[[#This Row],[2PT FGM]]/BH_1[[#This Row],[2PT FGA]]</f>
        <v>#DIV/0!</v>
      </c>
      <c r="H51" s="19"/>
      <c r="I51" s="19"/>
      <c r="J51" s="91" t="e">
        <f>BH_1[[#This Row],[3PT FGM]]/BH_1[[#This Row],[3PT FGA]]</f>
        <v>#DIV/0!</v>
      </c>
      <c r="K51" s="19"/>
      <c r="L51" s="19"/>
      <c r="M51" s="99" t="e">
        <f>BH_1[[#This Row],[FTM]]/BH_1[[#This Row],[FTA]]</f>
        <v>#DIV/0!</v>
      </c>
      <c r="N51" s="19">
        <f>SUM(BH_1[[#This Row],[2PT FGM]]*2,BH_1[[#This Row],[3PT FGM]]*3,BH_1[[#This Row],[FTM]])</f>
        <v>0</v>
      </c>
      <c r="O51" s="19"/>
      <c r="P51" s="19"/>
      <c r="Q51" s="19"/>
      <c r="R51" s="19">
        <f>BH_1[[#This Row],[Def. Boards]]+BH_1[[#This Row],[Off. Boards]]</f>
        <v>0</v>
      </c>
      <c r="S51" s="19"/>
      <c r="T51" s="19"/>
      <c r="U51" s="19"/>
      <c r="V51" s="19"/>
      <c r="W51" s="92" t="e">
        <f>BH_1[[#This Row],[Dimes]]/BH_1[[#This Row],[Turnovers]]</f>
        <v>#DIV/0!</v>
      </c>
    </row>
    <row r="52" spans="1:23" x14ac:dyDescent="0.2">
      <c r="B52" s="90">
        <f>BH_1[[#This Row],[2PT FGM]]+BH_1[[#This Row],[3PT FGM]]</f>
        <v>0</v>
      </c>
      <c r="C52" s="90">
        <f>BH_1[[#This Row],[2PT FGA]]+BH_1[[#This Row],[3PT FGA]]</f>
        <v>0</v>
      </c>
      <c r="D52" s="91" t="e">
        <f>BH_1[[#This Row],[Total FGM]]/BH_1[[#This Row],[Total FGA]]</f>
        <v>#DIV/0!</v>
      </c>
      <c r="E52" s="98"/>
      <c r="F52" s="19"/>
      <c r="G52" s="91" t="e">
        <f>BH_1[[#This Row],[2PT FGM]]/BH_1[[#This Row],[2PT FGA]]</f>
        <v>#DIV/0!</v>
      </c>
      <c r="H52" s="19"/>
      <c r="I52" s="19"/>
      <c r="J52" s="91" t="e">
        <f>BH_1[[#This Row],[3PT FGM]]/BH_1[[#This Row],[3PT FGA]]</f>
        <v>#DIV/0!</v>
      </c>
      <c r="K52" s="19"/>
      <c r="L52" s="19"/>
      <c r="M52" s="99" t="e">
        <f>BH_1[[#This Row],[FTM]]/BH_1[[#This Row],[FTA]]</f>
        <v>#DIV/0!</v>
      </c>
      <c r="N52" s="19">
        <f>SUM(BH_1[[#This Row],[2PT FGM]]*2,BH_1[[#This Row],[3PT FGM]]*3,BH_1[[#This Row],[FTM]])</f>
        <v>0</v>
      </c>
      <c r="O52" s="19"/>
      <c r="P52" s="19"/>
      <c r="Q52" s="19"/>
      <c r="R52" s="19">
        <f>BH_1[[#This Row],[Def. Boards]]+BH_1[[#This Row],[Off. Boards]]</f>
        <v>0</v>
      </c>
      <c r="S52" s="19"/>
      <c r="T52" s="19"/>
      <c r="U52" s="19"/>
      <c r="V52" s="19"/>
      <c r="W52" s="92" t="e">
        <f>BH_1[[#This Row],[Dimes]]/BH_1[[#This Row],[Turnovers]]</f>
        <v>#DIV/0!</v>
      </c>
    </row>
    <row r="53" spans="1:23" x14ac:dyDescent="0.2">
      <c r="A53" s="13"/>
      <c r="B53" s="90"/>
      <c r="C53" s="90"/>
      <c r="D53" s="91"/>
      <c r="E53" s="98"/>
      <c r="F53" s="19"/>
      <c r="G53" s="91"/>
      <c r="H53" s="19"/>
      <c r="I53" s="19"/>
      <c r="J53" s="91"/>
      <c r="K53" s="19"/>
      <c r="L53" s="19"/>
      <c r="M53" s="99"/>
      <c r="N53" s="19"/>
      <c r="O53" s="19"/>
      <c r="P53" s="19"/>
      <c r="Q53" s="19"/>
      <c r="R53" s="19"/>
      <c r="S53" s="19"/>
      <c r="T53" s="19"/>
      <c r="U53" s="19"/>
      <c r="V53" s="19"/>
      <c r="W53" s="92"/>
    </row>
    <row r="54" spans="1:23" ht="16" thickBot="1" x14ac:dyDescent="0.25">
      <c r="A54" s="82" t="s">
        <v>76</v>
      </c>
      <c r="B54" s="100">
        <f>SUM(B49:B53)</f>
        <v>0</v>
      </c>
      <c r="C54" s="100">
        <f>SUM(C49:C53)</f>
        <v>0</v>
      </c>
      <c r="D54" s="101" t="e">
        <f>BH_1[[#This Row],[Total FGM]]/BH_1[[#This Row],[Total FGA]]</f>
        <v>#DIV/0!</v>
      </c>
      <c r="E54" s="102">
        <f>SUM(E49:E53)</f>
        <v>0</v>
      </c>
      <c r="F54" s="103">
        <f>SUM(F49:F53)</f>
        <v>0</v>
      </c>
      <c r="G54" s="108" t="e">
        <f>BH_1[[#This Row],[2PT FGM]]/BH_1[[#This Row],[2PT FGA]]</f>
        <v>#DIV/0!</v>
      </c>
      <c r="H54" s="103">
        <f>SUM(H49:H53)</f>
        <v>0</v>
      </c>
      <c r="I54" s="103">
        <f>SUM(I49:I53)</f>
        <v>0</v>
      </c>
      <c r="J54" s="104" t="e">
        <f>BH_1[[#This Row],[3PT FGM]]/BH_1[[#This Row],[3PT FGA]]</f>
        <v>#DIV/0!</v>
      </c>
      <c r="K54" s="103">
        <f>SUM(K49:K53)</f>
        <v>0</v>
      </c>
      <c r="L54" s="103">
        <f>SUM(L49:L53)</f>
        <v>0</v>
      </c>
      <c r="M54" s="105" t="e">
        <f>BH_1[[#This Row],[FTM]]/BH_1[[#This Row],[FTA]]</f>
        <v>#DIV/0!</v>
      </c>
      <c r="N54" s="62">
        <f>SUM(BH_1[[#This Row],[2PT FGM]]*2,BH_1[[#This Row],[3PT FGM]]*3,BH_1[[#This Row],[FTM]])</f>
        <v>0</v>
      </c>
      <c r="O54" s="106">
        <f>SUM(O49:O53)</f>
        <v>0</v>
      </c>
      <c r="P54" s="106">
        <f t="shared" ref="P54:V54" si="8">SUM(P49:P53)</f>
        <v>0</v>
      </c>
      <c r="Q54" s="106">
        <f t="shared" si="8"/>
        <v>0</v>
      </c>
      <c r="R54" s="106">
        <f t="shared" si="8"/>
        <v>0</v>
      </c>
      <c r="S54" s="106">
        <f t="shared" si="8"/>
        <v>0</v>
      </c>
      <c r="T54" s="106">
        <f t="shared" si="8"/>
        <v>0</v>
      </c>
      <c r="U54" s="106">
        <f t="shared" si="8"/>
        <v>0</v>
      </c>
      <c r="V54" s="106">
        <f t="shared" si="8"/>
        <v>0</v>
      </c>
      <c r="W54" s="107" t="e">
        <f>BH_1[[#This Row],[Dimes]]/BH_1[[#This Row],[Turnovers]]</f>
        <v>#DIV/0!</v>
      </c>
    </row>
    <row r="55" spans="1:23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1:23" ht="16" thickBot="1" x14ac:dyDescent="0.25">
      <c r="A56" s="94" t="s">
        <v>74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1:23" ht="16" x14ac:dyDescent="0.2">
      <c r="A57" s="166" t="s">
        <v>169</v>
      </c>
      <c r="B57" s="11" t="s">
        <v>0</v>
      </c>
      <c r="C57" s="11" t="s">
        <v>1</v>
      </c>
      <c r="D57" s="11" t="s">
        <v>2</v>
      </c>
      <c r="E57" s="95" t="s">
        <v>3</v>
      </c>
      <c r="F57" s="96" t="s">
        <v>4</v>
      </c>
      <c r="G57" s="96" t="s">
        <v>5</v>
      </c>
      <c r="H57" s="96" t="s">
        <v>6</v>
      </c>
      <c r="I57" s="96" t="s">
        <v>7</v>
      </c>
      <c r="J57" s="96" t="s">
        <v>8</v>
      </c>
      <c r="K57" s="96" t="s">
        <v>9</v>
      </c>
      <c r="L57" s="96" t="s">
        <v>10</v>
      </c>
      <c r="M57" s="97" t="s">
        <v>11</v>
      </c>
      <c r="N57" s="11" t="s">
        <v>12</v>
      </c>
      <c r="O57" s="10" t="s">
        <v>13</v>
      </c>
      <c r="P57" s="11" t="s">
        <v>14</v>
      </c>
      <c r="Q57" s="11" t="s">
        <v>15</v>
      </c>
      <c r="R57" s="11" t="s">
        <v>16</v>
      </c>
      <c r="S57" s="10" t="s">
        <v>17</v>
      </c>
      <c r="T57" s="10" t="s">
        <v>18</v>
      </c>
      <c r="U57" s="10" t="s">
        <v>19</v>
      </c>
      <c r="V57" s="10" t="s">
        <v>20</v>
      </c>
      <c r="W57" s="10" t="s">
        <v>21</v>
      </c>
    </row>
    <row r="58" spans="1:23" x14ac:dyDescent="0.2">
      <c r="A58" s="13"/>
      <c r="B58" s="90">
        <f>GN_2[[#This Row],[2PT FGM]]+GN_2[[#This Row],[3PT FGM]]</f>
        <v>0</v>
      </c>
      <c r="C58" s="90">
        <f>GN_2[[#This Row],[2PT FGA]]+GN_2[[#This Row],[3PT FGA]]</f>
        <v>0</v>
      </c>
      <c r="D58" s="91" t="e">
        <f>GN_2[[#This Row],[Total FGM]]/GN_2[[#This Row],[Total FGA]]</f>
        <v>#DIV/0!</v>
      </c>
      <c r="E58" s="98"/>
      <c r="F58" s="19"/>
      <c r="G58" s="91" t="e">
        <f>GN_2[[#This Row],[2PT FGM]]/GN_2[[#This Row],[2PT FGA]]</f>
        <v>#DIV/0!</v>
      </c>
      <c r="H58" s="19"/>
      <c r="I58" s="19"/>
      <c r="J58" s="91" t="e">
        <f>GN_2[[#This Row],[3PT FGM]]/GN_2[[#This Row],[3PT FGA]]</f>
        <v>#DIV/0!</v>
      </c>
      <c r="K58" s="19"/>
      <c r="L58" s="19"/>
      <c r="M58" s="99" t="e">
        <f>GN_2[[#This Row],[FTM]]/GN_2[[#This Row],[FTA]]</f>
        <v>#DIV/0!</v>
      </c>
      <c r="N58" s="19">
        <f>SUM(GN_2[[#This Row],[2PT FGM]]*2,GN_2[[#This Row],[3PT FGM]]*3,GN_2[[#This Row],[FTM]])</f>
        <v>0</v>
      </c>
      <c r="O58" s="19"/>
      <c r="P58" s="19"/>
      <c r="Q58" s="19"/>
      <c r="R58" s="19">
        <f>GN_2[[#This Row],[Def. Boards]]+GN_2[[#This Row],[Off. Boards]]</f>
        <v>0</v>
      </c>
      <c r="S58" s="19"/>
      <c r="T58" s="19"/>
      <c r="U58" s="19"/>
      <c r="V58" s="19"/>
      <c r="W58" s="92" t="e">
        <f>GN_2[[#This Row],[Dimes]]/GN_2[[#This Row],[Turnovers]]</f>
        <v>#DIV/0!</v>
      </c>
    </row>
    <row r="59" spans="1:23" x14ac:dyDescent="0.2">
      <c r="A59" s="13"/>
      <c r="B59" s="90">
        <f>GN_2[[#This Row],[2PT FGM]]+GN_2[[#This Row],[3PT FGM]]</f>
        <v>0</v>
      </c>
      <c r="C59" s="90">
        <f>GN_2[[#This Row],[2PT FGA]]+GN_2[[#This Row],[3PT FGA]]</f>
        <v>0</v>
      </c>
      <c r="D59" s="91" t="e">
        <f>GN_2[[#This Row],[Total FGM]]/GN_2[[#This Row],[Total FGA]]</f>
        <v>#DIV/0!</v>
      </c>
      <c r="E59" s="98"/>
      <c r="F59" s="19"/>
      <c r="G59" s="91" t="e">
        <f>GN_2[[#This Row],[2PT FGM]]/GN_2[[#This Row],[2PT FGA]]</f>
        <v>#DIV/0!</v>
      </c>
      <c r="H59" s="19"/>
      <c r="I59" s="19"/>
      <c r="J59" s="91" t="e">
        <f>GN_2[[#This Row],[3PT FGM]]/GN_2[[#This Row],[3PT FGA]]</f>
        <v>#DIV/0!</v>
      </c>
      <c r="K59" s="19"/>
      <c r="L59" s="19"/>
      <c r="M59" s="99" t="e">
        <f>GN_2[[#This Row],[FTM]]/GN_2[[#This Row],[FTA]]</f>
        <v>#DIV/0!</v>
      </c>
      <c r="N59" s="19">
        <f>SUM(GN_2[[#This Row],[2PT FGM]]*2,GN_2[[#This Row],[3PT FGM]]*3,GN_2[[#This Row],[FTM]])</f>
        <v>0</v>
      </c>
      <c r="O59" s="19"/>
      <c r="P59" s="19"/>
      <c r="Q59" s="19"/>
      <c r="R59" s="19">
        <f>GN_2[[#This Row],[Def. Boards]]+GN_2[[#This Row],[Off. Boards]]</f>
        <v>0</v>
      </c>
      <c r="S59" s="19"/>
      <c r="T59" s="19"/>
      <c r="U59" s="19"/>
      <c r="V59" s="19"/>
      <c r="W59" s="92" t="e">
        <f>GN_2[[#This Row],[Dimes]]/GN_2[[#This Row],[Turnovers]]</f>
        <v>#DIV/0!</v>
      </c>
    </row>
    <row r="60" spans="1:23" x14ac:dyDescent="0.2">
      <c r="A60" s="13"/>
      <c r="B60" s="90">
        <f>GN_2[[#This Row],[2PT FGM]]+GN_2[[#This Row],[3PT FGM]]</f>
        <v>0</v>
      </c>
      <c r="C60" s="90">
        <f>GN_2[[#This Row],[2PT FGA]]+GN_2[[#This Row],[3PT FGA]]</f>
        <v>0</v>
      </c>
      <c r="D60" s="91" t="e">
        <f>GN_2[[#This Row],[Total FGM]]/GN_2[[#This Row],[Total FGA]]</f>
        <v>#DIV/0!</v>
      </c>
      <c r="E60" s="98"/>
      <c r="F60" s="19"/>
      <c r="G60" s="91" t="e">
        <f>GN_2[[#This Row],[2PT FGM]]/GN_2[[#This Row],[2PT FGA]]</f>
        <v>#DIV/0!</v>
      </c>
      <c r="H60" s="19"/>
      <c r="I60" s="19"/>
      <c r="J60" s="91" t="e">
        <f>GN_2[[#This Row],[3PT FGM]]/GN_2[[#This Row],[3PT FGA]]</f>
        <v>#DIV/0!</v>
      </c>
      <c r="K60" s="19"/>
      <c r="L60" s="19"/>
      <c r="M60" s="99" t="e">
        <f>GN_2[[#This Row],[FTM]]/GN_2[[#This Row],[FTA]]</f>
        <v>#DIV/0!</v>
      </c>
      <c r="N60" s="19">
        <f>SUM(GN_2[[#This Row],[2PT FGM]]*2,GN_2[[#This Row],[3PT FGM]]*3,GN_2[[#This Row],[FTM]])</f>
        <v>0</v>
      </c>
      <c r="O60" s="19"/>
      <c r="P60" s="19"/>
      <c r="Q60" s="19"/>
      <c r="R60" s="19">
        <f>GN_2[[#This Row],[Def. Boards]]+GN_2[[#This Row],[Off. Boards]]</f>
        <v>0</v>
      </c>
      <c r="S60" s="19"/>
      <c r="T60" s="19"/>
      <c r="U60" s="19"/>
      <c r="V60" s="19"/>
      <c r="W60" s="92" t="e">
        <f>GN_2[[#This Row],[Dimes]]/GN_2[[#This Row],[Turnovers]]</f>
        <v>#DIV/0!</v>
      </c>
    </row>
    <row r="61" spans="1:23" x14ac:dyDescent="0.2">
      <c r="A61" s="13"/>
      <c r="B61" s="90">
        <f>GN_2[[#This Row],[2PT FGM]]+GN_2[[#This Row],[3PT FGM]]</f>
        <v>0</v>
      </c>
      <c r="C61" s="90">
        <f>GN_2[[#This Row],[2PT FGA]]+GN_2[[#This Row],[3PT FGA]]</f>
        <v>0</v>
      </c>
      <c r="D61" s="91" t="e">
        <f>GN_2[[#This Row],[Total FGM]]/GN_2[[#This Row],[Total FGA]]</f>
        <v>#DIV/0!</v>
      </c>
      <c r="E61" s="98"/>
      <c r="F61" s="19"/>
      <c r="G61" s="91" t="e">
        <f>GN_2[[#This Row],[2PT FGM]]/GN_2[[#This Row],[2PT FGA]]</f>
        <v>#DIV/0!</v>
      </c>
      <c r="H61" s="19"/>
      <c r="I61" s="19"/>
      <c r="J61" s="91" t="e">
        <f>GN_2[[#This Row],[3PT FGM]]/GN_2[[#This Row],[3PT FGA]]</f>
        <v>#DIV/0!</v>
      </c>
      <c r="K61" s="19"/>
      <c r="L61" s="19"/>
      <c r="M61" s="99" t="e">
        <f>GN_2[[#This Row],[FTM]]/GN_2[[#This Row],[FTA]]</f>
        <v>#DIV/0!</v>
      </c>
      <c r="N61" s="19">
        <f>SUM(GN_2[[#This Row],[2PT FGM]]*2,GN_2[[#This Row],[3PT FGM]]*3,GN_2[[#This Row],[FTM]])</f>
        <v>0</v>
      </c>
      <c r="O61" s="19"/>
      <c r="P61" s="19"/>
      <c r="Q61" s="19"/>
      <c r="R61" s="19">
        <f>GN_2[[#This Row],[Def. Boards]]+GN_2[[#This Row],[Off. Boards]]</f>
        <v>0</v>
      </c>
      <c r="S61" s="19"/>
      <c r="T61" s="19"/>
      <c r="U61" s="19"/>
      <c r="V61" s="19"/>
      <c r="W61" s="92" t="e">
        <f>GN_2[[#This Row],[Dimes]]/GN_2[[#This Row],[Turnovers]]</f>
        <v>#DIV/0!</v>
      </c>
    </row>
    <row r="62" spans="1:23" x14ac:dyDescent="0.2">
      <c r="A62" s="93"/>
      <c r="B62" s="90"/>
      <c r="C62" s="90"/>
      <c r="D62" s="91"/>
      <c r="E62" s="98"/>
      <c r="F62" s="19"/>
      <c r="G62" s="91"/>
      <c r="H62" s="19"/>
      <c r="I62" s="19"/>
      <c r="J62" s="91"/>
      <c r="K62" s="19"/>
      <c r="L62" s="19"/>
      <c r="M62" s="99"/>
      <c r="N62" s="19"/>
      <c r="O62" s="19"/>
      <c r="P62" s="19"/>
      <c r="Q62" s="19"/>
      <c r="R62" s="19"/>
      <c r="S62" s="19"/>
      <c r="T62" s="19"/>
      <c r="U62" s="19"/>
      <c r="V62" s="19"/>
      <c r="W62" s="92" t="e">
        <f>GN_2[[#This Row],[Dimes]]/GN_2[[#This Row],[Turnovers]]</f>
        <v>#DIV/0!</v>
      </c>
    </row>
    <row r="63" spans="1:23" ht="16" thickBot="1" x14ac:dyDescent="0.25">
      <c r="A63" s="82" t="s">
        <v>76</v>
      </c>
      <c r="B63" s="100">
        <f>SUM(B58:B62)</f>
        <v>0</v>
      </c>
      <c r="C63" s="100">
        <f>SUM(C58:C62)</f>
        <v>0</v>
      </c>
      <c r="D63" s="101" t="e">
        <f>GN_2[[#This Row],[Total FGM]]/GN_2[[#This Row],[Total FGA]]</f>
        <v>#DIV/0!</v>
      </c>
      <c r="E63" s="102">
        <f>SUM(E58:E62)</f>
        <v>0</v>
      </c>
      <c r="F63" s="103">
        <f>SUM(F58:F62)</f>
        <v>0</v>
      </c>
      <c r="G63" s="104" t="e">
        <f>GN_2[[#This Row],[2PT FGM]]/GN_2[[#This Row],[2PT FGA]]</f>
        <v>#DIV/0!</v>
      </c>
      <c r="H63" s="103">
        <f>SUM(H58:H62)</f>
        <v>0</v>
      </c>
      <c r="I63" s="103">
        <f>SUM(I58:I62)</f>
        <v>0</v>
      </c>
      <c r="J63" s="109" t="e">
        <f>GN_2[[#This Row],[3PT FGM]]/GN_2[[#This Row],[3PT FGA]]</f>
        <v>#DIV/0!</v>
      </c>
      <c r="K63" s="103">
        <f>SUM(K58:K62)</f>
        <v>0</v>
      </c>
      <c r="L63" s="103">
        <f>SUM(L58:L62)</f>
        <v>0</v>
      </c>
      <c r="M63" s="105" t="e">
        <f>GN_2[[#This Row],[FTM]]/GN_2[[#This Row],[FTA]]</f>
        <v>#DIV/0!</v>
      </c>
      <c r="N63" s="62">
        <f>SUM(GN_2[[#This Row],[2PT FGM]]*2,GN_2[[#This Row],[3PT FGM]]*3,GN_2[[#This Row],[FTM]])</f>
        <v>0</v>
      </c>
      <c r="O63" s="100">
        <f>SUM(O58:O62)</f>
        <v>0</v>
      </c>
      <c r="P63" s="100">
        <f>SUM(P58:P62)</f>
        <v>0</v>
      </c>
      <c r="Q63" s="100">
        <f>SUM(Q58:Q62)</f>
        <v>0</v>
      </c>
      <c r="R63" s="106">
        <f>GN_2[[#This Row],[Def. Boards]]+GN_2[[#This Row],[Off. Boards]]</f>
        <v>0</v>
      </c>
      <c r="S63" s="100">
        <f>SUM(S58:S62)</f>
        <v>0</v>
      </c>
      <c r="T63" s="100">
        <f>SUM(T58:T62)</f>
        <v>0</v>
      </c>
      <c r="U63" s="100">
        <f>SUM(U58:U62)</f>
        <v>0</v>
      </c>
      <c r="V63" s="100">
        <f>SUM(V58:V62)</f>
        <v>0</v>
      </c>
      <c r="W63" s="107" t="e">
        <f>GN_2[[#This Row],[Dimes]]/GN_2[[#This Row],[Turnovers]]</f>
        <v>#DIV/0!</v>
      </c>
    </row>
    <row r="65" spans="1:23" x14ac:dyDescent="0.2">
      <c r="C65" s="86" t="s">
        <v>68</v>
      </c>
      <c r="D65" s="86" t="s">
        <v>134</v>
      </c>
      <c r="E65" s="86" t="s">
        <v>74</v>
      </c>
    </row>
    <row r="66" spans="1:23" ht="24" x14ac:dyDescent="0.2">
      <c r="A66" s="84" t="s">
        <v>66</v>
      </c>
      <c r="B66" s="85">
        <v>4</v>
      </c>
      <c r="C66" s="167" t="s">
        <v>166</v>
      </c>
      <c r="D66" s="85" t="s">
        <v>137</v>
      </c>
      <c r="E66" s="85" t="s">
        <v>168</v>
      </c>
      <c r="H66" s="23"/>
    </row>
    <row r="67" spans="1:23" ht="24" x14ac:dyDescent="0.2">
      <c r="A67" s="84"/>
      <c r="B67" s="85" t="s">
        <v>151</v>
      </c>
      <c r="C67" s="167">
        <f>N75</f>
        <v>0</v>
      </c>
      <c r="D67" s="85"/>
      <c r="E67" s="85">
        <f>N84</f>
        <v>0</v>
      </c>
      <c r="H67" s="23"/>
    </row>
    <row r="68" spans="1:23" ht="16" thickBot="1" x14ac:dyDescent="0.25">
      <c r="A68" s="59" t="s">
        <v>68</v>
      </c>
    </row>
    <row r="69" spans="1:23" ht="16" x14ac:dyDescent="0.2">
      <c r="A69" s="166" t="s">
        <v>169</v>
      </c>
      <c r="B69" s="11" t="s">
        <v>0</v>
      </c>
      <c r="C69" s="11" t="s">
        <v>1</v>
      </c>
      <c r="D69" s="11" t="s">
        <v>2</v>
      </c>
      <c r="E69" s="95" t="s">
        <v>3</v>
      </c>
      <c r="F69" s="96" t="s">
        <v>4</v>
      </c>
      <c r="G69" s="96" t="s">
        <v>5</v>
      </c>
      <c r="H69" s="96" t="s">
        <v>6</v>
      </c>
      <c r="I69" s="96" t="s">
        <v>7</v>
      </c>
      <c r="J69" s="96" t="s">
        <v>8</v>
      </c>
      <c r="K69" s="96" t="s">
        <v>9</v>
      </c>
      <c r="L69" s="96" t="s">
        <v>10</v>
      </c>
      <c r="M69" s="97" t="s">
        <v>11</v>
      </c>
      <c r="N69" s="11" t="s">
        <v>12</v>
      </c>
      <c r="O69" s="10" t="s">
        <v>13</v>
      </c>
      <c r="P69" s="11" t="s">
        <v>14</v>
      </c>
      <c r="Q69" s="11" t="s">
        <v>15</v>
      </c>
      <c r="R69" s="11" t="s">
        <v>16</v>
      </c>
      <c r="S69" s="10" t="s">
        <v>17</v>
      </c>
      <c r="T69" s="10" t="s">
        <v>18</v>
      </c>
      <c r="U69" s="10" t="s">
        <v>19</v>
      </c>
      <c r="V69" s="10" t="s">
        <v>20</v>
      </c>
      <c r="W69" s="10" t="s">
        <v>21</v>
      </c>
    </row>
    <row r="70" spans="1:23" x14ac:dyDescent="0.2">
      <c r="B70" s="90">
        <f>LITI_2[[#This Row],[2PT FGM]]+LITI_2[[#This Row],[3PT FGM]]</f>
        <v>0</v>
      </c>
      <c r="C70" s="90">
        <f>LITI_2[[#This Row],[2PT FGA]]+LITI_2[[#This Row],[3PT FGA]]</f>
        <v>0</v>
      </c>
      <c r="D70" s="91" t="e">
        <f>LITI_2[[#This Row],[Total FGM]]/LITI_2[[#This Row],[Total FGA]]</f>
        <v>#DIV/0!</v>
      </c>
      <c r="E70" s="98"/>
      <c r="F70" s="19"/>
      <c r="G70" s="91" t="e">
        <f>LITI_2[[#This Row],[2PT FGM]]/LITI_2[[#This Row],[2PT FGA]]</f>
        <v>#DIV/0!</v>
      </c>
      <c r="H70" s="19"/>
      <c r="I70" s="19"/>
      <c r="J70" s="91" t="e">
        <f>LITI_2[[#This Row],[3PT FGM]]/LITI_2[[#This Row],[3PT FGA]]</f>
        <v>#DIV/0!</v>
      </c>
      <c r="K70" s="19"/>
      <c r="L70" s="19"/>
      <c r="M70" s="99" t="e">
        <f>LITI_2[[#This Row],[FTM]]/LITI_2[[#This Row],[FTA]]</f>
        <v>#DIV/0!</v>
      </c>
      <c r="N70" s="19">
        <f>SUM(LITI_2[[#This Row],[2PT FGM]]*2,LITI_2[[#This Row],[3PT FGM]]*3,LITI_2[[#This Row],[FTM]])</f>
        <v>0</v>
      </c>
      <c r="O70" s="19"/>
      <c r="P70" s="19"/>
      <c r="Q70" s="19"/>
      <c r="R70" s="19">
        <f>LITI_2[[#This Row],[Def. Boards]]+LITI_2[[#This Row],[Off. Boards]]</f>
        <v>0</v>
      </c>
      <c r="S70" s="19"/>
      <c r="T70" s="19"/>
      <c r="U70" s="19"/>
      <c r="V70" s="19"/>
      <c r="W70" s="92" t="e">
        <f>LITI_2[[#This Row],[Dimes]]/LITI_2[[#This Row],[Turnovers]]</f>
        <v>#DIV/0!</v>
      </c>
    </row>
    <row r="71" spans="1:23" x14ac:dyDescent="0.2">
      <c r="B71" s="90">
        <f>LITI_2[[#This Row],[2PT FGM]]+LITI_2[[#This Row],[3PT FGM]]</f>
        <v>0</v>
      </c>
      <c r="C71" s="90">
        <f>LITI_2[[#This Row],[2PT FGA]]+LITI_2[[#This Row],[3PT FGA]]</f>
        <v>0</v>
      </c>
      <c r="D71" s="91" t="e">
        <f>LITI_2[[#This Row],[Total FGM]]/LITI_2[[#This Row],[Total FGA]]</f>
        <v>#DIV/0!</v>
      </c>
      <c r="E71" s="98"/>
      <c r="F71" s="19"/>
      <c r="G71" s="91" t="e">
        <f>LITI_2[[#This Row],[2PT FGM]]/LITI_2[[#This Row],[2PT FGA]]</f>
        <v>#DIV/0!</v>
      </c>
      <c r="H71" s="19"/>
      <c r="I71" s="19"/>
      <c r="J71" s="91" t="e">
        <f>LITI_2[[#This Row],[3PT FGM]]/LITI_2[[#This Row],[3PT FGA]]</f>
        <v>#DIV/0!</v>
      </c>
      <c r="K71" s="19"/>
      <c r="L71" s="19"/>
      <c r="M71" s="99" t="e">
        <f>LITI_2[[#This Row],[FTM]]/LITI_2[[#This Row],[FTA]]</f>
        <v>#DIV/0!</v>
      </c>
      <c r="N71" s="19">
        <f>SUM(LITI_2[[#This Row],[2PT FGM]]*2,LITI_2[[#This Row],[3PT FGM]]*3,LITI_2[[#This Row],[FTM]])</f>
        <v>0</v>
      </c>
      <c r="O71" s="19"/>
      <c r="P71" s="19"/>
      <c r="Q71" s="19"/>
      <c r="R71" s="19">
        <f>LITI_2[[#This Row],[Def. Boards]]+LITI_2[[#This Row],[Off. Boards]]</f>
        <v>0</v>
      </c>
      <c r="S71" s="19"/>
      <c r="T71" s="19"/>
      <c r="U71" s="19"/>
      <c r="V71" s="19"/>
      <c r="W71" s="92" t="e">
        <f>LITI_2[[#This Row],[Dimes]]/LITI_2[[#This Row],[Turnovers]]</f>
        <v>#DIV/0!</v>
      </c>
    </row>
    <row r="72" spans="1:23" x14ac:dyDescent="0.2">
      <c r="B72" s="90">
        <f>LITI_2[[#This Row],[2PT FGM]]+LITI_2[[#This Row],[3PT FGM]]</f>
        <v>0</v>
      </c>
      <c r="C72" s="90">
        <f>LITI_2[[#This Row],[2PT FGA]]+LITI_2[[#This Row],[3PT FGA]]</f>
        <v>0</v>
      </c>
      <c r="D72" s="91" t="e">
        <f>LITI_2[[#This Row],[Total FGM]]/LITI_2[[#This Row],[Total FGA]]</f>
        <v>#DIV/0!</v>
      </c>
      <c r="E72" s="98"/>
      <c r="F72" s="19"/>
      <c r="G72" s="91" t="e">
        <f>LITI_2[[#This Row],[2PT FGM]]/LITI_2[[#This Row],[2PT FGA]]</f>
        <v>#DIV/0!</v>
      </c>
      <c r="H72" s="19"/>
      <c r="I72" s="19"/>
      <c r="J72" s="91" t="e">
        <f>LITI_2[[#This Row],[3PT FGM]]/LITI_2[[#This Row],[3PT FGA]]</f>
        <v>#DIV/0!</v>
      </c>
      <c r="K72" s="19"/>
      <c r="L72" s="19"/>
      <c r="M72" s="99" t="e">
        <f>LITI_2[[#This Row],[FTM]]/LITI_2[[#This Row],[FTA]]</f>
        <v>#DIV/0!</v>
      </c>
      <c r="N72" s="19">
        <f>SUM(LITI_2[[#This Row],[2PT FGM]]*2,LITI_2[[#This Row],[3PT FGM]]*3,LITI_2[[#This Row],[FTM]])</f>
        <v>0</v>
      </c>
      <c r="O72" s="19"/>
      <c r="P72" s="19"/>
      <c r="Q72" s="19"/>
      <c r="R72" s="19">
        <f>LITI_2[[#This Row],[Def. Boards]]+LITI_2[[#This Row],[Off. Boards]]</f>
        <v>0</v>
      </c>
      <c r="S72" s="19"/>
      <c r="T72" s="19"/>
      <c r="U72" s="19"/>
      <c r="V72" s="19"/>
      <c r="W72" s="92" t="e">
        <f>LITI_2[[#This Row],[Dimes]]/LITI_2[[#This Row],[Turnovers]]</f>
        <v>#DIV/0!</v>
      </c>
    </row>
    <row r="73" spans="1:23" x14ac:dyDescent="0.2">
      <c r="B73" s="90">
        <f>LITI_2[[#This Row],[2PT FGM]]+LITI_2[[#This Row],[3PT FGM]]</f>
        <v>0</v>
      </c>
      <c r="C73" s="90">
        <f>LITI_2[[#This Row],[2PT FGA]]+LITI_2[[#This Row],[3PT FGA]]</f>
        <v>0</v>
      </c>
      <c r="D73" s="91" t="e">
        <f>LITI_2[[#This Row],[Total FGM]]/LITI_2[[#This Row],[Total FGA]]</f>
        <v>#DIV/0!</v>
      </c>
      <c r="E73" s="98"/>
      <c r="F73" s="19"/>
      <c r="G73" s="91" t="e">
        <f>LITI_2[[#This Row],[2PT FGM]]/LITI_2[[#This Row],[2PT FGA]]</f>
        <v>#DIV/0!</v>
      </c>
      <c r="H73" s="19"/>
      <c r="I73" s="19"/>
      <c r="J73" s="91" t="e">
        <f>LITI_2[[#This Row],[3PT FGM]]/LITI_2[[#This Row],[3PT FGA]]</f>
        <v>#DIV/0!</v>
      </c>
      <c r="K73" s="19"/>
      <c r="L73" s="19"/>
      <c r="M73" s="99" t="e">
        <f>LITI_2[[#This Row],[FTM]]/LITI_2[[#This Row],[FTA]]</f>
        <v>#DIV/0!</v>
      </c>
      <c r="N73" s="19">
        <f>SUM(LITI_2[[#This Row],[2PT FGM]]*2,LITI_2[[#This Row],[3PT FGM]]*3,LITI_2[[#This Row],[FTM]])</f>
        <v>0</v>
      </c>
      <c r="O73" s="19"/>
      <c r="P73" s="19"/>
      <c r="Q73" s="19"/>
      <c r="R73" s="19">
        <f>LITI_2[[#This Row],[Def. Boards]]+LITI_2[[#This Row],[Off. Boards]]</f>
        <v>0</v>
      </c>
      <c r="S73" s="19"/>
      <c r="T73" s="19"/>
      <c r="U73" s="19"/>
      <c r="V73" s="19"/>
      <c r="W73" s="92" t="e">
        <f>LITI_2[[#This Row],[Dimes]]/LITI_2[[#This Row],[Turnovers]]</f>
        <v>#DIV/0!</v>
      </c>
    </row>
    <row r="74" spans="1:23" x14ac:dyDescent="0.2">
      <c r="A74" s="13"/>
      <c r="B74" s="90"/>
      <c r="C74" s="90"/>
      <c r="D74" s="91"/>
      <c r="E74" s="98"/>
      <c r="F74" s="19"/>
      <c r="G74" s="91"/>
      <c r="H74" s="19"/>
      <c r="I74" s="19"/>
      <c r="J74" s="91"/>
      <c r="K74" s="19"/>
      <c r="L74" s="19"/>
      <c r="M74" s="99"/>
      <c r="N74" s="19"/>
      <c r="O74" s="19"/>
      <c r="P74" s="19"/>
      <c r="Q74" s="19"/>
      <c r="R74" s="19"/>
      <c r="S74" s="19"/>
      <c r="T74" s="19"/>
      <c r="U74" s="19"/>
      <c r="V74" s="19"/>
      <c r="W74" s="92"/>
    </row>
    <row r="75" spans="1:23" ht="16" thickBot="1" x14ac:dyDescent="0.25">
      <c r="A75" s="82" t="s">
        <v>76</v>
      </c>
      <c r="B75" s="100">
        <f>SUM(B70:B74)</f>
        <v>0</v>
      </c>
      <c r="C75" s="100">
        <f>SUM(C70:C74)</f>
        <v>0</v>
      </c>
      <c r="D75" s="101" t="e">
        <f>LITI_2[[#This Row],[Total FGM]]/LITI_2[[#This Row],[Total FGA]]</f>
        <v>#DIV/0!</v>
      </c>
      <c r="E75" s="102">
        <f>SUM(E70:E74)</f>
        <v>0</v>
      </c>
      <c r="F75" s="103">
        <f>SUM(F70:F74)</f>
        <v>0</v>
      </c>
      <c r="G75" s="108" t="e">
        <f>LITI_2[[#This Row],[2PT FGM]]/LITI_2[[#This Row],[2PT FGA]]</f>
        <v>#DIV/0!</v>
      </c>
      <c r="H75" s="103">
        <f>SUM(H70:H74)</f>
        <v>0</v>
      </c>
      <c r="I75" s="103">
        <f>SUM(I70:I74)</f>
        <v>0</v>
      </c>
      <c r="J75" s="104" t="e">
        <f>LITI_2[[#This Row],[3PT FGM]]/LITI_2[[#This Row],[3PT FGA]]</f>
        <v>#DIV/0!</v>
      </c>
      <c r="K75" s="103">
        <f>SUM(K70:K74)</f>
        <v>0</v>
      </c>
      <c r="L75" s="103">
        <f>SUM(L70:L74)</f>
        <v>0</v>
      </c>
      <c r="M75" s="105" t="e">
        <f>LITI_2[[#This Row],[FTM]]/LITI_2[[#This Row],[FTA]]</f>
        <v>#DIV/0!</v>
      </c>
      <c r="N75" s="62">
        <f>SUM(LITI_2[[#This Row],[2PT FGM]]*2,LITI_2[[#This Row],[3PT FGM]]*3,LITI_2[[#This Row],[FTM]])</f>
        <v>0</v>
      </c>
      <c r="O75" s="106">
        <f>SUM(O70:O74)</f>
        <v>0</v>
      </c>
      <c r="P75" s="106">
        <f t="shared" ref="P75:V75" si="9">SUM(P70:P74)</f>
        <v>0</v>
      </c>
      <c r="Q75" s="106">
        <f t="shared" si="9"/>
        <v>0</v>
      </c>
      <c r="R75" s="106">
        <f t="shared" si="9"/>
        <v>0</v>
      </c>
      <c r="S75" s="106">
        <f t="shared" si="9"/>
        <v>0</v>
      </c>
      <c r="T75" s="106">
        <f t="shared" si="9"/>
        <v>0</v>
      </c>
      <c r="U75" s="106">
        <f t="shared" si="9"/>
        <v>0</v>
      </c>
      <c r="V75" s="106">
        <f t="shared" si="9"/>
        <v>0</v>
      </c>
      <c r="W75" s="107" t="e">
        <f>LITI_2[[#This Row],[Dimes]]/LITI_2[[#This Row],[Turnovers]]</f>
        <v>#DIV/0!</v>
      </c>
    </row>
    <row r="76" spans="1:23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</row>
    <row r="77" spans="1:23" ht="16" thickBot="1" x14ac:dyDescent="0.25">
      <c r="A77" s="94" t="s">
        <v>74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</row>
    <row r="78" spans="1:23" ht="16" x14ac:dyDescent="0.2">
      <c r="A78" s="166" t="s">
        <v>169</v>
      </c>
      <c r="B78" s="11" t="s">
        <v>0</v>
      </c>
      <c r="C78" s="11" t="s">
        <v>1</v>
      </c>
      <c r="D78" s="11" t="s">
        <v>2</v>
      </c>
      <c r="E78" s="95" t="s">
        <v>3</v>
      </c>
      <c r="F78" s="96" t="s">
        <v>4</v>
      </c>
      <c r="G78" s="96" t="s">
        <v>5</v>
      </c>
      <c r="H78" s="96" t="s">
        <v>6</v>
      </c>
      <c r="I78" s="96" t="s">
        <v>7</v>
      </c>
      <c r="J78" s="96" t="s">
        <v>8</v>
      </c>
      <c r="K78" s="96" t="s">
        <v>9</v>
      </c>
      <c r="L78" s="96" t="s">
        <v>10</v>
      </c>
      <c r="M78" s="97" t="s">
        <v>11</v>
      </c>
      <c r="N78" s="11" t="s">
        <v>12</v>
      </c>
      <c r="O78" s="10" t="s">
        <v>13</v>
      </c>
      <c r="P78" s="11" t="s">
        <v>14</v>
      </c>
      <c r="Q78" s="11" t="s">
        <v>15</v>
      </c>
      <c r="R78" s="11" t="s">
        <v>16</v>
      </c>
      <c r="S78" s="10" t="s">
        <v>17</v>
      </c>
      <c r="T78" s="10" t="s">
        <v>18</v>
      </c>
      <c r="U78" s="10" t="s">
        <v>19</v>
      </c>
      <c r="V78" s="10" t="s">
        <v>20</v>
      </c>
      <c r="W78" s="10" t="s">
        <v>21</v>
      </c>
    </row>
    <row r="79" spans="1:23" x14ac:dyDescent="0.2">
      <c r="A79" s="13"/>
      <c r="B79" s="90">
        <f>GN_258[[#This Row],[2PT FGM]]+GN_258[[#This Row],[3PT FGM]]</f>
        <v>0</v>
      </c>
      <c r="C79" s="90">
        <f>GN_258[[#This Row],[2PT FGA]]+GN_258[[#This Row],[3PT FGA]]</f>
        <v>0</v>
      </c>
      <c r="D79" s="91" t="e">
        <f>GN_258[[#This Row],[Total FGM]]/GN_258[[#This Row],[Total FGA]]</f>
        <v>#DIV/0!</v>
      </c>
      <c r="E79" s="98"/>
      <c r="F79" s="19"/>
      <c r="G79" s="91" t="e">
        <f>GN_258[[#This Row],[2PT FGM]]/GN_258[[#This Row],[2PT FGA]]</f>
        <v>#DIV/0!</v>
      </c>
      <c r="H79" s="19"/>
      <c r="I79" s="19"/>
      <c r="J79" s="91" t="e">
        <f>GN_258[[#This Row],[3PT FGM]]/GN_258[[#This Row],[3PT FGA]]</f>
        <v>#DIV/0!</v>
      </c>
      <c r="K79" s="19"/>
      <c r="L79" s="19"/>
      <c r="M79" s="99" t="e">
        <f>GN_258[[#This Row],[FTM]]/GN_258[[#This Row],[FTA]]</f>
        <v>#DIV/0!</v>
      </c>
      <c r="N79" s="19">
        <f>SUM(GN_258[[#This Row],[2PT FGM]]*2,GN_258[[#This Row],[3PT FGM]]*3,GN_258[[#This Row],[FTM]])</f>
        <v>0</v>
      </c>
      <c r="O79" s="19"/>
      <c r="P79" s="19"/>
      <c r="Q79" s="19"/>
      <c r="R79" s="19">
        <f>GN_258[[#This Row],[Def. Boards]]+GN_258[[#This Row],[Off. Boards]]</f>
        <v>0</v>
      </c>
      <c r="S79" s="19"/>
      <c r="T79" s="19"/>
      <c r="U79" s="19"/>
      <c r="V79" s="19"/>
      <c r="W79" s="92" t="e">
        <f>GN_258[[#This Row],[Dimes]]/GN_258[[#This Row],[Turnovers]]</f>
        <v>#DIV/0!</v>
      </c>
    </row>
    <row r="80" spans="1:23" x14ac:dyDescent="0.2">
      <c r="A80" s="14"/>
      <c r="B80" s="90">
        <f>GN_258[[#This Row],[2PT FGM]]+GN_258[[#This Row],[3PT FGM]]</f>
        <v>0</v>
      </c>
      <c r="C80" s="90">
        <f>GN_258[[#This Row],[2PT FGA]]+GN_258[[#This Row],[3PT FGA]]</f>
        <v>0</v>
      </c>
      <c r="D80" s="91" t="e">
        <f>GN_258[[#This Row],[Total FGM]]/GN_258[[#This Row],[Total FGA]]</f>
        <v>#DIV/0!</v>
      </c>
      <c r="E80" s="98"/>
      <c r="F80" s="19"/>
      <c r="G80" s="91" t="e">
        <f>GN_258[[#This Row],[2PT FGM]]/GN_258[[#This Row],[2PT FGA]]</f>
        <v>#DIV/0!</v>
      </c>
      <c r="H80" s="19"/>
      <c r="I80" s="19"/>
      <c r="J80" s="91" t="e">
        <f>GN_258[[#This Row],[3PT FGM]]/GN_258[[#This Row],[3PT FGA]]</f>
        <v>#DIV/0!</v>
      </c>
      <c r="K80" s="19"/>
      <c r="L80" s="19"/>
      <c r="M80" s="99" t="e">
        <f>GN_258[[#This Row],[FTM]]/GN_258[[#This Row],[FTA]]</f>
        <v>#DIV/0!</v>
      </c>
      <c r="N80" s="19">
        <f>SUM(GN_258[[#This Row],[2PT FGM]]*2,GN_258[[#This Row],[3PT FGM]]*3,GN_258[[#This Row],[FTM]])</f>
        <v>0</v>
      </c>
      <c r="O80" s="19"/>
      <c r="P80" s="19"/>
      <c r="Q80" s="19"/>
      <c r="R80" s="19">
        <f>GN_258[[#This Row],[Def. Boards]]+GN_258[[#This Row],[Off. Boards]]</f>
        <v>0</v>
      </c>
      <c r="S80" s="19"/>
      <c r="T80" s="19"/>
      <c r="U80" s="19"/>
      <c r="V80" s="19"/>
      <c r="W80" s="92" t="e">
        <f>GN_258[[#This Row],[Dimes]]/GN_258[[#This Row],[Turnovers]]</f>
        <v>#DIV/0!</v>
      </c>
    </row>
    <row r="81" spans="1:23" x14ac:dyDescent="0.2">
      <c r="A81" s="13"/>
      <c r="B81" s="90">
        <f>GN_258[[#This Row],[2PT FGM]]+GN_258[[#This Row],[3PT FGM]]</f>
        <v>0</v>
      </c>
      <c r="C81" s="90">
        <f>GN_258[[#This Row],[2PT FGA]]+GN_258[[#This Row],[3PT FGA]]</f>
        <v>0</v>
      </c>
      <c r="D81" s="91" t="e">
        <f>GN_258[[#This Row],[Total FGM]]/GN_258[[#This Row],[Total FGA]]</f>
        <v>#DIV/0!</v>
      </c>
      <c r="E81" s="98"/>
      <c r="F81" s="19"/>
      <c r="G81" s="91" t="e">
        <f>GN_258[[#This Row],[2PT FGM]]/GN_258[[#This Row],[2PT FGA]]</f>
        <v>#DIV/0!</v>
      </c>
      <c r="H81" s="19"/>
      <c r="I81" s="19"/>
      <c r="J81" s="91" t="e">
        <f>GN_258[[#This Row],[3PT FGM]]/GN_258[[#This Row],[3PT FGA]]</f>
        <v>#DIV/0!</v>
      </c>
      <c r="K81" s="19"/>
      <c r="L81" s="19"/>
      <c r="M81" s="99" t="e">
        <f>GN_258[[#This Row],[FTM]]/GN_258[[#This Row],[FTA]]</f>
        <v>#DIV/0!</v>
      </c>
      <c r="N81" s="19">
        <f>SUM(GN_258[[#This Row],[2PT FGM]]*2,GN_258[[#This Row],[3PT FGM]]*3,GN_258[[#This Row],[FTM]])</f>
        <v>0</v>
      </c>
      <c r="O81" s="19"/>
      <c r="P81" s="19"/>
      <c r="Q81" s="19"/>
      <c r="R81" s="19">
        <f>GN_258[[#This Row],[Def. Boards]]+GN_258[[#This Row],[Off. Boards]]</f>
        <v>0</v>
      </c>
      <c r="S81" s="19"/>
      <c r="T81" s="19"/>
      <c r="U81" s="19"/>
      <c r="V81" s="19"/>
      <c r="W81" s="92" t="e">
        <f>GN_258[[#This Row],[Dimes]]/GN_258[[#This Row],[Turnovers]]</f>
        <v>#DIV/0!</v>
      </c>
    </row>
    <row r="82" spans="1:23" x14ac:dyDescent="0.2">
      <c r="A82" s="13"/>
      <c r="B82" s="90">
        <f>GN_258[[#This Row],[2PT FGM]]+GN_258[[#This Row],[3PT FGM]]</f>
        <v>0</v>
      </c>
      <c r="C82" s="90">
        <f>GN_258[[#This Row],[2PT FGA]]+GN_258[[#This Row],[3PT FGA]]</f>
        <v>0</v>
      </c>
      <c r="D82" s="91" t="e">
        <f>GN_258[[#This Row],[Total FGM]]/GN_258[[#This Row],[Total FGA]]</f>
        <v>#DIV/0!</v>
      </c>
      <c r="E82" s="98"/>
      <c r="F82" s="19"/>
      <c r="G82" s="91" t="e">
        <f>GN_258[[#This Row],[2PT FGM]]/GN_258[[#This Row],[2PT FGA]]</f>
        <v>#DIV/0!</v>
      </c>
      <c r="H82" s="19"/>
      <c r="I82" s="19"/>
      <c r="J82" s="91" t="e">
        <f>GN_258[[#This Row],[3PT FGM]]/GN_258[[#This Row],[3PT FGA]]</f>
        <v>#DIV/0!</v>
      </c>
      <c r="K82" s="19"/>
      <c r="L82" s="19"/>
      <c r="M82" s="99" t="e">
        <f>GN_258[[#This Row],[FTM]]/GN_258[[#This Row],[FTA]]</f>
        <v>#DIV/0!</v>
      </c>
      <c r="N82" s="19">
        <f>SUM(GN_258[[#This Row],[2PT FGM]]*2,GN_258[[#This Row],[3PT FGM]]*3,GN_258[[#This Row],[FTM]])</f>
        <v>0</v>
      </c>
      <c r="O82" s="19"/>
      <c r="P82" s="19"/>
      <c r="Q82" s="19"/>
      <c r="R82" s="19">
        <f>GN_258[[#This Row],[Def. Boards]]+GN_258[[#This Row],[Off. Boards]]</f>
        <v>0</v>
      </c>
      <c r="S82" s="19"/>
      <c r="T82" s="19"/>
      <c r="U82" s="19"/>
      <c r="V82" s="19"/>
      <c r="W82" s="92" t="e">
        <f>GN_258[[#This Row],[Dimes]]/GN_258[[#This Row],[Turnovers]]</f>
        <v>#DIV/0!</v>
      </c>
    </row>
    <row r="83" spans="1:23" x14ac:dyDescent="0.2">
      <c r="A83" s="93"/>
      <c r="B83" s="90"/>
      <c r="C83" s="90"/>
      <c r="D83" s="91"/>
      <c r="E83" s="98"/>
      <c r="F83" s="19"/>
      <c r="G83" s="91"/>
      <c r="H83" s="19"/>
      <c r="I83" s="19"/>
      <c r="J83" s="91"/>
      <c r="K83" s="19"/>
      <c r="L83" s="19"/>
      <c r="M83" s="99"/>
      <c r="N83" s="19"/>
      <c r="O83" s="19"/>
      <c r="P83" s="19"/>
      <c r="Q83" s="19"/>
      <c r="R83" s="19"/>
      <c r="S83" s="19"/>
      <c r="T83" s="19"/>
      <c r="U83" s="19"/>
      <c r="V83" s="19"/>
      <c r="W83" s="92" t="e">
        <f>GN_258[[#This Row],[Dimes]]/GN_258[[#This Row],[Turnovers]]</f>
        <v>#DIV/0!</v>
      </c>
    </row>
    <row r="84" spans="1:23" ht="16" thickBot="1" x14ac:dyDescent="0.25">
      <c r="A84" s="82" t="s">
        <v>76</v>
      </c>
      <c r="B84" s="100">
        <f>SUM(B79:B83)</f>
        <v>0</v>
      </c>
      <c r="C84" s="100">
        <f>SUM(C79:C83)</f>
        <v>0</v>
      </c>
      <c r="D84" s="101" t="e">
        <f>GN_258[[#This Row],[Total FGM]]/GN_258[[#This Row],[Total FGA]]</f>
        <v>#DIV/0!</v>
      </c>
      <c r="E84" s="102">
        <f>SUM(E79:E83)</f>
        <v>0</v>
      </c>
      <c r="F84" s="103">
        <f>SUM(F79:F83)</f>
        <v>0</v>
      </c>
      <c r="G84" s="104" t="e">
        <f>GN_258[[#This Row],[2PT FGM]]/GN_258[[#This Row],[2PT FGA]]</f>
        <v>#DIV/0!</v>
      </c>
      <c r="H84" s="103">
        <f>SUM(H79:H83)</f>
        <v>0</v>
      </c>
      <c r="I84" s="103">
        <f>SUM(I79:I83)</f>
        <v>0</v>
      </c>
      <c r="J84" s="109" t="e">
        <f>GN_258[[#This Row],[3PT FGM]]/GN_258[[#This Row],[3PT FGA]]</f>
        <v>#DIV/0!</v>
      </c>
      <c r="K84" s="103">
        <f>SUM(K79:K83)</f>
        <v>0</v>
      </c>
      <c r="L84" s="103">
        <f>SUM(L79:L83)</f>
        <v>0</v>
      </c>
      <c r="M84" s="105" t="e">
        <f>GN_258[[#This Row],[FTM]]/GN_258[[#This Row],[FTA]]</f>
        <v>#DIV/0!</v>
      </c>
      <c r="N84" s="62">
        <f>SUM(GN_258[[#This Row],[2PT FGM]]*2,GN_258[[#This Row],[3PT FGM]]*3,GN_258[[#This Row],[FTM]])</f>
        <v>0</v>
      </c>
      <c r="O84" s="100">
        <f>SUM(O79:O83)</f>
        <v>0</v>
      </c>
      <c r="P84" s="100">
        <f>SUM(P79:P83)</f>
        <v>0</v>
      </c>
      <c r="Q84" s="100">
        <f>SUM(Q79:Q83)</f>
        <v>0</v>
      </c>
      <c r="R84" s="106">
        <f>GN_258[[#This Row],[Def. Boards]]+GN_258[[#This Row],[Off. Boards]]</f>
        <v>0</v>
      </c>
      <c r="S84" s="100">
        <f>SUM(S79:S83)</f>
        <v>0</v>
      </c>
      <c r="T84" s="100">
        <f>SUM(T79:T83)</f>
        <v>0</v>
      </c>
      <c r="U84" s="100">
        <f>SUM(U79:U83)</f>
        <v>0</v>
      </c>
      <c r="V84" s="100">
        <f>SUM(V79:V83)</f>
        <v>0</v>
      </c>
      <c r="W84" s="107" t="e">
        <f>GN_258[[#This Row],[Dimes]]/GN_258[[#This Row],[Turnovers]]</f>
        <v>#DIV/0!</v>
      </c>
    </row>
    <row r="86" spans="1:23" x14ac:dyDescent="0.2">
      <c r="C86" s="86" t="s">
        <v>68</v>
      </c>
      <c r="D86" s="86" t="s">
        <v>134</v>
      </c>
      <c r="E86" s="86" t="s">
        <v>74</v>
      </c>
    </row>
    <row r="87" spans="1:23" ht="24" x14ac:dyDescent="0.2">
      <c r="A87" s="84" t="s">
        <v>66</v>
      </c>
      <c r="B87" s="85">
        <v>5</v>
      </c>
      <c r="C87" s="85" t="s">
        <v>167</v>
      </c>
      <c r="D87" s="85" t="s">
        <v>137</v>
      </c>
      <c r="E87" s="167" t="s">
        <v>166</v>
      </c>
      <c r="H87" s="23"/>
    </row>
    <row r="88" spans="1:23" ht="24" x14ac:dyDescent="0.2">
      <c r="A88" s="84"/>
      <c r="B88" s="85" t="s">
        <v>151</v>
      </c>
      <c r="C88" s="85">
        <f>N96</f>
        <v>0</v>
      </c>
      <c r="D88" s="85"/>
      <c r="E88" s="167">
        <f>N105</f>
        <v>0</v>
      </c>
      <c r="H88" s="23"/>
    </row>
    <row r="89" spans="1:23" ht="16" thickBot="1" x14ac:dyDescent="0.25">
      <c r="A89" s="59" t="s">
        <v>68</v>
      </c>
    </row>
    <row r="90" spans="1:23" ht="16" x14ac:dyDescent="0.2">
      <c r="A90" s="166" t="s">
        <v>169</v>
      </c>
      <c r="B90" s="11" t="s">
        <v>0</v>
      </c>
      <c r="C90" s="11" t="s">
        <v>1</v>
      </c>
      <c r="D90" s="11" t="s">
        <v>2</v>
      </c>
      <c r="E90" s="95" t="s">
        <v>3</v>
      </c>
      <c r="F90" s="96" t="s">
        <v>4</v>
      </c>
      <c r="G90" s="96" t="s">
        <v>5</v>
      </c>
      <c r="H90" s="96" t="s">
        <v>6</v>
      </c>
      <c r="I90" s="96" t="s">
        <v>7</v>
      </c>
      <c r="J90" s="96" t="s">
        <v>8</v>
      </c>
      <c r="K90" s="96" t="s">
        <v>9</v>
      </c>
      <c r="L90" s="96" t="s">
        <v>10</v>
      </c>
      <c r="M90" s="97" t="s">
        <v>11</v>
      </c>
      <c r="N90" s="11" t="s">
        <v>12</v>
      </c>
      <c r="O90" s="10" t="s">
        <v>13</v>
      </c>
      <c r="P90" s="11" t="s">
        <v>14</v>
      </c>
      <c r="Q90" s="11" t="s">
        <v>15</v>
      </c>
      <c r="R90" s="11" t="s">
        <v>16</v>
      </c>
      <c r="S90" s="10" t="s">
        <v>17</v>
      </c>
      <c r="T90" s="10" t="s">
        <v>18</v>
      </c>
      <c r="U90" s="10" t="s">
        <v>19</v>
      </c>
      <c r="V90" s="10" t="s">
        <v>20</v>
      </c>
      <c r="W90" s="10" t="s">
        <v>21</v>
      </c>
    </row>
    <row r="91" spans="1:23" x14ac:dyDescent="0.2">
      <c r="A91" s="13"/>
      <c r="B91" s="90">
        <f>LITI_265[[#This Row],[2PT FGM]]+LITI_265[[#This Row],[3PT FGM]]</f>
        <v>0</v>
      </c>
      <c r="C91" s="90">
        <f>LITI_265[[#This Row],[2PT FGA]]+LITI_265[[#This Row],[3PT FGA]]</f>
        <v>0</v>
      </c>
      <c r="D91" s="91" t="e">
        <f>LITI_265[[#This Row],[Total FGM]]/LITI_265[[#This Row],[Total FGA]]</f>
        <v>#DIV/0!</v>
      </c>
      <c r="E91" s="98"/>
      <c r="F91" s="19"/>
      <c r="G91" s="91" t="e">
        <f>LITI_265[[#This Row],[2PT FGM]]/LITI_265[[#This Row],[2PT FGA]]</f>
        <v>#DIV/0!</v>
      </c>
      <c r="H91" s="19"/>
      <c r="I91" s="19"/>
      <c r="J91" s="91" t="e">
        <f>LITI_265[[#This Row],[3PT FGM]]/LITI_265[[#This Row],[3PT FGA]]</f>
        <v>#DIV/0!</v>
      </c>
      <c r="K91" s="19"/>
      <c r="L91" s="19"/>
      <c r="M91" s="99" t="e">
        <f>LITI_265[[#This Row],[FTM]]/LITI_265[[#This Row],[FTA]]</f>
        <v>#DIV/0!</v>
      </c>
      <c r="N91" s="19">
        <f>SUM(LITI_265[[#This Row],[2PT FGM]]*2,LITI_265[[#This Row],[3PT FGM]]*3,LITI_265[[#This Row],[FTM]])</f>
        <v>0</v>
      </c>
      <c r="O91" s="19"/>
      <c r="P91" s="19"/>
      <c r="Q91" s="19"/>
      <c r="R91" s="19">
        <f>LITI_265[[#This Row],[Def. Boards]]+LITI_265[[#This Row],[Off. Boards]]</f>
        <v>0</v>
      </c>
      <c r="S91" s="19"/>
      <c r="T91" s="19"/>
      <c r="U91" s="19"/>
      <c r="V91" s="19"/>
      <c r="W91" s="92" t="e">
        <f>LITI_265[[#This Row],[Dimes]]/LITI_265[[#This Row],[Turnovers]]</f>
        <v>#DIV/0!</v>
      </c>
    </row>
    <row r="92" spans="1:23" x14ac:dyDescent="0.2">
      <c r="A92" s="13"/>
      <c r="B92" s="90">
        <f>LITI_265[[#This Row],[2PT FGM]]+LITI_265[[#This Row],[3PT FGM]]</f>
        <v>0</v>
      </c>
      <c r="C92" s="90">
        <f>LITI_265[[#This Row],[2PT FGA]]+LITI_265[[#This Row],[3PT FGA]]</f>
        <v>0</v>
      </c>
      <c r="D92" s="91" t="e">
        <f>LITI_265[[#This Row],[Total FGM]]/LITI_265[[#This Row],[Total FGA]]</f>
        <v>#DIV/0!</v>
      </c>
      <c r="E92" s="98"/>
      <c r="F92" s="19"/>
      <c r="G92" s="91" t="e">
        <f>LITI_265[[#This Row],[2PT FGM]]/LITI_265[[#This Row],[2PT FGA]]</f>
        <v>#DIV/0!</v>
      </c>
      <c r="H92" s="19"/>
      <c r="I92" s="19"/>
      <c r="J92" s="91" t="e">
        <f>LITI_265[[#This Row],[3PT FGM]]/LITI_265[[#This Row],[3PT FGA]]</f>
        <v>#DIV/0!</v>
      </c>
      <c r="K92" s="19"/>
      <c r="L92" s="19"/>
      <c r="M92" s="99" t="e">
        <f>LITI_265[[#This Row],[FTM]]/LITI_265[[#This Row],[FTA]]</f>
        <v>#DIV/0!</v>
      </c>
      <c r="N92" s="19">
        <f>SUM(LITI_265[[#This Row],[2PT FGM]]*2,LITI_265[[#This Row],[3PT FGM]]*3,LITI_265[[#This Row],[FTM]])</f>
        <v>0</v>
      </c>
      <c r="O92" s="19"/>
      <c r="P92" s="19"/>
      <c r="Q92" s="19"/>
      <c r="R92" s="19">
        <f>LITI_265[[#This Row],[Def. Boards]]+LITI_265[[#This Row],[Off. Boards]]</f>
        <v>0</v>
      </c>
      <c r="S92" s="19"/>
      <c r="T92" s="19"/>
      <c r="U92" s="19"/>
      <c r="V92" s="19"/>
      <c r="W92" s="92" t="e">
        <f>LITI_265[[#This Row],[Dimes]]/LITI_265[[#This Row],[Turnovers]]</f>
        <v>#DIV/0!</v>
      </c>
    </row>
    <row r="93" spans="1:23" x14ac:dyDescent="0.2">
      <c r="A93" s="13"/>
      <c r="B93" s="90">
        <f>LITI_265[[#This Row],[2PT FGM]]+LITI_265[[#This Row],[3PT FGM]]</f>
        <v>0</v>
      </c>
      <c r="C93" s="90">
        <f>LITI_265[[#This Row],[2PT FGA]]+LITI_265[[#This Row],[3PT FGA]]</f>
        <v>0</v>
      </c>
      <c r="D93" s="91" t="e">
        <f>LITI_265[[#This Row],[Total FGM]]/LITI_265[[#This Row],[Total FGA]]</f>
        <v>#DIV/0!</v>
      </c>
      <c r="E93" s="98"/>
      <c r="F93" s="19"/>
      <c r="G93" s="91" t="e">
        <f>LITI_265[[#This Row],[2PT FGM]]/LITI_265[[#This Row],[2PT FGA]]</f>
        <v>#DIV/0!</v>
      </c>
      <c r="H93" s="19"/>
      <c r="I93" s="19"/>
      <c r="J93" s="91" t="e">
        <f>LITI_265[[#This Row],[3PT FGM]]/LITI_265[[#This Row],[3PT FGA]]</f>
        <v>#DIV/0!</v>
      </c>
      <c r="K93" s="19"/>
      <c r="L93" s="19"/>
      <c r="M93" s="99" t="e">
        <f>LITI_265[[#This Row],[FTM]]/LITI_265[[#This Row],[FTA]]</f>
        <v>#DIV/0!</v>
      </c>
      <c r="N93" s="19">
        <f>SUM(LITI_265[[#This Row],[2PT FGM]]*2,LITI_265[[#This Row],[3PT FGM]]*3,LITI_265[[#This Row],[FTM]])</f>
        <v>0</v>
      </c>
      <c r="O93" s="19"/>
      <c r="P93" s="19"/>
      <c r="Q93" s="19"/>
      <c r="R93" s="19">
        <f>LITI_265[[#This Row],[Def. Boards]]+LITI_265[[#This Row],[Off. Boards]]</f>
        <v>0</v>
      </c>
      <c r="S93" s="19"/>
      <c r="T93" s="19"/>
      <c r="U93" s="19"/>
      <c r="V93" s="19"/>
      <c r="W93" s="92" t="e">
        <f>LITI_265[[#This Row],[Dimes]]/LITI_265[[#This Row],[Turnovers]]</f>
        <v>#DIV/0!</v>
      </c>
    </row>
    <row r="94" spans="1:23" x14ac:dyDescent="0.2">
      <c r="A94" s="13"/>
      <c r="B94" s="90">
        <f>LITI_265[[#This Row],[2PT FGM]]+LITI_265[[#This Row],[3PT FGM]]</f>
        <v>0</v>
      </c>
      <c r="C94" s="90">
        <f>LITI_265[[#This Row],[2PT FGA]]+LITI_265[[#This Row],[3PT FGA]]</f>
        <v>0</v>
      </c>
      <c r="D94" s="91" t="e">
        <f>LITI_265[[#This Row],[Total FGM]]/LITI_265[[#This Row],[Total FGA]]</f>
        <v>#DIV/0!</v>
      </c>
      <c r="E94" s="98"/>
      <c r="F94" s="19"/>
      <c r="G94" s="91" t="e">
        <f>LITI_265[[#This Row],[2PT FGM]]/LITI_265[[#This Row],[2PT FGA]]</f>
        <v>#DIV/0!</v>
      </c>
      <c r="H94" s="19"/>
      <c r="I94" s="19"/>
      <c r="J94" s="91" t="e">
        <f>LITI_265[[#This Row],[3PT FGM]]/LITI_265[[#This Row],[3PT FGA]]</f>
        <v>#DIV/0!</v>
      </c>
      <c r="K94" s="19"/>
      <c r="L94" s="19"/>
      <c r="M94" s="99" t="e">
        <f>LITI_265[[#This Row],[FTM]]/LITI_265[[#This Row],[FTA]]</f>
        <v>#DIV/0!</v>
      </c>
      <c r="N94" s="19">
        <f>SUM(LITI_265[[#This Row],[2PT FGM]]*2,LITI_265[[#This Row],[3PT FGM]]*3,LITI_265[[#This Row],[FTM]])</f>
        <v>0</v>
      </c>
      <c r="O94" s="19"/>
      <c r="P94" s="19"/>
      <c r="Q94" s="19"/>
      <c r="R94" s="19">
        <f>LITI_265[[#This Row],[Def. Boards]]+LITI_265[[#This Row],[Off. Boards]]</f>
        <v>0</v>
      </c>
      <c r="S94" s="19"/>
      <c r="T94" s="19"/>
      <c r="U94" s="19"/>
      <c r="V94" s="19"/>
      <c r="W94" s="92" t="e">
        <f>LITI_265[[#This Row],[Dimes]]/LITI_265[[#This Row],[Turnovers]]</f>
        <v>#DIV/0!</v>
      </c>
    </row>
    <row r="95" spans="1:23" x14ac:dyDescent="0.2">
      <c r="A95" s="13"/>
      <c r="B95" s="90"/>
      <c r="C95" s="90"/>
      <c r="D95" s="91"/>
      <c r="E95" s="98"/>
      <c r="F95" s="19"/>
      <c r="G95" s="91"/>
      <c r="H95" s="19"/>
      <c r="I95" s="19"/>
      <c r="J95" s="91"/>
      <c r="K95" s="19"/>
      <c r="L95" s="19"/>
      <c r="M95" s="99"/>
      <c r="N95" s="19"/>
      <c r="O95" s="19"/>
      <c r="P95" s="19"/>
      <c r="Q95" s="19"/>
      <c r="R95" s="19"/>
      <c r="S95" s="19"/>
      <c r="T95" s="19"/>
      <c r="U95" s="19"/>
      <c r="V95" s="19"/>
      <c r="W95" s="92"/>
    </row>
    <row r="96" spans="1:23" ht="16" thickBot="1" x14ac:dyDescent="0.25">
      <c r="A96" s="82" t="s">
        <v>76</v>
      </c>
      <c r="B96" s="100">
        <f>SUM(B91:B95)</f>
        <v>0</v>
      </c>
      <c r="C96" s="100">
        <f>SUM(C91:C95)</f>
        <v>0</v>
      </c>
      <c r="D96" s="101" t="e">
        <f>LITI_265[[#This Row],[Total FGM]]/LITI_265[[#This Row],[Total FGA]]</f>
        <v>#DIV/0!</v>
      </c>
      <c r="E96" s="102">
        <f>SUM(E91:E95)</f>
        <v>0</v>
      </c>
      <c r="F96" s="103">
        <f>SUM(F91:F95)</f>
        <v>0</v>
      </c>
      <c r="G96" s="108" t="e">
        <f>LITI_265[[#This Row],[2PT FGM]]/LITI_265[[#This Row],[2PT FGA]]</f>
        <v>#DIV/0!</v>
      </c>
      <c r="H96" s="103">
        <f>SUM(H91:H95)</f>
        <v>0</v>
      </c>
      <c r="I96" s="103">
        <f>SUM(I91:I95)</f>
        <v>0</v>
      </c>
      <c r="J96" s="104" t="e">
        <f>LITI_265[[#This Row],[3PT FGM]]/LITI_265[[#This Row],[3PT FGA]]</f>
        <v>#DIV/0!</v>
      </c>
      <c r="K96" s="103">
        <f>SUM(K91:K95)</f>
        <v>0</v>
      </c>
      <c r="L96" s="103">
        <f>SUM(L91:L95)</f>
        <v>0</v>
      </c>
      <c r="M96" s="105" t="e">
        <f>LITI_265[[#This Row],[FTM]]/LITI_265[[#This Row],[FTA]]</f>
        <v>#DIV/0!</v>
      </c>
      <c r="N96" s="62">
        <f>SUM(LITI_265[[#This Row],[2PT FGM]]*2,LITI_265[[#This Row],[3PT FGM]]*3,LITI_265[[#This Row],[FTM]])</f>
        <v>0</v>
      </c>
      <c r="O96" s="106">
        <f>SUM(O91:O95)</f>
        <v>0</v>
      </c>
      <c r="P96" s="106">
        <f t="shared" ref="P96:V96" si="10">SUM(P91:P95)</f>
        <v>0</v>
      </c>
      <c r="Q96" s="106">
        <f t="shared" si="10"/>
        <v>0</v>
      </c>
      <c r="R96" s="106">
        <f t="shared" si="10"/>
        <v>0</v>
      </c>
      <c r="S96" s="106">
        <f t="shared" si="10"/>
        <v>0</v>
      </c>
      <c r="T96" s="106">
        <f t="shared" si="10"/>
        <v>0</v>
      </c>
      <c r="U96" s="106">
        <f t="shared" si="10"/>
        <v>0</v>
      </c>
      <c r="V96" s="106">
        <f t="shared" si="10"/>
        <v>0</v>
      </c>
      <c r="W96" s="107" t="e">
        <f>LITI_265[[#This Row],[Dimes]]/LITI_265[[#This Row],[Turnovers]]</f>
        <v>#DIV/0!</v>
      </c>
    </row>
    <row r="97" spans="1:23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</row>
    <row r="98" spans="1:23" ht="16" thickBot="1" x14ac:dyDescent="0.25">
      <c r="A98" s="94" t="s">
        <v>74</v>
      </c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</row>
    <row r="99" spans="1:23" ht="16" x14ac:dyDescent="0.2">
      <c r="A99" s="166" t="s">
        <v>169</v>
      </c>
      <c r="B99" s="11" t="s">
        <v>0</v>
      </c>
      <c r="C99" s="11" t="s">
        <v>1</v>
      </c>
      <c r="D99" s="11" t="s">
        <v>2</v>
      </c>
      <c r="E99" s="95" t="s">
        <v>3</v>
      </c>
      <c r="F99" s="96" t="s">
        <v>4</v>
      </c>
      <c r="G99" s="96" t="s">
        <v>5</v>
      </c>
      <c r="H99" s="96" t="s">
        <v>6</v>
      </c>
      <c r="I99" s="96" t="s">
        <v>7</v>
      </c>
      <c r="J99" s="96" t="s">
        <v>8</v>
      </c>
      <c r="K99" s="96" t="s">
        <v>9</v>
      </c>
      <c r="L99" s="96" t="s">
        <v>10</v>
      </c>
      <c r="M99" s="97" t="s">
        <v>11</v>
      </c>
      <c r="N99" s="11" t="s">
        <v>12</v>
      </c>
      <c r="O99" s="10" t="s">
        <v>13</v>
      </c>
      <c r="P99" s="11" t="s">
        <v>14</v>
      </c>
      <c r="Q99" s="11" t="s">
        <v>15</v>
      </c>
      <c r="R99" s="11" t="s">
        <v>16</v>
      </c>
      <c r="S99" s="10" t="s">
        <v>17</v>
      </c>
      <c r="T99" s="10" t="s">
        <v>18</v>
      </c>
      <c r="U99" s="10" t="s">
        <v>19</v>
      </c>
      <c r="V99" s="10" t="s">
        <v>20</v>
      </c>
      <c r="W99" s="10" t="s">
        <v>21</v>
      </c>
    </row>
    <row r="100" spans="1:23" x14ac:dyDescent="0.2">
      <c r="B100" s="90">
        <f>GN_259[[#This Row],[2PT FGM]]+GN_259[[#This Row],[3PT FGM]]</f>
        <v>0</v>
      </c>
      <c r="C100" s="90">
        <f>GN_259[[#This Row],[2PT FGA]]+GN_259[[#This Row],[3PT FGA]]</f>
        <v>0</v>
      </c>
      <c r="D100" s="91" t="e">
        <f>GN_259[[#This Row],[Total FGM]]/GN_259[[#This Row],[Total FGA]]</f>
        <v>#DIV/0!</v>
      </c>
      <c r="E100" s="98"/>
      <c r="F100" s="19"/>
      <c r="G100" s="91" t="e">
        <f>GN_259[[#This Row],[2PT FGM]]/GN_259[[#This Row],[2PT FGA]]</f>
        <v>#DIV/0!</v>
      </c>
      <c r="H100" s="19"/>
      <c r="I100" s="19"/>
      <c r="J100" s="91" t="e">
        <f>GN_259[[#This Row],[3PT FGM]]/GN_259[[#This Row],[3PT FGA]]</f>
        <v>#DIV/0!</v>
      </c>
      <c r="K100" s="19"/>
      <c r="L100" s="19"/>
      <c r="M100" s="99" t="e">
        <f>GN_259[[#This Row],[FTM]]/GN_259[[#This Row],[FTA]]</f>
        <v>#DIV/0!</v>
      </c>
      <c r="N100" s="19">
        <f>SUM(GN_259[[#This Row],[2PT FGM]]*2,GN_259[[#This Row],[3PT FGM]]*3,GN_259[[#This Row],[FTM]])</f>
        <v>0</v>
      </c>
      <c r="O100" s="19"/>
      <c r="P100" s="19"/>
      <c r="Q100" s="19"/>
      <c r="R100" s="19">
        <f>GN_259[[#This Row],[Def. Boards]]+GN_259[[#This Row],[Off. Boards]]</f>
        <v>0</v>
      </c>
      <c r="S100" s="19"/>
      <c r="T100" s="19"/>
      <c r="U100" s="19"/>
      <c r="V100" s="19"/>
      <c r="W100" s="92" t="e">
        <f>GN_259[[#This Row],[Dimes]]/GN_259[[#This Row],[Turnovers]]</f>
        <v>#DIV/0!</v>
      </c>
    </row>
    <row r="101" spans="1:23" x14ac:dyDescent="0.2">
      <c r="B101" s="90">
        <f>GN_259[[#This Row],[2PT FGM]]+GN_259[[#This Row],[3PT FGM]]</f>
        <v>0</v>
      </c>
      <c r="C101" s="90">
        <f>GN_259[[#This Row],[2PT FGA]]+GN_259[[#This Row],[3PT FGA]]</f>
        <v>0</v>
      </c>
      <c r="D101" s="91" t="e">
        <f>GN_259[[#This Row],[Total FGM]]/GN_259[[#This Row],[Total FGA]]</f>
        <v>#DIV/0!</v>
      </c>
      <c r="E101" s="98"/>
      <c r="F101" s="19"/>
      <c r="G101" s="91" t="e">
        <f>GN_259[[#This Row],[2PT FGM]]/GN_259[[#This Row],[2PT FGA]]</f>
        <v>#DIV/0!</v>
      </c>
      <c r="H101" s="19"/>
      <c r="I101" s="19"/>
      <c r="J101" s="91" t="e">
        <f>GN_259[[#This Row],[3PT FGM]]/GN_259[[#This Row],[3PT FGA]]</f>
        <v>#DIV/0!</v>
      </c>
      <c r="K101" s="19"/>
      <c r="L101" s="19"/>
      <c r="M101" s="99" t="e">
        <f>GN_259[[#This Row],[FTM]]/GN_259[[#This Row],[FTA]]</f>
        <v>#DIV/0!</v>
      </c>
      <c r="N101" s="19">
        <f>SUM(GN_259[[#This Row],[2PT FGM]]*2,GN_259[[#This Row],[3PT FGM]]*3,GN_259[[#This Row],[FTM]])</f>
        <v>0</v>
      </c>
      <c r="O101" s="19"/>
      <c r="P101" s="19"/>
      <c r="Q101" s="19"/>
      <c r="R101" s="19">
        <f>GN_259[[#This Row],[Def. Boards]]+GN_259[[#This Row],[Off. Boards]]</f>
        <v>0</v>
      </c>
      <c r="S101" s="19"/>
      <c r="T101" s="19"/>
      <c r="U101" s="19"/>
      <c r="V101" s="19"/>
      <c r="W101" s="92" t="e">
        <f>GN_259[[#This Row],[Dimes]]/GN_259[[#This Row],[Turnovers]]</f>
        <v>#DIV/0!</v>
      </c>
    </row>
    <row r="102" spans="1:23" x14ac:dyDescent="0.2">
      <c r="B102" s="90">
        <f>GN_259[[#This Row],[2PT FGM]]+GN_259[[#This Row],[3PT FGM]]</f>
        <v>0</v>
      </c>
      <c r="C102" s="90">
        <f>GN_259[[#This Row],[2PT FGA]]+GN_259[[#This Row],[3PT FGA]]</f>
        <v>0</v>
      </c>
      <c r="D102" s="91" t="e">
        <f>GN_259[[#This Row],[Total FGM]]/GN_259[[#This Row],[Total FGA]]</f>
        <v>#DIV/0!</v>
      </c>
      <c r="E102" s="98"/>
      <c r="F102" s="19"/>
      <c r="G102" s="91" t="e">
        <f>GN_259[[#This Row],[2PT FGM]]/GN_259[[#This Row],[2PT FGA]]</f>
        <v>#DIV/0!</v>
      </c>
      <c r="H102" s="19"/>
      <c r="I102" s="19"/>
      <c r="J102" s="91" t="e">
        <f>GN_259[[#This Row],[3PT FGM]]/GN_259[[#This Row],[3PT FGA]]</f>
        <v>#DIV/0!</v>
      </c>
      <c r="K102" s="19"/>
      <c r="L102" s="19"/>
      <c r="M102" s="99" t="e">
        <f>GN_259[[#This Row],[FTM]]/GN_259[[#This Row],[FTA]]</f>
        <v>#DIV/0!</v>
      </c>
      <c r="N102" s="19">
        <f>SUM(GN_259[[#This Row],[2PT FGM]]*2,GN_259[[#This Row],[3PT FGM]]*3,GN_259[[#This Row],[FTM]])</f>
        <v>0</v>
      </c>
      <c r="O102" s="19"/>
      <c r="P102" s="19"/>
      <c r="Q102" s="19"/>
      <c r="R102" s="19">
        <f>GN_259[[#This Row],[Def. Boards]]+GN_259[[#This Row],[Off. Boards]]</f>
        <v>0</v>
      </c>
      <c r="S102" s="19"/>
      <c r="T102" s="19"/>
      <c r="U102" s="19"/>
      <c r="V102" s="19"/>
      <c r="W102" s="92" t="e">
        <f>GN_259[[#This Row],[Dimes]]/GN_259[[#This Row],[Turnovers]]</f>
        <v>#DIV/0!</v>
      </c>
    </row>
    <row r="103" spans="1:23" x14ac:dyDescent="0.2">
      <c r="B103" s="90">
        <f>GN_259[[#This Row],[2PT FGM]]+GN_259[[#This Row],[3PT FGM]]</f>
        <v>0</v>
      </c>
      <c r="C103" s="90">
        <f>GN_259[[#This Row],[2PT FGA]]+GN_259[[#This Row],[3PT FGA]]</f>
        <v>0</v>
      </c>
      <c r="D103" s="91" t="e">
        <f>GN_259[[#This Row],[Total FGM]]/GN_259[[#This Row],[Total FGA]]</f>
        <v>#DIV/0!</v>
      </c>
      <c r="E103" s="98"/>
      <c r="F103" s="19"/>
      <c r="G103" s="91" t="e">
        <f>GN_259[[#This Row],[2PT FGM]]/GN_259[[#This Row],[2PT FGA]]</f>
        <v>#DIV/0!</v>
      </c>
      <c r="H103" s="19"/>
      <c r="I103" s="19"/>
      <c r="J103" s="91" t="e">
        <f>GN_259[[#This Row],[3PT FGM]]/GN_259[[#This Row],[3PT FGA]]</f>
        <v>#DIV/0!</v>
      </c>
      <c r="K103" s="19"/>
      <c r="L103" s="19"/>
      <c r="M103" s="99" t="e">
        <f>GN_259[[#This Row],[FTM]]/GN_259[[#This Row],[FTA]]</f>
        <v>#DIV/0!</v>
      </c>
      <c r="N103" s="19">
        <f>SUM(GN_259[[#This Row],[2PT FGM]]*2,GN_259[[#This Row],[3PT FGM]]*3,GN_259[[#This Row],[FTM]])</f>
        <v>0</v>
      </c>
      <c r="O103" s="19"/>
      <c r="P103" s="19"/>
      <c r="Q103" s="19"/>
      <c r="R103" s="19">
        <f>GN_259[[#This Row],[Def. Boards]]+GN_259[[#This Row],[Off. Boards]]</f>
        <v>0</v>
      </c>
      <c r="S103" s="19"/>
      <c r="T103" s="19"/>
      <c r="U103" s="19"/>
      <c r="V103" s="19"/>
      <c r="W103" s="92" t="e">
        <f>GN_259[[#This Row],[Dimes]]/GN_259[[#This Row],[Turnovers]]</f>
        <v>#DIV/0!</v>
      </c>
    </row>
    <row r="104" spans="1:23" x14ac:dyDescent="0.2">
      <c r="A104" s="93"/>
      <c r="B104" s="90"/>
      <c r="C104" s="90"/>
      <c r="D104" s="91"/>
      <c r="E104" s="98"/>
      <c r="F104" s="19"/>
      <c r="G104" s="91"/>
      <c r="H104" s="19"/>
      <c r="I104" s="19"/>
      <c r="J104" s="91"/>
      <c r="K104" s="19"/>
      <c r="L104" s="19"/>
      <c r="M104" s="99"/>
      <c r="N104" s="19"/>
      <c r="O104" s="19"/>
      <c r="P104" s="19"/>
      <c r="Q104" s="19"/>
      <c r="R104" s="19"/>
      <c r="S104" s="19"/>
      <c r="T104" s="19"/>
      <c r="U104" s="19"/>
      <c r="V104" s="19"/>
      <c r="W104" s="92" t="e">
        <f>GN_259[[#This Row],[Dimes]]/GN_259[[#This Row],[Turnovers]]</f>
        <v>#DIV/0!</v>
      </c>
    </row>
    <row r="105" spans="1:23" ht="16" thickBot="1" x14ac:dyDescent="0.25">
      <c r="A105" s="82" t="s">
        <v>76</v>
      </c>
      <c r="B105" s="100">
        <f>SUM(B100:B104)</f>
        <v>0</v>
      </c>
      <c r="C105" s="100">
        <f>SUM(C100:C104)</f>
        <v>0</v>
      </c>
      <c r="D105" s="101" t="e">
        <f>GN_259[[#This Row],[Total FGM]]/GN_259[[#This Row],[Total FGA]]</f>
        <v>#DIV/0!</v>
      </c>
      <c r="E105" s="102">
        <f>SUM(E100:E104)</f>
        <v>0</v>
      </c>
      <c r="F105" s="103">
        <f>SUM(F100:F104)</f>
        <v>0</v>
      </c>
      <c r="G105" s="104" t="e">
        <f>GN_259[[#This Row],[2PT FGM]]/GN_259[[#This Row],[2PT FGA]]</f>
        <v>#DIV/0!</v>
      </c>
      <c r="H105" s="103">
        <f>SUM(H100:H104)</f>
        <v>0</v>
      </c>
      <c r="I105" s="103">
        <f>SUM(I100:I104)</f>
        <v>0</v>
      </c>
      <c r="J105" s="109" t="e">
        <f>GN_259[[#This Row],[3PT FGM]]/GN_259[[#This Row],[3PT FGA]]</f>
        <v>#DIV/0!</v>
      </c>
      <c r="K105" s="103">
        <f>SUM(K100:K104)</f>
        <v>0</v>
      </c>
      <c r="L105" s="103">
        <f>SUM(L100:L104)</f>
        <v>0</v>
      </c>
      <c r="M105" s="105" t="e">
        <f>GN_259[[#This Row],[FTM]]/GN_259[[#This Row],[FTA]]</f>
        <v>#DIV/0!</v>
      </c>
      <c r="N105" s="62">
        <f>SUM(GN_259[[#This Row],[2PT FGM]]*2,GN_259[[#This Row],[3PT FGM]]*3,GN_259[[#This Row],[FTM]])</f>
        <v>0</v>
      </c>
      <c r="O105" s="100">
        <f>SUM(O100:O104)</f>
        <v>0</v>
      </c>
      <c r="P105" s="100">
        <f>SUM(P100:P104)</f>
        <v>0</v>
      </c>
      <c r="Q105" s="100">
        <f>SUM(Q100:Q104)</f>
        <v>0</v>
      </c>
      <c r="R105" s="106">
        <f>GN_259[[#This Row],[Def. Boards]]+GN_259[[#This Row],[Off. Boards]]</f>
        <v>0</v>
      </c>
      <c r="S105" s="100">
        <f>SUM(S100:S104)</f>
        <v>0</v>
      </c>
      <c r="T105" s="100">
        <f>SUM(T100:T104)</f>
        <v>0</v>
      </c>
      <c r="U105" s="100">
        <f>SUM(U100:U104)</f>
        <v>0</v>
      </c>
      <c r="V105" s="100">
        <f>SUM(V100:V104)</f>
        <v>0</v>
      </c>
      <c r="W105" s="107" t="e">
        <f>GN_259[[#This Row],[Dimes]]/GN_259[[#This Row],[Turnovers]]</f>
        <v>#DIV/0!</v>
      </c>
    </row>
    <row r="107" spans="1:23" x14ac:dyDescent="0.2">
      <c r="C107" s="86" t="s">
        <v>68</v>
      </c>
      <c r="D107" s="86" t="s">
        <v>134</v>
      </c>
      <c r="E107" s="86" t="s">
        <v>74</v>
      </c>
    </row>
    <row r="108" spans="1:23" ht="24" x14ac:dyDescent="0.2">
      <c r="A108" s="84" t="s">
        <v>66</v>
      </c>
      <c r="B108" s="85">
        <v>6</v>
      </c>
      <c r="C108" s="85" t="s">
        <v>168</v>
      </c>
      <c r="D108" s="85" t="s">
        <v>137</v>
      </c>
      <c r="E108" s="167" t="s">
        <v>165</v>
      </c>
      <c r="H108" s="23"/>
    </row>
    <row r="109" spans="1:23" ht="24" x14ac:dyDescent="0.2">
      <c r="A109" s="84"/>
      <c r="B109" s="85" t="s">
        <v>151</v>
      </c>
      <c r="C109" s="85">
        <f>N117</f>
        <v>0</v>
      </c>
      <c r="D109" s="85"/>
      <c r="E109" s="167">
        <f>N126</f>
        <v>0</v>
      </c>
      <c r="H109" s="23"/>
    </row>
    <row r="110" spans="1:23" ht="16" thickBot="1" x14ac:dyDescent="0.25">
      <c r="A110" s="59" t="s">
        <v>68</v>
      </c>
    </row>
    <row r="111" spans="1:23" ht="16" x14ac:dyDescent="0.2">
      <c r="A111" s="166" t="s">
        <v>169</v>
      </c>
      <c r="B111" s="11" t="s">
        <v>0</v>
      </c>
      <c r="C111" s="11" t="s">
        <v>1</v>
      </c>
      <c r="D111" s="11" t="s">
        <v>2</v>
      </c>
      <c r="E111" s="95" t="s">
        <v>3</v>
      </c>
      <c r="F111" s="96" t="s">
        <v>4</v>
      </c>
      <c r="G111" s="96" t="s">
        <v>5</v>
      </c>
      <c r="H111" s="96" t="s">
        <v>6</v>
      </c>
      <c r="I111" s="96" t="s">
        <v>7</v>
      </c>
      <c r="J111" s="96" t="s">
        <v>8</v>
      </c>
      <c r="K111" s="96" t="s">
        <v>9</v>
      </c>
      <c r="L111" s="96" t="s">
        <v>10</v>
      </c>
      <c r="M111" s="97" t="s">
        <v>11</v>
      </c>
      <c r="N111" s="11" t="s">
        <v>12</v>
      </c>
      <c r="O111" s="10" t="s">
        <v>13</v>
      </c>
      <c r="P111" s="11" t="s">
        <v>14</v>
      </c>
      <c r="Q111" s="11" t="s">
        <v>15</v>
      </c>
      <c r="R111" s="11" t="s">
        <v>16</v>
      </c>
      <c r="S111" s="10" t="s">
        <v>17</v>
      </c>
      <c r="T111" s="10" t="s">
        <v>18</v>
      </c>
      <c r="U111" s="10" t="s">
        <v>19</v>
      </c>
      <c r="V111" s="10" t="s">
        <v>20</v>
      </c>
      <c r="W111" s="10" t="s">
        <v>21</v>
      </c>
    </row>
    <row r="112" spans="1:23" x14ac:dyDescent="0.2">
      <c r="A112" s="13"/>
      <c r="B112" s="90">
        <f>LITI_266[[#This Row],[2PT FGM]]+LITI_266[[#This Row],[3PT FGM]]</f>
        <v>0</v>
      </c>
      <c r="C112" s="90">
        <f>LITI_266[[#This Row],[2PT FGA]]+LITI_266[[#This Row],[3PT FGA]]</f>
        <v>0</v>
      </c>
      <c r="D112" s="91" t="e">
        <f>LITI_266[[#This Row],[Total FGM]]/LITI_266[[#This Row],[Total FGA]]</f>
        <v>#DIV/0!</v>
      </c>
      <c r="E112" s="98"/>
      <c r="F112" s="19"/>
      <c r="G112" s="91" t="e">
        <f>LITI_266[[#This Row],[2PT FGM]]/LITI_266[[#This Row],[2PT FGA]]</f>
        <v>#DIV/0!</v>
      </c>
      <c r="H112" s="19"/>
      <c r="I112" s="19"/>
      <c r="J112" s="91" t="e">
        <f>LITI_266[[#This Row],[3PT FGM]]/LITI_266[[#This Row],[3PT FGA]]</f>
        <v>#DIV/0!</v>
      </c>
      <c r="K112" s="19"/>
      <c r="L112" s="19"/>
      <c r="M112" s="99" t="e">
        <f>LITI_266[[#This Row],[FTM]]/LITI_266[[#This Row],[FTA]]</f>
        <v>#DIV/0!</v>
      </c>
      <c r="N112" s="19">
        <f>SUM(LITI_266[[#This Row],[2PT FGM]]*2,LITI_266[[#This Row],[3PT FGM]]*3,LITI_266[[#This Row],[FTM]])</f>
        <v>0</v>
      </c>
      <c r="O112" s="19"/>
      <c r="P112" s="19"/>
      <c r="Q112" s="19"/>
      <c r="R112" s="19">
        <f>LITI_266[[#This Row],[Def. Boards]]+LITI_266[[#This Row],[Off. Boards]]</f>
        <v>0</v>
      </c>
      <c r="S112" s="19"/>
      <c r="T112" s="19"/>
      <c r="U112" s="19"/>
      <c r="V112" s="19"/>
      <c r="W112" s="92" t="e">
        <f>LITI_266[[#This Row],[Dimes]]/LITI_266[[#This Row],[Turnovers]]</f>
        <v>#DIV/0!</v>
      </c>
    </row>
    <row r="113" spans="1:23" x14ac:dyDescent="0.2">
      <c r="A113" s="14"/>
      <c r="B113" s="90">
        <f>LITI_266[[#This Row],[2PT FGM]]+LITI_266[[#This Row],[3PT FGM]]</f>
        <v>0</v>
      </c>
      <c r="C113" s="90">
        <f>LITI_266[[#This Row],[2PT FGA]]+LITI_266[[#This Row],[3PT FGA]]</f>
        <v>0</v>
      </c>
      <c r="D113" s="91" t="e">
        <f>LITI_266[[#This Row],[Total FGM]]/LITI_266[[#This Row],[Total FGA]]</f>
        <v>#DIV/0!</v>
      </c>
      <c r="E113" s="98"/>
      <c r="F113" s="19"/>
      <c r="G113" s="91" t="e">
        <f>LITI_266[[#This Row],[2PT FGM]]/LITI_266[[#This Row],[2PT FGA]]</f>
        <v>#DIV/0!</v>
      </c>
      <c r="H113" s="19"/>
      <c r="I113" s="19"/>
      <c r="J113" s="91" t="e">
        <f>LITI_266[[#This Row],[3PT FGM]]/LITI_266[[#This Row],[3PT FGA]]</f>
        <v>#DIV/0!</v>
      </c>
      <c r="K113" s="19"/>
      <c r="L113" s="19"/>
      <c r="M113" s="99" t="e">
        <f>LITI_266[[#This Row],[FTM]]/LITI_266[[#This Row],[FTA]]</f>
        <v>#DIV/0!</v>
      </c>
      <c r="N113" s="19">
        <f>SUM(LITI_266[[#This Row],[2PT FGM]]*2,LITI_266[[#This Row],[3PT FGM]]*3,LITI_266[[#This Row],[FTM]])</f>
        <v>0</v>
      </c>
      <c r="O113" s="19"/>
      <c r="P113" s="19"/>
      <c r="Q113" s="19"/>
      <c r="R113" s="19">
        <f>LITI_266[[#This Row],[Def. Boards]]+LITI_266[[#This Row],[Off. Boards]]</f>
        <v>0</v>
      </c>
      <c r="S113" s="19"/>
      <c r="T113" s="19"/>
      <c r="U113" s="19"/>
      <c r="V113" s="19"/>
      <c r="W113" s="92" t="e">
        <f>LITI_266[[#This Row],[Dimes]]/LITI_266[[#This Row],[Turnovers]]</f>
        <v>#DIV/0!</v>
      </c>
    </row>
    <row r="114" spans="1:23" x14ac:dyDescent="0.2">
      <c r="A114" s="13"/>
      <c r="B114" s="90">
        <f>LITI_266[[#This Row],[2PT FGM]]+LITI_266[[#This Row],[3PT FGM]]</f>
        <v>0</v>
      </c>
      <c r="C114" s="90">
        <f>LITI_266[[#This Row],[2PT FGA]]+LITI_266[[#This Row],[3PT FGA]]</f>
        <v>0</v>
      </c>
      <c r="D114" s="91" t="e">
        <f>LITI_266[[#This Row],[Total FGM]]/LITI_266[[#This Row],[Total FGA]]</f>
        <v>#DIV/0!</v>
      </c>
      <c r="E114" s="98"/>
      <c r="F114" s="19"/>
      <c r="G114" s="91" t="e">
        <f>LITI_266[[#This Row],[2PT FGM]]/LITI_266[[#This Row],[2PT FGA]]</f>
        <v>#DIV/0!</v>
      </c>
      <c r="H114" s="19"/>
      <c r="I114" s="19"/>
      <c r="J114" s="91" t="e">
        <f>LITI_266[[#This Row],[3PT FGM]]/LITI_266[[#This Row],[3PT FGA]]</f>
        <v>#DIV/0!</v>
      </c>
      <c r="K114" s="19"/>
      <c r="L114" s="19"/>
      <c r="M114" s="99" t="e">
        <f>LITI_266[[#This Row],[FTM]]/LITI_266[[#This Row],[FTA]]</f>
        <v>#DIV/0!</v>
      </c>
      <c r="N114" s="19">
        <f>SUM(LITI_266[[#This Row],[2PT FGM]]*2,LITI_266[[#This Row],[3PT FGM]]*3,LITI_266[[#This Row],[FTM]])</f>
        <v>0</v>
      </c>
      <c r="O114" s="19"/>
      <c r="P114" s="19"/>
      <c r="Q114" s="19"/>
      <c r="R114" s="19">
        <f>LITI_266[[#This Row],[Def. Boards]]+LITI_266[[#This Row],[Off. Boards]]</f>
        <v>0</v>
      </c>
      <c r="S114" s="19"/>
      <c r="T114" s="19"/>
      <c r="U114" s="19"/>
      <c r="V114" s="19"/>
      <c r="W114" s="92" t="e">
        <f>LITI_266[[#This Row],[Dimes]]/LITI_266[[#This Row],[Turnovers]]</f>
        <v>#DIV/0!</v>
      </c>
    </row>
    <row r="115" spans="1:23" x14ac:dyDescent="0.2">
      <c r="A115" s="13"/>
      <c r="B115" s="90">
        <f>LITI_266[[#This Row],[2PT FGM]]+LITI_266[[#This Row],[3PT FGM]]</f>
        <v>0</v>
      </c>
      <c r="C115" s="90">
        <f>LITI_266[[#This Row],[2PT FGA]]+LITI_266[[#This Row],[3PT FGA]]</f>
        <v>0</v>
      </c>
      <c r="D115" s="91" t="e">
        <f>LITI_266[[#This Row],[Total FGM]]/LITI_266[[#This Row],[Total FGA]]</f>
        <v>#DIV/0!</v>
      </c>
      <c r="E115" s="98"/>
      <c r="F115" s="19"/>
      <c r="G115" s="91" t="e">
        <f>LITI_266[[#This Row],[2PT FGM]]/LITI_266[[#This Row],[2PT FGA]]</f>
        <v>#DIV/0!</v>
      </c>
      <c r="H115" s="19"/>
      <c r="I115" s="19"/>
      <c r="J115" s="91" t="e">
        <f>LITI_266[[#This Row],[3PT FGM]]/LITI_266[[#This Row],[3PT FGA]]</f>
        <v>#DIV/0!</v>
      </c>
      <c r="K115" s="19"/>
      <c r="L115" s="19"/>
      <c r="M115" s="99" t="e">
        <f>LITI_266[[#This Row],[FTM]]/LITI_266[[#This Row],[FTA]]</f>
        <v>#DIV/0!</v>
      </c>
      <c r="N115" s="19">
        <f>SUM(LITI_266[[#This Row],[2PT FGM]]*2,LITI_266[[#This Row],[3PT FGM]]*3,LITI_266[[#This Row],[FTM]])</f>
        <v>0</v>
      </c>
      <c r="O115" s="19"/>
      <c r="P115" s="19"/>
      <c r="Q115" s="19"/>
      <c r="R115" s="19">
        <f>LITI_266[[#This Row],[Def. Boards]]+LITI_266[[#This Row],[Off. Boards]]</f>
        <v>0</v>
      </c>
      <c r="S115" s="19"/>
      <c r="T115" s="19"/>
      <c r="U115" s="19"/>
      <c r="V115" s="19"/>
      <c r="W115" s="92" t="e">
        <f>LITI_266[[#This Row],[Dimes]]/LITI_266[[#This Row],[Turnovers]]</f>
        <v>#DIV/0!</v>
      </c>
    </row>
    <row r="116" spans="1:23" x14ac:dyDescent="0.2">
      <c r="A116" s="13"/>
      <c r="B116" s="90"/>
      <c r="C116" s="90"/>
      <c r="D116" s="91"/>
      <c r="E116" s="98"/>
      <c r="F116" s="19"/>
      <c r="G116" s="91"/>
      <c r="H116" s="19"/>
      <c r="I116" s="19"/>
      <c r="J116" s="91"/>
      <c r="K116" s="19"/>
      <c r="L116" s="19"/>
      <c r="M116" s="99"/>
      <c r="N116" s="19"/>
      <c r="O116" s="19"/>
      <c r="P116" s="19"/>
      <c r="Q116" s="19"/>
      <c r="R116" s="19"/>
      <c r="S116" s="19"/>
      <c r="T116" s="19"/>
      <c r="U116" s="19"/>
      <c r="V116" s="19"/>
      <c r="W116" s="92"/>
    </row>
    <row r="117" spans="1:23" ht="16" thickBot="1" x14ac:dyDescent="0.25">
      <c r="A117" s="82" t="s">
        <v>76</v>
      </c>
      <c r="B117" s="100">
        <f>SUM(B112:B116)</f>
        <v>0</v>
      </c>
      <c r="C117" s="100">
        <f>SUM(C112:C116)</f>
        <v>0</v>
      </c>
      <c r="D117" s="101" t="e">
        <f>LITI_266[[#This Row],[Total FGM]]/LITI_266[[#This Row],[Total FGA]]</f>
        <v>#DIV/0!</v>
      </c>
      <c r="E117" s="102">
        <f>SUM(E112:E116)</f>
        <v>0</v>
      </c>
      <c r="F117" s="103">
        <f>SUM(F112:F116)</f>
        <v>0</v>
      </c>
      <c r="G117" s="108" t="e">
        <f>LITI_266[[#This Row],[2PT FGM]]/LITI_266[[#This Row],[2PT FGA]]</f>
        <v>#DIV/0!</v>
      </c>
      <c r="H117" s="103">
        <f>SUM(H112:H116)</f>
        <v>0</v>
      </c>
      <c r="I117" s="103">
        <f>SUM(I112:I116)</f>
        <v>0</v>
      </c>
      <c r="J117" s="104" t="e">
        <f>LITI_266[[#This Row],[3PT FGM]]/LITI_266[[#This Row],[3PT FGA]]</f>
        <v>#DIV/0!</v>
      </c>
      <c r="K117" s="103">
        <f>SUM(K112:K116)</f>
        <v>0</v>
      </c>
      <c r="L117" s="103">
        <f>SUM(L112:L116)</f>
        <v>0</v>
      </c>
      <c r="M117" s="105" t="e">
        <f>LITI_266[[#This Row],[FTM]]/LITI_266[[#This Row],[FTA]]</f>
        <v>#DIV/0!</v>
      </c>
      <c r="N117" s="62">
        <f>SUM(LITI_266[[#This Row],[2PT FGM]]*2,LITI_266[[#This Row],[3PT FGM]]*3,LITI_266[[#This Row],[FTM]])</f>
        <v>0</v>
      </c>
      <c r="O117" s="106">
        <f>SUM(O112:O116)</f>
        <v>0</v>
      </c>
      <c r="P117" s="106">
        <f t="shared" ref="P117:V117" si="11">SUM(P112:P116)</f>
        <v>0</v>
      </c>
      <c r="Q117" s="106">
        <f t="shared" si="11"/>
        <v>0</v>
      </c>
      <c r="R117" s="106">
        <f t="shared" si="11"/>
        <v>0</v>
      </c>
      <c r="S117" s="106">
        <f t="shared" si="11"/>
        <v>0</v>
      </c>
      <c r="T117" s="106">
        <f t="shared" si="11"/>
        <v>0</v>
      </c>
      <c r="U117" s="106">
        <f t="shared" si="11"/>
        <v>0</v>
      </c>
      <c r="V117" s="106">
        <f t="shared" si="11"/>
        <v>0</v>
      </c>
      <c r="W117" s="107" t="e">
        <f>LITI_266[[#This Row],[Dimes]]/LITI_266[[#This Row],[Turnovers]]</f>
        <v>#DIV/0!</v>
      </c>
    </row>
    <row r="118" spans="1:23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</row>
    <row r="119" spans="1:23" ht="16" thickBot="1" x14ac:dyDescent="0.25">
      <c r="A119" s="94" t="s">
        <v>74</v>
      </c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</row>
    <row r="120" spans="1:23" ht="16" x14ac:dyDescent="0.2">
      <c r="A120" s="166" t="s">
        <v>169</v>
      </c>
      <c r="B120" s="11" t="s">
        <v>0</v>
      </c>
      <c r="C120" s="11" t="s">
        <v>1</v>
      </c>
      <c r="D120" s="11" t="s">
        <v>2</v>
      </c>
      <c r="E120" s="95" t="s">
        <v>3</v>
      </c>
      <c r="F120" s="96" t="s">
        <v>4</v>
      </c>
      <c r="G120" s="96" t="s">
        <v>5</v>
      </c>
      <c r="H120" s="96" t="s">
        <v>6</v>
      </c>
      <c r="I120" s="96" t="s">
        <v>7</v>
      </c>
      <c r="J120" s="96" t="s">
        <v>8</v>
      </c>
      <c r="K120" s="96" t="s">
        <v>9</v>
      </c>
      <c r="L120" s="96" t="s">
        <v>10</v>
      </c>
      <c r="M120" s="97" t="s">
        <v>11</v>
      </c>
      <c r="N120" s="11" t="s">
        <v>12</v>
      </c>
      <c r="O120" s="10" t="s">
        <v>13</v>
      </c>
      <c r="P120" s="11" t="s">
        <v>14</v>
      </c>
      <c r="Q120" s="11" t="s">
        <v>15</v>
      </c>
      <c r="R120" s="11" t="s">
        <v>16</v>
      </c>
      <c r="S120" s="10" t="s">
        <v>17</v>
      </c>
      <c r="T120" s="10" t="s">
        <v>18</v>
      </c>
      <c r="U120" s="10" t="s">
        <v>19</v>
      </c>
      <c r="V120" s="10" t="s">
        <v>20</v>
      </c>
      <c r="W120" s="10" t="s">
        <v>21</v>
      </c>
    </row>
    <row r="121" spans="1:23" x14ac:dyDescent="0.2">
      <c r="B121" s="90">
        <f>GN_260[[#This Row],[2PT FGM]]+GN_260[[#This Row],[3PT FGM]]</f>
        <v>0</v>
      </c>
      <c r="C121" s="90">
        <f>GN_260[[#This Row],[2PT FGA]]+GN_260[[#This Row],[3PT FGA]]</f>
        <v>0</v>
      </c>
      <c r="D121" s="91" t="e">
        <f>GN_260[[#This Row],[Total FGM]]/GN_260[[#This Row],[Total FGA]]</f>
        <v>#DIV/0!</v>
      </c>
      <c r="E121" s="98"/>
      <c r="F121" s="19"/>
      <c r="G121" s="91" t="e">
        <f>GN_260[[#This Row],[2PT FGM]]/GN_260[[#This Row],[2PT FGA]]</f>
        <v>#DIV/0!</v>
      </c>
      <c r="H121" s="19"/>
      <c r="I121" s="19"/>
      <c r="J121" s="91" t="e">
        <f>GN_260[[#This Row],[3PT FGM]]/GN_260[[#This Row],[3PT FGA]]</f>
        <v>#DIV/0!</v>
      </c>
      <c r="K121" s="19"/>
      <c r="L121" s="19"/>
      <c r="M121" s="99" t="e">
        <f>GN_260[[#This Row],[FTM]]/GN_260[[#This Row],[FTA]]</f>
        <v>#DIV/0!</v>
      </c>
      <c r="N121" s="19">
        <f>SUM(GN_260[[#This Row],[2PT FGM]]*2,GN_260[[#This Row],[3PT FGM]]*3,GN_260[[#This Row],[FTM]])</f>
        <v>0</v>
      </c>
      <c r="O121" s="19"/>
      <c r="P121" s="19"/>
      <c r="Q121" s="19"/>
      <c r="R121" s="19">
        <f>GN_260[[#This Row],[Def. Boards]]+GN_260[[#This Row],[Off. Boards]]</f>
        <v>0</v>
      </c>
      <c r="S121" s="19"/>
      <c r="T121" s="19"/>
      <c r="U121" s="19"/>
      <c r="V121" s="19"/>
      <c r="W121" s="92" t="e">
        <f>GN_260[[#This Row],[Dimes]]/GN_260[[#This Row],[Turnovers]]</f>
        <v>#DIV/0!</v>
      </c>
    </row>
    <row r="122" spans="1:23" x14ac:dyDescent="0.2">
      <c r="B122" s="90">
        <f>GN_260[[#This Row],[2PT FGM]]+GN_260[[#This Row],[3PT FGM]]</f>
        <v>0</v>
      </c>
      <c r="C122" s="90">
        <f>GN_260[[#This Row],[2PT FGA]]+GN_260[[#This Row],[3PT FGA]]</f>
        <v>0</v>
      </c>
      <c r="D122" s="91" t="e">
        <f>GN_260[[#This Row],[Total FGM]]/GN_260[[#This Row],[Total FGA]]</f>
        <v>#DIV/0!</v>
      </c>
      <c r="E122" s="98"/>
      <c r="F122" s="19"/>
      <c r="G122" s="91" t="e">
        <f>GN_260[[#This Row],[2PT FGM]]/GN_260[[#This Row],[2PT FGA]]</f>
        <v>#DIV/0!</v>
      </c>
      <c r="H122" s="19"/>
      <c r="I122" s="19"/>
      <c r="J122" s="91" t="e">
        <f>GN_260[[#This Row],[3PT FGM]]/GN_260[[#This Row],[3PT FGA]]</f>
        <v>#DIV/0!</v>
      </c>
      <c r="K122" s="19"/>
      <c r="L122" s="19"/>
      <c r="M122" s="99" t="e">
        <f>GN_260[[#This Row],[FTM]]/GN_260[[#This Row],[FTA]]</f>
        <v>#DIV/0!</v>
      </c>
      <c r="N122" s="19">
        <f>SUM(GN_260[[#This Row],[2PT FGM]]*2,GN_260[[#This Row],[3PT FGM]]*3,GN_260[[#This Row],[FTM]])</f>
        <v>0</v>
      </c>
      <c r="O122" s="19"/>
      <c r="P122" s="19"/>
      <c r="Q122" s="19"/>
      <c r="R122" s="19">
        <f>GN_260[[#This Row],[Def. Boards]]+GN_260[[#This Row],[Off. Boards]]</f>
        <v>0</v>
      </c>
      <c r="S122" s="19"/>
      <c r="T122" s="19"/>
      <c r="U122" s="19"/>
      <c r="V122" s="19"/>
      <c r="W122" s="92" t="e">
        <f>GN_260[[#This Row],[Dimes]]/GN_260[[#This Row],[Turnovers]]</f>
        <v>#DIV/0!</v>
      </c>
    </row>
    <row r="123" spans="1:23" x14ac:dyDescent="0.2">
      <c r="B123" s="90">
        <f>GN_260[[#This Row],[2PT FGM]]+GN_260[[#This Row],[3PT FGM]]</f>
        <v>0</v>
      </c>
      <c r="C123" s="90">
        <f>GN_260[[#This Row],[2PT FGA]]+GN_260[[#This Row],[3PT FGA]]</f>
        <v>0</v>
      </c>
      <c r="D123" s="91" t="e">
        <f>GN_260[[#This Row],[Total FGM]]/GN_260[[#This Row],[Total FGA]]</f>
        <v>#DIV/0!</v>
      </c>
      <c r="E123" s="98"/>
      <c r="F123" s="19"/>
      <c r="G123" s="91" t="e">
        <f>GN_260[[#This Row],[2PT FGM]]/GN_260[[#This Row],[2PT FGA]]</f>
        <v>#DIV/0!</v>
      </c>
      <c r="H123" s="19"/>
      <c r="I123" s="19"/>
      <c r="J123" s="91" t="e">
        <f>GN_260[[#This Row],[3PT FGM]]/GN_260[[#This Row],[3PT FGA]]</f>
        <v>#DIV/0!</v>
      </c>
      <c r="K123" s="19"/>
      <c r="L123" s="19"/>
      <c r="M123" s="99" t="e">
        <f>GN_260[[#This Row],[FTM]]/GN_260[[#This Row],[FTA]]</f>
        <v>#DIV/0!</v>
      </c>
      <c r="N123" s="19">
        <f>SUM(GN_260[[#This Row],[2PT FGM]]*2,GN_260[[#This Row],[3PT FGM]]*3,GN_260[[#This Row],[FTM]])</f>
        <v>0</v>
      </c>
      <c r="O123" s="19"/>
      <c r="P123" s="19"/>
      <c r="Q123" s="19"/>
      <c r="R123" s="19">
        <f>GN_260[[#This Row],[Def. Boards]]+GN_260[[#This Row],[Off. Boards]]</f>
        <v>0</v>
      </c>
      <c r="S123" s="19"/>
      <c r="T123" s="19"/>
      <c r="U123" s="19"/>
      <c r="V123" s="19"/>
      <c r="W123" s="92" t="e">
        <f>GN_260[[#This Row],[Dimes]]/GN_260[[#This Row],[Turnovers]]</f>
        <v>#DIV/0!</v>
      </c>
    </row>
    <row r="124" spans="1:23" x14ac:dyDescent="0.2">
      <c r="B124" s="90">
        <f>GN_260[[#This Row],[2PT FGM]]+GN_260[[#This Row],[3PT FGM]]</f>
        <v>0</v>
      </c>
      <c r="C124" s="90">
        <f>GN_260[[#This Row],[2PT FGA]]+GN_260[[#This Row],[3PT FGA]]</f>
        <v>0</v>
      </c>
      <c r="D124" s="91" t="e">
        <f>GN_260[[#This Row],[Total FGM]]/GN_260[[#This Row],[Total FGA]]</f>
        <v>#DIV/0!</v>
      </c>
      <c r="E124" s="98"/>
      <c r="F124" s="19"/>
      <c r="G124" s="91" t="e">
        <f>GN_260[[#This Row],[2PT FGM]]/GN_260[[#This Row],[2PT FGA]]</f>
        <v>#DIV/0!</v>
      </c>
      <c r="H124" s="19"/>
      <c r="I124" s="19"/>
      <c r="J124" s="91" t="e">
        <f>GN_260[[#This Row],[3PT FGM]]/GN_260[[#This Row],[3PT FGA]]</f>
        <v>#DIV/0!</v>
      </c>
      <c r="K124" s="19"/>
      <c r="L124" s="19"/>
      <c r="M124" s="99" t="e">
        <f>GN_260[[#This Row],[FTM]]/GN_260[[#This Row],[FTA]]</f>
        <v>#DIV/0!</v>
      </c>
      <c r="N124" s="19">
        <f>SUM(GN_260[[#This Row],[2PT FGM]]*2,GN_260[[#This Row],[3PT FGM]]*3,GN_260[[#This Row],[FTM]])</f>
        <v>0</v>
      </c>
      <c r="O124" s="19"/>
      <c r="P124" s="19"/>
      <c r="Q124" s="19"/>
      <c r="R124" s="19">
        <f>GN_260[[#This Row],[Def. Boards]]+GN_260[[#This Row],[Off. Boards]]</f>
        <v>0</v>
      </c>
      <c r="S124" s="19"/>
      <c r="T124" s="19"/>
      <c r="U124" s="19"/>
      <c r="V124" s="19"/>
      <c r="W124" s="92" t="e">
        <f>GN_260[[#This Row],[Dimes]]/GN_260[[#This Row],[Turnovers]]</f>
        <v>#DIV/0!</v>
      </c>
    </row>
    <row r="125" spans="1:23" x14ac:dyDescent="0.2">
      <c r="A125" s="93"/>
      <c r="B125" s="90"/>
      <c r="C125" s="90"/>
      <c r="D125" s="91"/>
      <c r="E125" s="98"/>
      <c r="F125" s="19"/>
      <c r="G125" s="91"/>
      <c r="H125" s="19"/>
      <c r="I125" s="19"/>
      <c r="J125" s="91"/>
      <c r="K125" s="19"/>
      <c r="L125" s="19"/>
      <c r="M125" s="99"/>
      <c r="N125" s="19"/>
      <c r="O125" s="19"/>
      <c r="P125" s="19"/>
      <c r="Q125" s="19"/>
      <c r="R125" s="19"/>
      <c r="S125" s="19"/>
      <c r="T125" s="19"/>
      <c r="U125" s="19"/>
      <c r="V125" s="19"/>
      <c r="W125" s="92" t="e">
        <f>GN_260[[#This Row],[Dimes]]/GN_260[[#This Row],[Turnovers]]</f>
        <v>#DIV/0!</v>
      </c>
    </row>
    <row r="126" spans="1:23" ht="16" thickBot="1" x14ac:dyDescent="0.25">
      <c r="A126" s="82" t="s">
        <v>76</v>
      </c>
      <c r="B126" s="100">
        <f>SUM(B121:B125)</f>
        <v>0</v>
      </c>
      <c r="C126" s="100">
        <f>SUM(C121:C125)</f>
        <v>0</v>
      </c>
      <c r="D126" s="101" t="e">
        <f>GN_260[[#This Row],[Total FGM]]/GN_260[[#This Row],[Total FGA]]</f>
        <v>#DIV/0!</v>
      </c>
      <c r="E126" s="102">
        <f>SUM(E121:E125)</f>
        <v>0</v>
      </c>
      <c r="F126" s="103">
        <f>SUM(F121:F125)</f>
        <v>0</v>
      </c>
      <c r="G126" s="104" t="e">
        <f>GN_260[[#This Row],[2PT FGM]]/GN_260[[#This Row],[2PT FGA]]</f>
        <v>#DIV/0!</v>
      </c>
      <c r="H126" s="103">
        <f>SUM(H121:H125)</f>
        <v>0</v>
      </c>
      <c r="I126" s="103">
        <f>SUM(I121:I125)</f>
        <v>0</v>
      </c>
      <c r="J126" s="109" t="e">
        <f>GN_260[[#This Row],[3PT FGM]]/GN_260[[#This Row],[3PT FGA]]</f>
        <v>#DIV/0!</v>
      </c>
      <c r="K126" s="103">
        <f>SUM(K121:K125)</f>
        <v>0</v>
      </c>
      <c r="L126" s="103">
        <f>SUM(L121:L125)</f>
        <v>0</v>
      </c>
      <c r="M126" s="105" t="e">
        <f>GN_260[[#This Row],[FTM]]/GN_260[[#This Row],[FTA]]</f>
        <v>#DIV/0!</v>
      </c>
      <c r="N126" s="62">
        <f>SUM(GN_260[[#This Row],[2PT FGM]]*2,GN_260[[#This Row],[3PT FGM]]*3,GN_260[[#This Row],[FTM]])</f>
        <v>0</v>
      </c>
      <c r="O126" s="100">
        <f>SUM(O121:O125)</f>
        <v>0</v>
      </c>
      <c r="P126" s="100">
        <f>SUM(P121:P125)</f>
        <v>0</v>
      </c>
      <c r="Q126" s="100">
        <f>SUM(Q121:Q125)</f>
        <v>0</v>
      </c>
      <c r="R126" s="106">
        <f>GN_260[[#This Row],[Def. Boards]]+GN_260[[#This Row],[Off. Boards]]</f>
        <v>0</v>
      </c>
      <c r="S126" s="100">
        <f>SUM(S121:S125)</f>
        <v>0</v>
      </c>
      <c r="T126" s="100">
        <f>SUM(T121:T125)</f>
        <v>0</v>
      </c>
      <c r="U126" s="100">
        <f>SUM(U121:U125)</f>
        <v>0</v>
      </c>
      <c r="V126" s="100">
        <f>SUM(V121:V125)</f>
        <v>0</v>
      </c>
      <c r="W126" s="107" t="e">
        <f>GN_260[[#This Row],[Dimes]]/GN_260[[#This Row],[Turnovers]]</f>
        <v>#DIV/0!</v>
      </c>
    </row>
    <row r="128" spans="1:23" hidden="1" x14ac:dyDescent="0.2">
      <c r="C128" s="86" t="s">
        <v>68</v>
      </c>
      <c r="D128" s="86" t="s">
        <v>134</v>
      </c>
      <c r="E128" s="86" t="s">
        <v>74</v>
      </c>
    </row>
    <row r="129" spans="1:23" ht="24" hidden="1" x14ac:dyDescent="0.2">
      <c r="A129" s="84" t="s">
        <v>66</v>
      </c>
      <c r="B129" s="85">
        <v>7</v>
      </c>
      <c r="C129" s="85"/>
      <c r="D129" s="85" t="s">
        <v>137</v>
      </c>
      <c r="E129" s="85"/>
      <c r="H129" s="23"/>
    </row>
    <row r="130" spans="1:23" ht="24" hidden="1" x14ac:dyDescent="0.2">
      <c r="A130" s="84"/>
      <c r="B130" s="85" t="s">
        <v>151</v>
      </c>
      <c r="C130" s="85">
        <f>N138</f>
        <v>0</v>
      </c>
      <c r="D130" s="85"/>
      <c r="E130" s="85">
        <f>N147</f>
        <v>0</v>
      </c>
      <c r="H130" s="23"/>
    </row>
    <row r="131" spans="1:23" ht="16" hidden="1" thickBot="1" x14ac:dyDescent="0.25">
      <c r="A131" s="59" t="s">
        <v>68</v>
      </c>
    </row>
    <row r="132" spans="1:23" ht="16" hidden="1" x14ac:dyDescent="0.2">
      <c r="A132" s="89" t="s">
        <v>169</v>
      </c>
      <c r="B132" s="11" t="s">
        <v>0</v>
      </c>
      <c r="C132" s="11" t="s">
        <v>1</v>
      </c>
      <c r="D132" s="11" t="s">
        <v>2</v>
      </c>
      <c r="E132" s="95" t="s">
        <v>3</v>
      </c>
      <c r="F132" s="96" t="s">
        <v>4</v>
      </c>
      <c r="G132" s="96" t="s">
        <v>5</v>
      </c>
      <c r="H132" s="96" t="s">
        <v>6</v>
      </c>
      <c r="I132" s="96" t="s">
        <v>7</v>
      </c>
      <c r="J132" s="96" t="s">
        <v>8</v>
      </c>
      <c r="K132" s="96" t="s">
        <v>9</v>
      </c>
      <c r="L132" s="96" t="s">
        <v>10</v>
      </c>
      <c r="M132" s="97" t="s">
        <v>11</v>
      </c>
      <c r="N132" s="11" t="s">
        <v>12</v>
      </c>
      <c r="O132" s="10" t="s">
        <v>13</v>
      </c>
      <c r="P132" s="11" t="s">
        <v>14</v>
      </c>
      <c r="Q132" s="11" t="s">
        <v>15</v>
      </c>
      <c r="R132" s="11" t="s">
        <v>16</v>
      </c>
      <c r="S132" s="10" t="s">
        <v>17</v>
      </c>
      <c r="T132" s="10" t="s">
        <v>18</v>
      </c>
      <c r="U132" s="10" t="s">
        <v>19</v>
      </c>
      <c r="V132" s="10" t="s">
        <v>20</v>
      </c>
      <c r="W132" s="10" t="s">
        <v>21</v>
      </c>
    </row>
    <row r="133" spans="1:23" hidden="1" x14ac:dyDescent="0.2">
      <c r="A133" s="13"/>
      <c r="B133" s="90">
        <f>LITI_267[[#This Row],[2PT FGM]]+LITI_267[[#This Row],[3PT FGM]]</f>
        <v>0</v>
      </c>
      <c r="C133" s="90">
        <f>LITI_267[[#This Row],[2PT FGA]]+LITI_267[[#This Row],[3PT FGA]]</f>
        <v>0</v>
      </c>
      <c r="D133" s="91" t="e">
        <f>LITI_267[[#This Row],[Total FGM]]/LITI_267[[#This Row],[Total FGA]]</f>
        <v>#DIV/0!</v>
      </c>
      <c r="E133" s="98"/>
      <c r="F133" s="19"/>
      <c r="G133" s="91" t="e">
        <f>LITI_267[[#This Row],[2PT FGM]]/LITI_267[[#This Row],[2PT FGA]]</f>
        <v>#DIV/0!</v>
      </c>
      <c r="H133" s="19"/>
      <c r="I133" s="19"/>
      <c r="J133" s="91" t="e">
        <f>LITI_267[[#This Row],[3PT FGM]]/LITI_267[[#This Row],[3PT FGA]]</f>
        <v>#DIV/0!</v>
      </c>
      <c r="K133" s="19"/>
      <c r="L133" s="19"/>
      <c r="M133" s="99" t="e">
        <f>LITI_267[[#This Row],[FTM]]/LITI_267[[#This Row],[FTA]]</f>
        <v>#DIV/0!</v>
      </c>
      <c r="N133" s="19">
        <f>SUM(LITI_267[[#This Row],[2PT FGM]]*2,LITI_267[[#This Row],[3PT FGM]]*3,LITI_267[[#This Row],[FTM]])</f>
        <v>0</v>
      </c>
      <c r="O133" s="19"/>
      <c r="P133" s="19"/>
      <c r="Q133" s="19"/>
      <c r="R133" s="19">
        <f>LITI_267[[#This Row],[Def. Boards]]+LITI_267[[#This Row],[Off. Boards]]</f>
        <v>0</v>
      </c>
      <c r="S133" s="19"/>
      <c r="T133" s="19"/>
      <c r="U133" s="19"/>
      <c r="V133" s="19"/>
      <c r="W133" s="92" t="e">
        <f>LITI_267[[#This Row],[Dimes]]/LITI_267[[#This Row],[Turnovers]]</f>
        <v>#DIV/0!</v>
      </c>
    </row>
    <row r="134" spans="1:23" hidden="1" x14ac:dyDescent="0.2">
      <c r="A134" s="13"/>
      <c r="B134" s="90">
        <f>LITI_267[[#This Row],[2PT FGM]]+LITI_267[[#This Row],[3PT FGM]]</f>
        <v>0</v>
      </c>
      <c r="C134" s="90">
        <f>LITI_267[[#This Row],[2PT FGA]]+LITI_267[[#This Row],[3PT FGA]]</f>
        <v>0</v>
      </c>
      <c r="D134" s="91" t="e">
        <f>LITI_267[[#This Row],[Total FGM]]/LITI_267[[#This Row],[Total FGA]]</f>
        <v>#DIV/0!</v>
      </c>
      <c r="E134" s="98"/>
      <c r="F134" s="19"/>
      <c r="G134" s="91" t="e">
        <f>LITI_267[[#This Row],[2PT FGM]]/LITI_267[[#This Row],[2PT FGA]]</f>
        <v>#DIV/0!</v>
      </c>
      <c r="H134" s="19"/>
      <c r="I134" s="19"/>
      <c r="J134" s="91" t="e">
        <f>LITI_267[[#This Row],[3PT FGM]]/LITI_267[[#This Row],[3PT FGA]]</f>
        <v>#DIV/0!</v>
      </c>
      <c r="K134" s="19"/>
      <c r="L134" s="19"/>
      <c r="M134" s="99" t="e">
        <f>LITI_267[[#This Row],[FTM]]/LITI_267[[#This Row],[FTA]]</f>
        <v>#DIV/0!</v>
      </c>
      <c r="N134" s="19">
        <f>SUM(LITI_267[[#This Row],[2PT FGM]]*2,LITI_267[[#This Row],[3PT FGM]]*3,LITI_267[[#This Row],[FTM]])</f>
        <v>0</v>
      </c>
      <c r="O134" s="19"/>
      <c r="P134" s="19"/>
      <c r="Q134" s="19"/>
      <c r="R134" s="19">
        <f>LITI_267[[#This Row],[Def. Boards]]+LITI_267[[#This Row],[Off. Boards]]</f>
        <v>0</v>
      </c>
      <c r="S134" s="19"/>
      <c r="T134" s="19"/>
      <c r="U134" s="19"/>
      <c r="V134" s="19"/>
      <c r="W134" s="92" t="e">
        <f>LITI_267[[#This Row],[Dimes]]/LITI_267[[#This Row],[Turnovers]]</f>
        <v>#DIV/0!</v>
      </c>
    </row>
    <row r="135" spans="1:23" hidden="1" x14ac:dyDescent="0.2">
      <c r="A135" s="13"/>
      <c r="B135" s="90">
        <f>LITI_267[[#This Row],[2PT FGM]]+LITI_267[[#This Row],[3PT FGM]]</f>
        <v>0</v>
      </c>
      <c r="C135" s="90">
        <f>LITI_267[[#This Row],[2PT FGA]]+LITI_267[[#This Row],[3PT FGA]]</f>
        <v>0</v>
      </c>
      <c r="D135" s="91" t="e">
        <f>LITI_267[[#This Row],[Total FGM]]/LITI_267[[#This Row],[Total FGA]]</f>
        <v>#DIV/0!</v>
      </c>
      <c r="E135" s="98"/>
      <c r="F135" s="19"/>
      <c r="G135" s="91" t="e">
        <f>LITI_267[[#This Row],[2PT FGM]]/LITI_267[[#This Row],[2PT FGA]]</f>
        <v>#DIV/0!</v>
      </c>
      <c r="H135" s="19"/>
      <c r="I135" s="19"/>
      <c r="J135" s="91" t="e">
        <f>LITI_267[[#This Row],[3PT FGM]]/LITI_267[[#This Row],[3PT FGA]]</f>
        <v>#DIV/0!</v>
      </c>
      <c r="K135" s="19"/>
      <c r="L135" s="19"/>
      <c r="M135" s="99" t="e">
        <f>LITI_267[[#This Row],[FTM]]/LITI_267[[#This Row],[FTA]]</f>
        <v>#DIV/0!</v>
      </c>
      <c r="N135" s="19">
        <f>SUM(LITI_267[[#This Row],[2PT FGM]]*2,LITI_267[[#This Row],[3PT FGM]]*3,LITI_267[[#This Row],[FTM]])</f>
        <v>0</v>
      </c>
      <c r="O135" s="19"/>
      <c r="P135" s="19"/>
      <c r="Q135" s="19"/>
      <c r="R135" s="19">
        <f>LITI_267[[#This Row],[Def. Boards]]+LITI_267[[#This Row],[Off. Boards]]</f>
        <v>0</v>
      </c>
      <c r="S135" s="19"/>
      <c r="T135" s="19"/>
      <c r="U135" s="19"/>
      <c r="V135" s="19"/>
      <c r="W135" s="92" t="e">
        <f>LITI_267[[#This Row],[Dimes]]/LITI_267[[#This Row],[Turnovers]]</f>
        <v>#DIV/0!</v>
      </c>
    </row>
    <row r="136" spans="1:23" hidden="1" x14ac:dyDescent="0.2">
      <c r="A136" s="13"/>
      <c r="B136" s="90">
        <f>LITI_267[[#This Row],[2PT FGM]]+LITI_267[[#This Row],[3PT FGM]]</f>
        <v>0</v>
      </c>
      <c r="C136" s="90">
        <f>LITI_267[[#This Row],[2PT FGA]]+LITI_267[[#This Row],[3PT FGA]]</f>
        <v>0</v>
      </c>
      <c r="D136" s="91" t="e">
        <f>LITI_267[[#This Row],[Total FGM]]/LITI_267[[#This Row],[Total FGA]]</f>
        <v>#DIV/0!</v>
      </c>
      <c r="E136" s="98"/>
      <c r="F136" s="19"/>
      <c r="G136" s="91" t="e">
        <f>LITI_267[[#This Row],[2PT FGM]]/LITI_267[[#This Row],[2PT FGA]]</f>
        <v>#DIV/0!</v>
      </c>
      <c r="H136" s="19"/>
      <c r="I136" s="19"/>
      <c r="J136" s="91" t="e">
        <f>LITI_267[[#This Row],[3PT FGM]]/LITI_267[[#This Row],[3PT FGA]]</f>
        <v>#DIV/0!</v>
      </c>
      <c r="K136" s="19"/>
      <c r="L136" s="19"/>
      <c r="M136" s="99" t="e">
        <f>LITI_267[[#This Row],[FTM]]/LITI_267[[#This Row],[FTA]]</f>
        <v>#DIV/0!</v>
      </c>
      <c r="N136" s="19">
        <f>SUM(LITI_267[[#This Row],[2PT FGM]]*2,LITI_267[[#This Row],[3PT FGM]]*3,LITI_267[[#This Row],[FTM]])</f>
        <v>0</v>
      </c>
      <c r="O136" s="19"/>
      <c r="P136" s="19"/>
      <c r="Q136" s="19"/>
      <c r="R136" s="19">
        <f>LITI_267[[#This Row],[Def. Boards]]+LITI_267[[#This Row],[Off. Boards]]</f>
        <v>0</v>
      </c>
      <c r="S136" s="19"/>
      <c r="T136" s="19"/>
      <c r="U136" s="19"/>
      <c r="V136" s="19"/>
      <c r="W136" s="92" t="e">
        <f>LITI_267[[#This Row],[Dimes]]/LITI_267[[#This Row],[Turnovers]]</f>
        <v>#DIV/0!</v>
      </c>
    </row>
    <row r="137" spans="1:23" hidden="1" x14ac:dyDescent="0.2">
      <c r="A137" s="13"/>
      <c r="B137" s="90"/>
      <c r="C137" s="90"/>
      <c r="D137" s="91"/>
      <c r="E137" s="98"/>
      <c r="F137" s="19"/>
      <c r="G137" s="91"/>
      <c r="H137" s="19"/>
      <c r="I137" s="19"/>
      <c r="J137" s="91"/>
      <c r="K137" s="19"/>
      <c r="L137" s="19"/>
      <c r="M137" s="99"/>
      <c r="N137" s="19"/>
      <c r="O137" s="19"/>
      <c r="P137" s="19"/>
      <c r="Q137" s="19"/>
      <c r="R137" s="19"/>
      <c r="S137" s="19"/>
      <c r="T137" s="19"/>
      <c r="U137" s="19"/>
      <c r="V137" s="19"/>
      <c r="W137" s="92"/>
    </row>
    <row r="138" spans="1:23" ht="16" hidden="1" thickBot="1" x14ac:dyDescent="0.25">
      <c r="A138" s="82" t="s">
        <v>76</v>
      </c>
      <c r="B138" s="100">
        <f>SUM(B133:B137)</f>
        <v>0</v>
      </c>
      <c r="C138" s="100">
        <f>SUM(C133:C137)</f>
        <v>0</v>
      </c>
      <c r="D138" s="101" t="e">
        <f>LITI_267[[#This Row],[Total FGM]]/LITI_267[[#This Row],[Total FGA]]</f>
        <v>#DIV/0!</v>
      </c>
      <c r="E138" s="102">
        <f>SUM(E133:E137)</f>
        <v>0</v>
      </c>
      <c r="F138" s="103">
        <f>SUM(F133:F137)</f>
        <v>0</v>
      </c>
      <c r="G138" s="108" t="e">
        <f>LITI_267[[#This Row],[2PT FGM]]/LITI_267[[#This Row],[2PT FGA]]</f>
        <v>#DIV/0!</v>
      </c>
      <c r="H138" s="103">
        <f>SUM(H133:H137)</f>
        <v>0</v>
      </c>
      <c r="I138" s="103">
        <f>SUM(I133:I137)</f>
        <v>0</v>
      </c>
      <c r="J138" s="104" t="e">
        <f>LITI_267[[#This Row],[3PT FGM]]/LITI_267[[#This Row],[3PT FGA]]</f>
        <v>#DIV/0!</v>
      </c>
      <c r="K138" s="103">
        <f>SUM(K133:K137)</f>
        <v>0</v>
      </c>
      <c r="L138" s="103">
        <f>SUM(L133:L137)</f>
        <v>0</v>
      </c>
      <c r="M138" s="105" t="e">
        <f>LITI_267[[#This Row],[FTM]]/LITI_267[[#This Row],[FTA]]</f>
        <v>#DIV/0!</v>
      </c>
      <c r="N138" s="62">
        <f>SUM(LITI_267[[#This Row],[2PT FGM]]*2,LITI_267[[#This Row],[3PT FGM]]*3,LITI_267[[#This Row],[FTM]])</f>
        <v>0</v>
      </c>
      <c r="O138" s="106">
        <f>SUM(O133:O137)</f>
        <v>0</v>
      </c>
      <c r="P138" s="106">
        <f t="shared" ref="P138:V138" si="12">SUM(P133:P137)</f>
        <v>0</v>
      </c>
      <c r="Q138" s="106">
        <f t="shared" si="12"/>
        <v>0</v>
      </c>
      <c r="R138" s="106">
        <f t="shared" si="12"/>
        <v>0</v>
      </c>
      <c r="S138" s="106">
        <f t="shared" si="12"/>
        <v>0</v>
      </c>
      <c r="T138" s="106">
        <f t="shared" si="12"/>
        <v>0</v>
      </c>
      <c r="U138" s="106">
        <f t="shared" si="12"/>
        <v>0</v>
      </c>
      <c r="V138" s="106">
        <f t="shared" si="12"/>
        <v>0</v>
      </c>
      <c r="W138" s="107" t="e">
        <f>LITI_267[[#This Row],[Dimes]]/LITI_267[[#This Row],[Turnovers]]</f>
        <v>#DIV/0!</v>
      </c>
    </row>
    <row r="139" spans="1:23" hidden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</row>
    <row r="140" spans="1:23" ht="16" hidden="1" thickBot="1" x14ac:dyDescent="0.25">
      <c r="A140" s="94" t="s">
        <v>74</v>
      </c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</row>
    <row r="141" spans="1:23" ht="16" hidden="1" x14ac:dyDescent="0.2">
      <c r="A141" s="89" t="s">
        <v>169</v>
      </c>
      <c r="B141" s="11" t="s">
        <v>0</v>
      </c>
      <c r="C141" s="11" t="s">
        <v>1</v>
      </c>
      <c r="D141" s="11" t="s">
        <v>2</v>
      </c>
      <c r="E141" s="95" t="s">
        <v>3</v>
      </c>
      <c r="F141" s="96" t="s">
        <v>4</v>
      </c>
      <c r="G141" s="96" t="s">
        <v>5</v>
      </c>
      <c r="H141" s="96" t="s">
        <v>6</v>
      </c>
      <c r="I141" s="96" t="s">
        <v>7</v>
      </c>
      <c r="J141" s="96" t="s">
        <v>8</v>
      </c>
      <c r="K141" s="96" t="s">
        <v>9</v>
      </c>
      <c r="L141" s="96" t="s">
        <v>10</v>
      </c>
      <c r="M141" s="97" t="s">
        <v>11</v>
      </c>
      <c r="N141" s="11" t="s">
        <v>12</v>
      </c>
      <c r="O141" s="10" t="s">
        <v>13</v>
      </c>
      <c r="P141" s="11" t="s">
        <v>14</v>
      </c>
      <c r="Q141" s="11" t="s">
        <v>15</v>
      </c>
      <c r="R141" s="11" t="s">
        <v>16</v>
      </c>
      <c r="S141" s="10" t="s">
        <v>17</v>
      </c>
      <c r="T141" s="10" t="s">
        <v>18</v>
      </c>
      <c r="U141" s="10" t="s">
        <v>19</v>
      </c>
      <c r="V141" s="10" t="s">
        <v>20</v>
      </c>
      <c r="W141" s="10" t="s">
        <v>21</v>
      </c>
    </row>
    <row r="142" spans="1:23" hidden="1" x14ac:dyDescent="0.2">
      <c r="A142" s="13"/>
      <c r="B142" s="90">
        <f>GN_261[[#This Row],[2PT FGM]]+GN_261[[#This Row],[3PT FGM]]</f>
        <v>0</v>
      </c>
      <c r="C142" s="90">
        <f>GN_261[[#This Row],[2PT FGA]]+GN_261[[#This Row],[3PT FGA]]</f>
        <v>0</v>
      </c>
      <c r="D142" s="91" t="e">
        <f>GN_261[[#This Row],[Total FGM]]/GN_261[[#This Row],[Total FGA]]</f>
        <v>#DIV/0!</v>
      </c>
      <c r="E142" s="98"/>
      <c r="F142" s="19"/>
      <c r="G142" s="91" t="e">
        <f>GN_261[[#This Row],[2PT FGM]]/GN_261[[#This Row],[2PT FGA]]</f>
        <v>#DIV/0!</v>
      </c>
      <c r="H142" s="19"/>
      <c r="I142" s="19"/>
      <c r="J142" s="91" t="e">
        <f>GN_261[[#This Row],[3PT FGM]]/GN_261[[#This Row],[3PT FGA]]</f>
        <v>#DIV/0!</v>
      </c>
      <c r="K142" s="19"/>
      <c r="L142" s="19"/>
      <c r="M142" s="99" t="e">
        <f>GN_261[[#This Row],[FTM]]/GN_261[[#This Row],[FTA]]</f>
        <v>#DIV/0!</v>
      </c>
      <c r="N142" s="19">
        <f>SUM(GN_261[[#This Row],[2PT FGM]]*2,GN_261[[#This Row],[3PT FGM]]*3,GN_261[[#This Row],[FTM]])</f>
        <v>0</v>
      </c>
      <c r="O142" s="19"/>
      <c r="P142" s="19"/>
      <c r="Q142" s="19"/>
      <c r="R142" s="19">
        <f>GN_261[[#This Row],[Def. Boards]]+GN_261[[#This Row],[Off. Boards]]</f>
        <v>0</v>
      </c>
      <c r="S142" s="19"/>
      <c r="T142" s="19"/>
      <c r="U142" s="19"/>
      <c r="V142" s="19"/>
      <c r="W142" s="92" t="e">
        <f>GN_261[[#This Row],[Dimes]]/GN_261[[#This Row],[Turnovers]]</f>
        <v>#DIV/0!</v>
      </c>
    </row>
    <row r="143" spans="1:23" hidden="1" x14ac:dyDescent="0.2">
      <c r="A143" s="14"/>
      <c r="B143" s="90">
        <f>GN_261[[#This Row],[2PT FGM]]+GN_261[[#This Row],[3PT FGM]]</f>
        <v>0</v>
      </c>
      <c r="C143" s="90">
        <f>GN_261[[#This Row],[2PT FGA]]+GN_261[[#This Row],[3PT FGA]]</f>
        <v>0</v>
      </c>
      <c r="D143" s="91" t="e">
        <f>GN_261[[#This Row],[Total FGM]]/GN_261[[#This Row],[Total FGA]]</f>
        <v>#DIV/0!</v>
      </c>
      <c r="E143" s="98"/>
      <c r="F143" s="19"/>
      <c r="G143" s="91" t="e">
        <f>GN_261[[#This Row],[2PT FGM]]/GN_261[[#This Row],[2PT FGA]]</f>
        <v>#DIV/0!</v>
      </c>
      <c r="H143" s="19"/>
      <c r="I143" s="19"/>
      <c r="J143" s="91" t="e">
        <f>GN_261[[#This Row],[3PT FGM]]/GN_261[[#This Row],[3PT FGA]]</f>
        <v>#DIV/0!</v>
      </c>
      <c r="K143" s="19"/>
      <c r="L143" s="19"/>
      <c r="M143" s="99" t="e">
        <f>GN_261[[#This Row],[FTM]]/GN_261[[#This Row],[FTA]]</f>
        <v>#DIV/0!</v>
      </c>
      <c r="N143" s="19">
        <f>SUM(GN_261[[#This Row],[2PT FGM]]*2,GN_261[[#This Row],[3PT FGM]]*3,GN_261[[#This Row],[FTM]])</f>
        <v>0</v>
      </c>
      <c r="O143" s="19"/>
      <c r="P143" s="19"/>
      <c r="Q143" s="19"/>
      <c r="R143" s="19">
        <f>GN_261[[#This Row],[Def. Boards]]+GN_261[[#This Row],[Off. Boards]]</f>
        <v>0</v>
      </c>
      <c r="S143" s="19"/>
      <c r="T143" s="19"/>
      <c r="U143" s="19"/>
      <c r="V143" s="19"/>
      <c r="W143" s="92" t="e">
        <f>GN_261[[#This Row],[Dimes]]/GN_261[[#This Row],[Turnovers]]</f>
        <v>#DIV/0!</v>
      </c>
    </row>
    <row r="144" spans="1:23" hidden="1" x14ac:dyDescent="0.2">
      <c r="A144" s="13"/>
      <c r="B144" s="90">
        <f>GN_261[[#This Row],[2PT FGM]]+GN_261[[#This Row],[3PT FGM]]</f>
        <v>0</v>
      </c>
      <c r="C144" s="90">
        <f>GN_261[[#This Row],[2PT FGA]]+GN_261[[#This Row],[3PT FGA]]</f>
        <v>0</v>
      </c>
      <c r="D144" s="91" t="e">
        <f>GN_261[[#This Row],[Total FGM]]/GN_261[[#This Row],[Total FGA]]</f>
        <v>#DIV/0!</v>
      </c>
      <c r="E144" s="98"/>
      <c r="F144" s="19"/>
      <c r="G144" s="91" t="e">
        <f>GN_261[[#This Row],[2PT FGM]]/GN_261[[#This Row],[2PT FGA]]</f>
        <v>#DIV/0!</v>
      </c>
      <c r="H144" s="19"/>
      <c r="I144" s="19"/>
      <c r="J144" s="91" t="e">
        <f>GN_261[[#This Row],[3PT FGM]]/GN_261[[#This Row],[3PT FGA]]</f>
        <v>#DIV/0!</v>
      </c>
      <c r="K144" s="19"/>
      <c r="L144" s="19"/>
      <c r="M144" s="99" t="e">
        <f>GN_261[[#This Row],[FTM]]/GN_261[[#This Row],[FTA]]</f>
        <v>#DIV/0!</v>
      </c>
      <c r="N144" s="19">
        <f>SUM(GN_261[[#This Row],[2PT FGM]]*2,GN_261[[#This Row],[3PT FGM]]*3,GN_261[[#This Row],[FTM]])</f>
        <v>0</v>
      </c>
      <c r="O144" s="19"/>
      <c r="P144" s="19"/>
      <c r="Q144" s="19"/>
      <c r="R144" s="19">
        <f>GN_261[[#This Row],[Def. Boards]]+GN_261[[#This Row],[Off. Boards]]</f>
        <v>0</v>
      </c>
      <c r="S144" s="19"/>
      <c r="T144" s="19"/>
      <c r="U144" s="19"/>
      <c r="V144" s="19"/>
      <c r="W144" s="92" t="e">
        <f>GN_261[[#This Row],[Dimes]]/GN_261[[#This Row],[Turnovers]]</f>
        <v>#DIV/0!</v>
      </c>
    </row>
    <row r="145" spans="1:23" hidden="1" x14ac:dyDescent="0.2">
      <c r="A145" s="13"/>
      <c r="B145" s="90">
        <f>GN_261[[#This Row],[2PT FGM]]+GN_261[[#This Row],[3PT FGM]]</f>
        <v>0</v>
      </c>
      <c r="C145" s="90">
        <f>GN_261[[#This Row],[2PT FGA]]+GN_261[[#This Row],[3PT FGA]]</f>
        <v>0</v>
      </c>
      <c r="D145" s="91" t="e">
        <f>GN_261[[#This Row],[Total FGM]]/GN_261[[#This Row],[Total FGA]]</f>
        <v>#DIV/0!</v>
      </c>
      <c r="E145" s="98"/>
      <c r="F145" s="19"/>
      <c r="G145" s="91" t="e">
        <f>GN_261[[#This Row],[2PT FGM]]/GN_261[[#This Row],[2PT FGA]]</f>
        <v>#DIV/0!</v>
      </c>
      <c r="H145" s="19"/>
      <c r="I145" s="19"/>
      <c r="J145" s="91" t="e">
        <f>GN_261[[#This Row],[3PT FGM]]/GN_261[[#This Row],[3PT FGA]]</f>
        <v>#DIV/0!</v>
      </c>
      <c r="K145" s="19"/>
      <c r="L145" s="19"/>
      <c r="M145" s="99" t="e">
        <f>GN_261[[#This Row],[FTM]]/GN_261[[#This Row],[FTA]]</f>
        <v>#DIV/0!</v>
      </c>
      <c r="N145" s="19">
        <f>SUM(GN_261[[#This Row],[2PT FGM]]*2,GN_261[[#This Row],[3PT FGM]]*3,GN_261[[#This Row],[FTM]])</f>
        <v>0</v>
      </c>
      <c r="O145" s="19"/>
      <c r="P145" s="19"/>
      <c r="Q145" s="19"/>
      <c r="R145" s="19">
        <f>GN_261[[#This Row],[Def. Boards]]+GN_261[[#This Row],[Off. Boards]]</f>
        <v>0</v>
      </c>
      <c r="S145" s="19"/>
      <c r="T145" s="19"/>
      <c r="U145" s="19"/>
      <c r="V145" s="19"/>
      <c r="W145" s="92" t="e">
        <f>GN_261[[#This Row],[Dimes]]/GN_261[[#This Row],[Turnovers]]</f>
        <v>#DIV/0!</v>
      </c>
    </row>
    <row r="146" spans="1:23" hidden="1" x14ac:dyDescent="0.2">
      <c r="A146" s="93"/>
      <c r="B146" s="90"/>
      <c r="C146" s="90"/>
      <c r="D146" s="91"/>
      <c r="E146" s="98"/>
      <c r="F146" s="19"/>
      <c r="G146" s="91"/>
      <c r="H146" s="19"/>
      <c r="I146" s="19"/>
      <c r="J146" s="91"/>
      <c r="K146" s="19"/>
      <c r="L146" s="19"/>
      <c r="M146" s="99"/>
      <c r="N146" s="19"/>
      <c r="O146" s="19"/>
      <c r="P146" s="19"/>
      <c r="Q146" s="19"/>
      <c r="R146" s="19"/>
      <c r="S146" s="19"/>
      <c r="T146" s="19"/>
      <c r="U146" s="19"/>
      <c r="V146" s="19"/>
      <c r="W146" s="92" t="e">
        <f>GN_261[[#This Row],[Dimes]]/GN_261[[#This Row],[Turnovers]]</f>
        <v>#DIV/0!</v>
      </c>
    </row>
    <row r="147" spans="1:23" ht="16" hidden="1" thickBot="1" x14ac:dyDescent="0.25">
      <c r="A147" s="82" t="s">
        <v>76</v>
      </c>
      <c r="B147" s="100">
        <f>SUM(B142:B146)</f>
        <v>0</v>
      </c>
      <c r="C147" s="100">
        <f>SUM(C142:C146)</f>
        <v>0</v>
      </c>
      <c r="D147" s="101" t="e">
        <f>GN_261[[#This Row],[Total FGM]]/GN_261[[#This Row],[Total FGA]]</f>
        <v>#DIV/0!</v>
      </c>
      <c r="E147" s="102">
        <f>SUM(E142:E146)</f>
        <v>0</v>
      </c>
      <c r="F147" s="103">
        <f>SUM(F142:F146)</f>
        <v>0</v>
      </c>
      <c r="G147" s="104" t="e">
        <f>GN_261[[#This Row],[2PT FGM]]/GN_261[[#This Row],[2PT FGA]]</f>
        <v>#DIV/0!</v>
      </c>
      <c r="H147" s="103">
        <f>SUM(H142:H146)</f>
        <v>0</v>
      </c>
      <c r="I147" s="103">
        <f>SUM(I142:I146)</f>
        <v>0</v>
      </c>
      <c r="J147" s="109" t="e">
        <f>GN_261[[#This Row],[3PT FGM]]/GN_261[[#This Row],[3PT FGA]]</f>
        <v>#DIV/0!</v>
      </c>
      <c r="K147" s="103">
        <f>SUM(K142:K146)</f>
        <v>0</v>
      </c>
      <c r="L147" s="103">
        <f>SUM(L142:L146)</f>
        <v>0</v>
      </c>
      <c r="M147" s="105" t="e">
        <f>GN_261[[#This Row],[FTM]]/GN_261[[#This Row],[FTA]]</f>
        <v>#DIV/0!</v>
      </c>
      <c r="N147" s="62">
        <f>SUM(GN_261[[#This Row],[2PT FGM]]*2,GN_261[[#This Row],[3PT FGM]]*3,GN_261[[#This Row],[FTM]])</f>
        <v>0</v>
      </c>
      <c r="O147" s="100">
        <f>SUM(O142:O146)</f>
        <v>0</v>
      </c>
      <c r="P147" s="100">
        <f>SUM(P142:P146)</f>
        <v>0</v>
      </c>
      <c r="Q147" s="100">
        <f>SUM(Q142:Q146)</f>
        <v>0</v>
      </c>
      <c r="R147" s="106">
        <f>GN_261[[#This Row],[Def. Boards]]+GN_261[[#This Row],[Off. Boards]]</f>
        <v>0</v>
      </c>
      <c r="S147" s="100">
        <f>SUM(S142:S146)</f>
        <v>0</v>
      </c>
      <c r="T147" s="100">
        <f>SUM(T142:T146)</f>
        <v>0</v>
      </c>
      <c r="U147" s="100">
        <f>SUM(U142:U146)</f>
        <v>0</v>
      </c>
      <c r="V147" s="100">
        <f>SUM(V142:V146)</f>
        <v>0</v>
      </c>
      <c r="W147" s="107" t="e">
        <f>GN_261[[#This Row],[Dimes]]/GN_261[[#This Row],[Turnovers]]</f>
        <v>#DIV/0!</v>
      </c>
    </row>
    <row r="148" spans="1:23" hidden="1" x14ac:dyDescent="0.2"/>
    <row r="149" spans="1:23" hidden="1" x14ac:dyDescent="0.2">
      <c r="C149" s="86" t="s">
        <v>68</v>
      </c>
      <c r="D149" s="86" t="s">
        <v>134</v>
      </c>
      <c r="E149" s="86" t="s">
        <v>74</v>
      </c>
    </row>
    <row r="150" spans="1:23" ht="24" hidden="1" x14ac:dyDescent="0.2">
      <c r="A150" s="84" t="s">
        <v>66</v>
      </c>
      <c r="B150" s="85">
        <v>8</v>
      </c>
      <c r="C150" s="84"/>
      <c r="D150" s="85" t="s">
        <v>137</v>
      </c>
      <c r="E150" s="85"/>
      <c r="H150" s="23"/>
    </row>
    <row r="151" spans="1:23" ht="24" hidden="1" x14ac:dyDescent="0.2">
      <c r="A151" s="84"/>
      <c r="B151" s="85" t="s">
        <v>151</v>
      </c>
      <c r="C151" s="85">
        <f>N159</f>
        <v>0</v>
      </c>
      <c r="D151" s="85"/>
      <c r="E151" s="85">
        <f>N168</f>
        <v>0</v>
      </c>
      <c r="H151" s="23"/>
    </row>
    <row r="152" spans="1:23" ht="16" hidden="1" thickBot="1" x14ac:dyDescent="0.25">
      <c r="A152" s="59" t="s">
        <v>68</v>
      </c>
    </row>
    <row r="153" spans="1:23" ht="16" hidden="1" x14ac:dyDescent="0.2">
      <c r="A153" s="89" t="s">
        <v>169</v>
      </c>
      <c r="B153" s="11" t="s">
        <v>0</v>
      </c>
      <c r="C153" s="11" t="s">
        <v>1</v>
      </c>
      <c r="D153" s="11" t="s">
        <v>2</v>
      </c>
      <c r="E153" s="95" t="s">
        <v>3</v>
      </c>
      <c r="F153" s="96" t="s">
        <v>4</v>
      </c>
      <c r="G153" s="96" t="s">
        <v>5</v>
      </c>
      <c r="H153" s="96" t="s">
        <v>6</v>
      </c>
      <c r="I153" s="96" t="s">
        <v>7</v>
      </c>
      <c r="J153" s="96" t="s">
        <v>8</v>
      </c>
      <c r="K153" s="96" t="s">
        <v>9</v>
      </c>
      <c r="L153" s="96" t="s">
        <v>10</v>
      </c>
      <c r="M153" s="97" t="s">
        <v>11</v>
      </c>
      <c r="N153" s="11" t="s">
        <v>12</v>
      </c>
      <c r="O153" s="10" t="s">
        <v>13</v>
      </c>
      <c r="P153" s="11" t="s">
        <v>14</v>
      </c>
      <c r="Q153" s="11" t="s">
        <v>15</v>
      </c>
      <c r="R153" s="11" t="s">
        <v>16</v>
      </c>
      <c r="S153" s="10" t="s">
        <v>17</v>
      </c>
      <c r="T153" s="10" t="s">
        <v>18</v>
      </c>
      <c r="U153" s="10" t="s">
        <v>19</v>
      </c>
      <c r="V153" s="10" t="s">
        <v>20</v>
      </c>
      <c r="W153" s="10" t="s">
        <v>21</v>
      </c>
    </row>
    <row r="154" spans="1:23" hidden="1" x14ac:dyDescent="0.2">
      <c r="A154" s="13"/>
      <c r="B154" s="90">
        <f>LITI_268[[#This Row],[2PT FGM]]+LITI_268[[#This Row],[3PT FGM]]</f>
        <v>0</v>
      </c>
      <c r="C154" s="90">
        <f>LITI_268[[#This Row],[2PT FGA]]+LITI_268[[#This Row],[3PT FGA]]</f>
        <v>0</v>
      </c>
      <c r="D154" s="91" t="e">
        <f>LITI_268[[#This Row],[Total FGM]]/LITI_268[[#This Row],[Total FGA]]</f>
        <v>#DIV/0!</v>
      </c>
      <c r="E154" s="98"/>
      <c r="F154" s="19"/>
      <c r="G154" s="91" t="e">
        <f>LITI_268[[#This Row],[2PT FGM]]/LITI_268[[#This Row],[2PT FGA]]</f>
        <v>#DIV/0!</v>
      </c>
      <c r="H154" s="19"/>
      <c r="I154" s="19"/>
      <c r="J154" s="91" t="e">
        <f>LITI_268[[#This Row],[3PT FGM]]/LITI_268[[#This Row],[3PT FGA]]</f>
        <v>#DIV/0!</v>
      </c>
      <c r="K154" s="19"/>
      <c r="L154" s="19"/>
      <c r="M154" s="99" t="e">
        <f>LITI_268[[#This Row],[FTM]]/LITI_268[[#This Row],[FTA]]</f>
        <v>#DIV/0!</v>
      </c>
      <c r="N154" s="19">
        <f>SUM(LITI_268[[#This Row],[2PT FGM]]*2,LITI_268[[#This Row],[3PT FGM]]*3,LITI_268[[#This Row],[FTM]])</f>
        <v>0</v>
      </c>
      <c r="O154" s="19"/>
      <c r="P154" s="19"/>
      <c r="Q154" s="19"/>
      <c r="R154" s="19">
        <f>LITI_268[[#This Row],[Def. Boards]]+LITI_268[[#This Row],[Off. Boards]]</f>
        <v>0</v>
      </c>
      <c r="S154" s="19"/>
      <c r="T154" s="19"/>
      <c r="U154" s="19"/>
      <c r="V154" s="19"/>
      <c r="W154" s="92" t="e">
        <f>LITI_268[[#This Row],[Dimes]]/LITI_268[[#This Row],[Turnovers]]</f>
        <v>#DIV/0!</v>
      </c>
    </row>
    <row r="155" spans="1:23" hidden="1" x14ac:dyDescent="0.2">
      <c r="A155" s="13"/>
      <c r="B155" s="90">
        <f>LITI_268[[#This Row],[2PT FGM]]+LITI_268[[#This Row],[3PT FGM]]</f>
        <v>0</v>
      </c>
      <c r="C155" s="90">
        <f>LITI_268[[#This Row],[2PT FGA]]+LITI_268[[#This Row],[3PT FGA]]</f>
        <v>0</v>
      </c>
      <c r="D155" s="91" t="e">
        <f>LITI_268[[#This Row],[Total FGM]]/LITI_268[[#This Row],[Total FGA]]</f>
        <v>#DIV/0!</v>
      </c>
      <c r="E155" s="98"/>
      <c r="F155" s="19"/>
      <c r="G155" s="91" t="e">
        <f>LITI_268[[#This Row],[2PT FGM]]/LITI_268[[#This Row],[2PT FGA]]</f>
        <v>#DIV/0!</v>
      </c>
      <c r="H155" s="19"/>
      <c r="I155" s="19"/>
      <c r="J155" s="91" t="e">
        <f>LITI_268[[#This Row],[3PT FGM]]/LITI_268[[#This Row],[3PT FGA]]</f>
        <v>#DIV/0!</v>
      </c>
      <c r="K155" s="19"/>
      <c r="L155" s="19"/>
      <c r="M155" s="99" t="e">
        <f>LITI_268[[#This Row],[FTM]]/LITI_268[[#This Row],[FTA]]</f>
        <v>#DIV/0!</v>
      </c>
      <c r="N155" s="19">
        <f>SUM(LITI_268[[#This Row],[2PT FGM]]*2,LITI_268[[#This Row],[3PT FGM]]*3,LITI_268[[#This Row],[FTM]])</f>
        <v>0</v>
      </c>
      <c r="O155" s="19"/>
      <c r="P155" s="19"/>
      <c r="Q155" s="19"/>
      <c r="R155" s="19">
        <f>LITI_268[[#This Row],[Def. Boards]]+LITI_268[[#This Row],[Off. Boards]]</f>
        <v>0</v>
      </c>
      <c r="S155" s="19"/>
      <c r="T155" s="19"/>
      <c r="U155" s="19"/>
      <c r="V155" s="19"/>
      <c r="W155" s="92" t="e">
        <f>LITI_268[[#This Row],[Dimes]]/LITI_268[[#This Row],[Turnovers]]</f>
        <v>#DIV/0!</v>
      </c>
    </row>
    <row r="156" spans="1:23" hidden="1" x14ac:dyDescent="0.2">
      <c r="A156" s="13"/>
      <c r="B156" s="90">
        <f>LITI_268[[#This Row],[2PT FGM]]+LITI_268[[#This Row],[3PT FGM]]</f>
        <v>0</v>
      </c>
      <c r="C156" s="90">
        <f>LITI_268[[#This Row],[2PT FGA]]+LITI_268[[#This Row],[3PT FGA]]</f>
        <v>0</v>
      </c>
      <c r="D156" s="91" t="e">
        <f>LITI_268[[#This Row],[Total FGM]]/LITI_268[[#This Row],[Total FGA]]</f>
        <v>#DIV/0!</v>
      </c>
      <c r="E156" s="98"/>
      <c r="F156" s="19"/>
      <c r="G156" s="91" t="e">
        <f>LITI_268[[#This Row],[2PT FGM]]/LITI_268[[#This Row],[2PT FGA]]</f>
        <v>#DIV/0!</v>
      </c>
      <c r="H156" s="19"/>
      <c r="I156" s="19"/>
      <c r="J156" s="91" t="e">
        <f>LITI_268[[#This Row],[3PT FGM]]/LITI_268[[#This Row],[3PT FGA]]</f>
        <v>#DIV/0!</v>
      </c>
      <c r="K156" s="19"/>
      <c r="L156" s="19"/>
      <c r="M156" s="99" t="e">
        <f>LITI_268[[#This Row],[FTM]]/LITI_268[[#This Row],[FTA]]</f>
        <v>#DIV/0!</v>
      </c>
      <c r="N156" s="19">
        <f>SUM(LITI_268[[#This Row],[2PT FGM]]*2,LITI_268[[#This Row],[3PT FGM]]*3,LITI_268[[#This Row],[FTM]])</f>
        <v>0</v>
      </c>
      <c r="O156" s="19"/>
      <c r="P156" s="19"/>
      <c r="Q156" s="19"/>
      <c r="R156" s="19">
        <f>LITI_268[[#This Row],[Def. Boards]]+LITI_268[[#This Row],[Off. Boards]]</f>
        <v>0</v>
      </c>
      <c r="S156" s="19"/>
      <c r="T156" s="19"/>
      <c r="U156" s="19"/>
      <c r="V156" s="19"/>
      <c r="W156" s="92" t="e">
        <f>LITI_268[[#This Row],[Dimes]]/LITI_268[[#This Row],[Turnovers]]</f>
        <v>#DIV/0!</v>
      </c>
    </row>
    <row r="157" spans="1:23" hidden="1" x14ac:dyDescent="0.2">
      <c r="A157" s="13"/>
      <c r="B157" s="90">
        <f>LITI_268[[#This Row],[2PT FGM]]+LITI_268[[#This Row],[3PT FGM]]</f>
        <v>0</v>
      </c>
      <c r="C157" s="90">
        <f>LITI_268[[#This Row],[2PT FGA]]+LITI_268[[#This Row],[3PT FGA]]</f>
        <v>0</v>
      </c>
      <c r="D157" s="91" t="e">
        <f>LITI_268[[#This Row],[Total FGM]]/LITI_268[[#This Row],[Total FGA]]</f>
        <v>#DIV/0!</v>
      </c>
      <c r="E157" s="98"/>
      <c r="F157" s="19"/>
      <c r="G157" s="91" t="e">
        <f>LITI_268[[#This Row],[2PT FGM]]/LITI_268[[#This Row],[2PT FGA]]</f>
        <v>#DIV/0!</v>
      </c>
      <c r="H157" s="19"/>
      <c r="I157" s="19"/>
      <c r="J157" s="91" t="e">
        <f>LITI_268[[#This Row],[3PT FGM]]/LITI_268[[#This Row],[3PT FGA]]</f>
        <v>#DIV/0!</v>
      </c>
      <c r="K157" s="19"/>
      <c r="L157" s="19"/>
      <c r="M157" s="99" t="e">
        <f>LITI_268[[#This Row],[FTM]]/LITI_268[[#This Row],[FTA]]</f>
        <v>#DIV/0!</v>
      </c>
      <c r="N157" s="19">
        <f>SUM(LITI_268[[#This Row],[2PT FGM]]*2,LITI_268[[#This Row],[3PT FGM]]*3,LITI_268[[#This Row],[FTM]])</f>
        <v>0</v>
      </c>
      <c r="O157" s="19"/>
      <c r="P157" s="19"/>
      <c r="Q157" s="19"/>
      <c r="R157" s="19">
        <f>LITI_268[[#This Row],[Def. Boards]]+LITI_268[[#This Row],[Off. Boards]]</f>
        <v>0</v>
      </c>
      <c r="S157" s="19"/>
      <c r="T157" s="19"/>
      <c r="U157" s="19"/>
      <c r="V157" s="19"/>
      <c r="W157" s="92" t="e">
        <f>LITI_268[[#This Row],[Dimes]]/LITI_268[[#This Row],[Turnovers]]</f>
        <v>#DIV/0!</v>
      </c>
    </row>
    <row r="158" spans="1:23" hidden="1" x14ac:dyDescent="0.2">
      <c r="A158" s="13"/>
      <c r="B158" s="90"/>
      <c r="C158" s="90"/>
      <c r="D158" s="91"/>
      <c r="E158" s="98"/>
      <c r="F158" s="19"/>
      <c r="G158" s="91"/>
      <c r="H158" s="19"/>
      <c r="I158" s="19"/>
      <c r="J158" s="91"/>
      <c r="K158" s="19"/>
      <c r="L158" s="19"/>
      <c r="M158" s="99"/>
      <c r="N158" s="19"/>
      <c r="O158" s="19"/>
      <c r="P158" s="19"/>
      <c r="Q158" s="19"/>
      <c r="R158" s="19"/>
      <c r="S158" s="19"/>
      <c r="T158" s="19"/>
      <c r="U158" s="19"/>
      <c r="V158" s="19"/>
      <c r="W158" s="92"/>
    </row>
    <row r="159" spans="1:23" ht="16" hidden="1" thickBot="1" x14ac:dyDescent="0.25">
      <c r="A159" s="82" t="s">
        <v>76</v>
      </c>
      <c r="B159" s="100">
        <f>SUM(B154:B158)</f>
        <v>0</v>
      </c>
      <c r="C159" s="100">
        <f>SUM(C154:C158)</f>
        <v>0</v>
      </c>
      <c r="D159" s="101" t="e">
        <f>LITI_268[[#This Row],[Total FGM]]/LITI_268[[#This Row],[Total FGA]]</f>
        <v>#DIV/0!</v>
      </c>
      <c r="E159" s="102">
        <f>SUM(E154:E158)</f>
        <v>0</v>
      </c>
      <c r="F159" s="103">
        <f>SUM(F154:F158)</f>
        <v>0</v>
      </c>
      <c r="G159" s="108" t="e">
        <f>LITI_268[[#This Row],[2PT FGM]]/LITI_268[[#This Row],[2PT FGA]]</f>
        <v>#DIV/0!</v>
      </c>
      <c r="H159" s="103">
        <f>SUM(H154:H158)</f>
        <v>0</v>
      </c>
      <c r="I159" s="103">
        <f>SUM(I154:I158)</f>
        <v>0</v>
      </c>
      <c r="J159" s="104" t="e">
        <f>LITI_268[[#This Row],[3PT FGM]]/LITI_268[[#This Row],[3PT FGA]]</f>
        <v>#DIV/0!</v>
      </c>
      <c r="K159" s="103">
        <f>SUM(K154:K158)</f>
        <v>0</v>
      </c>
      <c r="L159" s="103">
        <f>SUM(L154:L158)</f>
        <v>0</v>
      </c>
      <c r="M159" s="105" t="e">
        <f>LITI_268[[#This Row],[FTM]]/LITI_268[[#This Row],[FTA]]</f>
        <v>#DIV/0!</v>
      </c>
      <c r="N159" s="62">
        <f>SUM(LITI_268[[#This Row],[2PT FGM]]*2,LITI_268[[#This Row],[3PT FGM]]*3,LITI_268[[#This Row],[FTM]])</f>
        <v>0</v>
      </c>
      <c r="O159" s="106">
        <f>SUM(O154:O158)</f>
        <v>0</v>
      </c>
      <c r="P159" s="106">
        <f t="shared" ref="P159:V159" si="13">SUM(P154:P158)</f>
        <v>0</v>
      </c>
      <c r="Q159" s="106">
        <f t="shared" si="13"/>
        <v>0</v>
      </c>
      <c r="R159" s="106">
        <f t="shared" si="13"/>
        <v>0</v>
      </c>
      <c r="S159" s="106">
        <f t="shared" si="13"/>
        <v>0</v>
      </c>
      <c r="T159" s="106">
        <f t="shared" si="13"/>
        <v>0</v>
      </c>
      <c r="U159" s="106">
        <f t="shared" si="13"/>
        <v>0</v>
      </c>
      <c r="V159" s="106">
        <f t="shared" si="13"/>
        <v>0</v>
      </c>
      <c r="W159" s="107" t="e">
        <f>LITI_268[[#This Row],[Dimes]]/LITI_268[[#This Row],[Turnovers]]</f>
        <v>#DIV/0!</v>
      </c>
    </row>
    <row r="160" spans="1:23" hidden="1" x14ac:dyDescent="0.2"/>
    <row r="161" spans="1:23" ht="16" hidden="1" thickBot="1" x14ac:dyDescent="0.25">
      <c r="A161" s="94" t="s">
        <v>74</v>
      </c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</row>
    <row r="162" spans="1:23" ht="16" hidden="1" x14ac:dyDescent="0.2">
      <c r="A162" s="89" t="s">
        <v>169</v>
      </c>
      <c r="B162" s="11" t="s">
        <v>0</v>
      </c>
      <c r="C162" s="11" t="s">
        <v>1</v>
      </c>
      <c r="D162" s="11" t="s">
        <v>2</v>
      </c>
      <c r="E162" s="95" t="s">
        <v>3</v>
      </c>
      <c r="F162" s="96" t="s">
        <v>4</v>
      </c>
      <c r="G162" s="96" t="s">
        <v>5</v>
      </c>
      <c r="H162" s="96" t="s">
        <v>6</v>
      </c>
      <c r="I162" s="96" t="s">
        <v>7</v>
      </c>
      <c r="J162" s="96" t="s">
        <v>8</v>
      </c>
      <c r="K162" s="96" t="s">
        <v>9</v>
      </c>
      <c r="L162" s="96" t="s">
        <v>10</v>
      </c>
      <c r="M162" s="97" t="s">
        <v>11</v>
      </c>
      <c r="N162" s="11" t="s">
        <v>12</v>
      </c>
      <c r="O162" s="10" t="s">
        <v>13</v>
      </c>
      <c r="P162" s="11" t="s">
        <v>14</v>
      </c>
      <c r="Q162" s="11" t="s">
        <v>15</v>
      </c>
      <c r="R162" s="11" t="s">
        <v>16</v>
      </c>
      <c r="S162" s="10" t="s">
        <v>17</v>
      </c>
      <c r="T162" s="10" t="s">
        <v>18</v>
      </c>
      <c r="U162" s="10" t="s">
        <v>19</v>
      </c>
      <c r="V162" s="10" t="s">
        <v>20</v>
      </c>
      <c r="W162" s="10" t="s">
        <v>21</v>
      </c>
    </row>
    <row r="163" spans="1:23" hidden="1" x14ac:dyDescent="0.2">
      <c r="A163" s="13"/>
      <c r="B163" s="90">
        <f>GN_262[[#This Row],[2PT FGM]]+GN_262[[#This Row],[3PT FGM]]</f>
        <v>0</v>
      </c>
      <c r="C163" s="90">
        <f>GN_262[[#This Row],[2PT FGA]]+GN_262[[#This Row],[3PT FGA]]</f>
        <v>0</v>
      </c>
      <c r="D163" s="91" t="e">
        <f>GN_262[[#This Row],[Total FGM]]/GN_262[[#This Row],[Total FGA]]</f>
        <v>#DIV/0!</v>
      </c>
      <c r="E163" s="98"/>
      <c r="F163" s="19"/>
      <c r="G163" s="91" t="e">
        <f>GN_262[[#This Row],[2PT FGM]]/GN_262[[#This Row],[2PT FGA]]</f>
        <v>#DIV/0!</v>
      </c>
      <c r="H163" s="19"/>
      <c r="I163" s="19"/>
      <c r="J163" s="91" t="e">
        <f>GN_262[[#This Row],[3PT FGM]]/GN_262[[#This Row],[3PT FGA]]</f>
        <v>#DIV/0!</v>
      </c>
      <c r="K163" s="19"/>
      <c r="L163" s="19"/>
      <c r="M163" s="99" t="e">
        <f>GN_262[[#This Row],[FTM]]/GN_262[[#This Row],[FTA]]</f>
        <v>#DIV/0!</v>
      </c>
      <c r="N163" s="19">
        <f>SUM(GN_262[[#This Row],[2PT FGM]]*2,GN_262[[#This Row],[3PT FGM]]*3,GN_262[[#This Row],[FTM]])</f>
        <v>0</v>
      </c>
      <c r="O163" s="19"/>
      <c r="P163" s="19"/>
      <c r="Q163" s="19"/>
      <c r="R163" s="19">
        <f>GN_262[[#This Row],[Def. Boards]]+GN_262[[#This Row],[Off. Boards]]</f>
        <v>0</v>
      </c>
      <c r="S163" s="19"/>
      <c r="T163" s="19"/>
      <c r="U163" s="19"/>
      <c r="V163" s="19"/>
      <c r="W163" s="92" t="e">
        <f>GN_262[[#This Row],[Dimes]]/GN_262[[#This Row],[Turnovers]]</f>
        <v>#DIV/0!</v>
      </c>
    </row>
    <row r="164" spans="1:23" hidden="1" x14ac:dyDescent="0.2">
      <c r="A164" s="14"/>
      <c r="B164" s="90">
        <f>GN_262[[#This Row],[2PT FGM]]+GN_262[[#This Row],[3PT FGM]]</f>
        <v>0</v>
      </c>
      <c r="C164" s="90">
        <f>GN_262[[#This Row],[2PT FGA]]+GN_262[[#This Row],[3PT FGA]]</f>
        <v>0</v>
      </c>
      <c r="D164" s="91" t="e">
        <f>GN_262[[#This Row],[Total FGM]]/GN_262[[#This Row],[Total FGA]]</f>
        <v>#DIV/0!</v>
      </c>
      <c r="E164" s="98"/>
      <c r="F164" s="19"/>
      <c r="G164" s="91" t="e">
        <f>GN_262[[#This Row],[2PT FGM]]/GN_262[[#This Row],[2PT FGA]]</f>
        <v>#DIV/0!</v>
      </c>
      <c r="H164" s="19"/>
      <c r="I164" s="19"/>
      <c r="J164" s="91" t="e">
        <f>GN_262[[#This Row],[3PT FGM]]/GN_262[[#This Row],[3PT FGA]]</f>
        <v>#DIV/0!</v>
      </c>
      <c r="K164" s="19"/>
      <c r="L164" s="19"/>
      <c r="M164" s="99" t="e">
        <f>GN_262[[#This Row],[FTM]]/GN_262[[#This Row],[FTA]]</f>
        <v>#DIV/0!</v>
      </c>
      <c r="N164" s="19">
        <f>SUM(GN_262[[#This Row],[2PT FGM]]*2,GN_262[[#This Row],[3PT FGM]]*3,GN_262[[#This Row],[FTM]])</f>
        <v>0</v>
      </c>
      <c r="O164" s="19"/>
      <c r="P164" s="19"/>
      <c r="Q164" s="19"/>
      <c r="R164" s="19">
        <f>GN_262[[#This Row],[Def. Boards]]+GN_262[[#This Row],[Off. Boards]]</f>
        <v>0</v>
      </c>
      <c r="S164" s="19"/>
      <c r="T164" s="19"/>
      <c r="U164" s="19"/>
      <c r="V164" s="19"/>
      <c r="W164" s="92" t="e">
        <f>GN_262[[#This Row],[Dimes]]/GN_262[[#This Row],[Turnovers]]</f>
        <v>#DIV/0!</v>
      </c>
    </row>
    <row r="165" spans="1:23" hidden="1" x14ac:dyDescent="0.2">
      <c r="A165" s="13"/>
      <c r="B165" s="90">
        <f>GN_262[[#This Row],[2PT FGM]]+GN_262[[#This Row],[3PT FGM]]</f>
        <v>0</v>
      </c>
      <c r="C165" s="90">
        <f>GN_262[[#This Row],[2PT FGA]]+GN_262[[#This Row],[3PT FGA]]</f>
        <v>0</v>
      </c>
      <c r="D165" s="91" t="e">
        <f>GN_262[[#This Row],[Total FGM]]/GN_262[[#This Row],[Total FGA]]</f>
        <v>#DIV/0!</v>
      </c>
      <c r="E165" s="98"/>
      <c r="F165" s="19"/>
      <c r="G165" s="91" t="e">
        <f>GN_262[[#This Row],[2PT FGM]]/GN_262[[#This Row],[2PT FGA]]</f>
        <v>#DIV/0!</v>
      </c>
      <c r="H165" s="19"/>
      <c r="I165" s="19"/>
      <c r="J165" s="91" t="e">
        <f>GN_262[[#This Row],[3PT FGM]]/GN_262[[#This Row],[3PT FGA]]</f>
        <v>#DIV/0!</v>
      </c>
      <c r="K165" s="19"/>
      <c r="L165" s="19"/>
      <c r="M165" s="99" t="e">
        <f>GN_262[[#This Row],[FTM]]/GN_262[[#This Row],[FTA]]</f>
        <v>#DIV/0!</v>
      </c>
      <c r="N165" s="19">
        <f>SUM(GN_262[[#This Row],[2PT FGM]]*2,GN_262[[#This Row],[3PT FGM]]*3,GN_262[[#This Row],[FTM]])</f>
        <v>0</v>
      </c>
      <c r="O165" s="19"/>
      <c r="P165" s="19"/>
      <c r="Q165" s="19"/>
      <c r="R165" s="19">
        <f>GN_262[[#This Row],[Def. Boards]]+GN_262[[#This Row],[Off. Boards]]</f>
        <v>0</v>
      </c>
      <c r="S165" s="19"/>
      <c r="T165" s="19"/>
      <c r="U165" s="19"/>
      <c r="V165" s="19"/>
      <c r="W165" s="92" t="e">
        <f>GN_262[[#This Row],[Dimes]]/GN_262[[#This Row],[Turnovers]]</f>
        <v>#DIV/0!</v>
      </c>
    </row>
    <row r="166" spans="1:23" hidden="1" x14ac:dyDescent="0.2">
      <c r="A166" s="13"/>
      <c r="B166" s="90">
        <f>GN_262[[#This Row],[2PT FGM]]+GN_262[[#This Row],[3PT FGM]]</f>
        <v>0</v>
      </c>
      <c r="C166" s="90">
        <f>GN_262[[#This Row],[2PT FGA]]+GN_262[[#This Row],[3PT FGA]]</f>
        <v>0</v>
      </c>
      <c r="D166" s="91" t="e">
        <f>GN_262[[#This Row],[Total FGM]]/GN_262[[#This Row],[Total FGA]]</f>
        <v>#DIV/0!</v>
      </c>
      <c r="E166" s="98"/>
      <c r="F166" s="19"/>
      <c r="G166" s="91" t="e">
        <f>GN_262[[#This Row],[2PT FGM]]/GN_262[[#This Row],[2PT FGA]]</f>
        <v>#DIV/0!</v>
      </c>
      <c r="H166" s="19"/>
      <c r="I166" s="19"/>
      <c r="J166" s="91" t="e">
        <f>GN_262[[#This Row],[3PT FGM]]/GN_262[[#This Row],[3PT FGA]]</f>
        <v>#DIV/0!</v>
      </c>
      <c r="K166" s="19"/>
      <c r="L166" s="19"/>
      <c r="M166" s="99" t="e">
        <f>GN_262[[#This Row],[FTM]]/GN_262[[#This Row],[FTA]]</f>
        <v>#DIV/0!</v>
      </c>
      <c r="N166" s="19">
        <f>SUM(GN_262[[#This Row],[2PT FGM]]*2,GN_262[[#This Row],[3PT FGM]]*3,GN_262[[#This Row],[FTM]])</f>
        <v>0</v>
      </c>
      <c r="O166" s="19"/>
      <c r="P166" s="19"/>
      <c r="Q166" s="19"/>
      <c r="R166" s="19">
        <f>GN_262[[#This Row],[Def. Boards]]+GN_262[[#This Row],[Off. Boards]]</f>
        <v>0</v>
      </c>
      <c r="S166" s="19"/>
      <c r="T166" s="19"/>
      <c r="U166" s="19"/>
      <c r="V166" s="19"/>
      <c r="W166" s="92" t="e">
        <f>GN_262[[#This Row],[Dimes]]/GN_262[[#This Row],[Turnovers]]</f>
        <v>#DIV/0!</v>
      </c>
    </row>
    <row r="167" spans="1:23" hidden="1" x14ac:dyDescent="0.2">
      <c r="A167" s="93"/>
      <c r="B167" s="90"/>
      <c r="C167" s="90"/>
      <c r="D167" s="91"/>
      <c r="E167" s="98"/>
      <c r="F167" s="19"/>
      <c r="G167" s="91"/>
      <c r="H167" s="19"/>
      <c r="I167" s="19"/>
      <c r="J167" s="91"/>
      <c r="K167" s="19"/>
      <c r="L167" s="19"/>
      <c r="M167" s="99"/>
      <c r="N167" s="19"/>
      <c r="O167" s="19"/>
      <c r="P167" s="19"/>
      <c r="Q167" s="19"/>
      <c r="R167" s="19"/>
      <c r="S167" s="19"/>
      <c r="T167" s="19"/>
      <c r="U167" s="19"/>
      <c r="V167" s="19"/>
      <c r="W167" s="92" t="e">
        <f>GN_262[[#This Row],[Dimes]]/GN_262[[#This Row],[Turnovers]]</f>
        <v>#DIV/0!</v>
      </c>
    </row>
    <row r="168" spans="1:23" ht="16" hidden="1" thickBot="1" x14ac:dyDescent="0.25">
      <c r="A168" s="82" t="s">
        <v>76</v>
      </c>
      <c r="B168" s="100">
        <f>SUM(B163:B167)</f>
        <v>0</v>
      </c>
      <c r="C168" s="100">
        <f>SUM(C163:C167)</f>
        <v>0</v>
      </c>
      <c r="D168" s="101" t="e">
        <f>GN_262[[#This Row],[Total FGM]]/GN_262[[#This Row],[Total FGA]]</f>
        <v>#DIV/0!</v>
      </c>
      <c r="E168" s="102">
        <f>SUM(E163:E167)</f>
        <v>0</v>
      </c>
      <c r="F168" s="103">
        <f>SUM(F163:F167)</f>
        <v>0</v>
      </c>
      <c r="G168" s="104" t="e">
        <f>GN_262[[#This Row],[2PT FGM]]/GN_262[[#This Row],[2PT FGA]]</f>
        <v>#DIV/0!</v>
      </c>
      <c r="H168" s="103">
        <f>SUM(H163:H167)</f>
        <v>0</v>
      </c>
      <c r="I168" s="103">
        <f>SUM(I163:I167)</f>
        <v>0</v>
      </c>
      <c r="J168" s="109" t="e">
        <f>GN_262[[#This Row],[3PT FGM]]/GN_262[[#This Row],[3PT FGA]]</f>
        <v>#DIV/0!</v>
      </c>
      <c r="K168" s="103">
        <f>SUM(K163:K167)</f>
        <v>0</v>
      </c>
      <c r="L168" s="103">
        <f>SUM(L163:L167)</f>
        <v>0</v>
      </c>
      <c r="M168" s="105" t="e">
        <f>GN_262[[#This Row],[FTM]]/GN_262[[#This Row],[FTA]]</f>
        <v>#DIV/0!</v>
      </c>
      <c r="N168" s="62">
        <f>SUM(GN_262[[#This Row],[2PT FGM]]*2,GN_262[[#This Row],[3PT FGM]]*3,GN_262[[#This Row],[FTM]])</f>
        <v>0</v>
      </c>
      <c r="O168" s="100">
        <f>SUM(O163:O167)</f>
        <v>0</v>
      </c>
      <c r="P168" s="100">
        <f>SUM(P163:P167)</f>
        <v>0</v>
      </c>
      <c r="Q168" s="100">
        <f>SUM(Q163:Q167)</f>
        <v>0</v>
      </c>
      <c r="R168" s="106">
        <f>GN_262[[#This Row],[Def. Boards]]+GN_262[[#This Row],[Off. Boards]]</f>
        <v>0</v>
      </c>
      <c r="S168" s="100">
        <f>SUM(S163:S167)</f>
        <v>0</v>
      </c>
      <c r="T168" s="100">
        <f>SUM(T163:T167)</f>
        <v>0</v>
      </c>
      <c r="U168" s="100">
        <f>SUM(U163:U167)</f>
        <v>0</v>
      </c>
      <c r="V168" s="100">
        <f>SUM(V163:V167)</f>
        <v>0</v>
      </c>
      <c r="W168" s="107" t="e">
        <f>GN_262[[#This Row],[Dimes]]/GN_262[[#This Row],[Turnovers]]</f>
        <v>#DIV/0!</v>
      </c>
    </row>
    <row r="169" spans="1:23" hidden="1" x14ac:dyDescent="0.2"/>
    <row r="170" spans="1:23" hidden="1" x14ac:dyDescent="0.2">
      <c r="C170" s="86" t="s">
        <v>68</v>
      </c>
      <c r="D170" s="86" t="s">
        <v>134</v>
      </c>
      <c r="E170" s="86" t="s">
        <v>74</v>
      </c>
    </row>
    <row r="171" spans="1:23" ht="24" hidden="1" x14ac:dyDescent="0.2">
      <c r="A171" s="84" t="s">
        <v>66</v>
      </c>
      <c r="B171" s="85">
        <v>9</v>
      </c>
      <c r="C171" s="84"/>
      <c r="D171" s="85" t="s">
        <v>137</v>
      </c>
      <c r="E171" s="85"/>
      <c r="H171" s="23"/>
    </row>
    <row r="172" spans="1:23" ht="24" hidden="1" x14ac:dyDescent="0.2">
      <c r="A172" s="84"/>
      <c r="B172" s="85" t="s">
        <v>151</v>
      </c>
      <c r="C172" s="85">
        <f>N180</f>
        <v>0</v>
      </c>
      <c r="D172" s="85"/>
      <c r="E172" s="85">
        <f>N189</f>
        <v>0</v>
      </c>
      <c r="H172" s="23"/>
    </row>
    <row r="173" spans="1:23" ht="16" hidden="1" thickBot="1" x14ac:dyDescent="0.25">
      <c r="A173" s="59" t="s">
        <v>68</v>
      </c>
    </row>
    <row r="174" spans="1:23" ht="16" hidden="1" x14ac:dyDescent="0.2">
      <c r="A174" s="89" t="s">
        <v>169</v>
      </c>
      <c r="B174" s="11" t="s">
        <v>0</v>
      </c>
      <c r="C174" s="11" t="s">
        <v>1</v>
      </c>
      <c r="D174" s="11" t="s">
        <v>2</v>
      </c>
      <c r="E174" s="95" t="s">
        <v>3</v>
      </c>
      <c r="F174" s="96" t="s">
        <v>4</v>
      </c>
      <c r="G174" s="96" t="s">
        <v>5</v>
      </c>
      <c r="H174" s="96" t="s">
        <v>6</v>
      </c>
      <c r="I174" s="96" t="s">
        <v>7</v>
      </c>
      <c r="J174" s="96" t="s">
        <v>8</v>
      </c>
      <c r="K174" s="96" t="s">
        <v>9</v>
      </c>
      <c r="L174" s="96" t="s">
        <v>10</v>
      </c>
      <c r="M174" s="97" t="s">
        <v>11</v>
      </c>
      <c r="N174" s="11" t="s">
        <v>12</v>
      </c>
      <c r="O174" s="10" t="s">
        <v>13</v>
      </c>
      <c r="P174" s="11" t="s">
        <v>14</v>
      </c>
      <c r="Q174" s="11" t="s">
        <v>15</v>
      </c>
      <c r="R174" s="11" t="s">
        <v>16</v>
      </c>
      <c r="S174" s="10" t="s">
        <v>17</v>
      </c>
      <c r="T174" s="10" t="s">
        <v>18</v>
      </c>
      <c r="U174" s="10" t="s">
        <v>19</v>
      </c>
      <c r="V174" s="10" t="s">
        <v>20</v>
      </c>
      <c r="W174" s="10" t="s">
        <v>21</v>
      </c>
    </row>
    <row r="175" spans="1:23" hidden="1" x14ac:dyDescent="0.2">
      <c r="A175" s="13"/>
      <c r="B175" s="90">
        <f>LITI_269[[#This Row],[2PT FGM]]+LITI_269[[#This Row],[3PT FGM]]</f>
        <v>0</v>
      </c>
      <c r="C175" s="90">
        <f>LITI_269[[#This Row],[2PT FGA]]+LITI_269[[#This Row],[3PT FGA]]</f>
        <v>0</v>
      </c>
      <c r="D175" s="91" t="e">
        <f>LITI_269[[#This Row],[Total FGM]]/LITI_269[[#This Row],[Total FGA]]</f>
        <v>#DIV/0!</v>
      </c>
      <c r="E175" s="98"/>
      <c r="F175" s="19"/>
      <c r="G175" s="91" t="e">
        <f>LITI_269[[#This Row],[2PT FGM]]/LITI_269[[#This Row],[2PT FGA]]</f>
        <v>#DIV/0!</v>
      </c>
      <c r="H175" s="19"/>
      <c r="I175" s="19"/>
      <c r="J175" s="91" t="e">
        <f>LITI_269[[#This Row],[3PT FGM]]/LITI_269[[#This Row],[3PT FGA]]</f>
        <v>#DIV/0!</v>
      </c>
      <c r="K175" s="19"/>
      <c r="L175" s="19"/>
      <c r="M175" s="99" t="e">
        <f>LITI_269[[#This Row],[FTM]]/LITI_269[[#This Row],[FTA]]</f>
        <v>#DIV/0!</v>
      </c>
      <c r="N175" s="19">
        <f>SUM(LITI_269[[#This Row],[2PT FGM]]*2,LITI_269[[#This Row],[3PT FGM]]*3,LITI_269[[#This Row],[FTM]])</f>
        <v>0</v>
      </c>
      <c r="O175" s="19"/>
      <c r="P175" s="19"/>
      <c r="Q175" s="19"/>
      <c r="R175" s="19">
        <f>LITI_269[[#This Row],[Def. Boards]]+LITI_269[[#This Row],[Off. Boards]]</f>
        <v>0</v>
      </c>
      <c r="S175" s="19"/>
      <c r="T175" s="19"/>
      <c r="U175" s="19"/>
      <c r="V175" s="19"/>
      <c r="W175" s="92" t="e">
        <f>LITI_269[[#This Row],[Dimes]]/LITI_269[[#This Row],[Turnovers]]</f>
        <v>#DIV/0!</v>
      </c>
    </row>
    <row r="176" spans="1:23" hidden="1" x14ac:dyDescent="0.2">
      <c r="A176" s="13"/>
      <c r="B176" s="90">
        <f>LITI_269[[#This Row],[2PT FGM]]+LITI_269[[#This Row],[3PT FGM]]</f>
        <v>0</v>
      </c>
      <c r="C176" s="90">
        <f>LITI_269[[#This Row],[2PT FGA]]+LITI_269[[#This Row],[3PT FGA]]</f>
        <v>0</v>
      </c>
      <c r="D176" s="91" t="e">
        <f>LITI_269[[#This Row],[Total FGM]]/LITI_269[[#This Row],[Total FGA]]</f>
        <v>#DIV/0!</v>
      </c>
      <c r="E176" s="98"/>
      <c r="F176" s="19"/>
      <c r="G176" s="91" t="e">
        <f>LITI_269[[#This Row],[2PT FGM]]/LITI_269[[#This Row],[2PT FGA]]</f>
        <v>#DIV/0!</v>
      </c>
      <c r="H176" s="19"/>
      <c r="I176" s="19"/>
      <c r="J176" s="91" t="e">
        <f>LITI_269[[#This Row],[3PT FGM]]/LITI_269[[#This Row],[3PT FGA]]</f>
        <v>#DIV/0!</v>
      </c>
      <c r="K176" s="19"/>
      <c r="L176" s="19"/>
      <c r="M176" s="99" t="e">
        <f>LITI_269[[#This Row],[FTM]]/LITI_269[[#This Row],[FTA]]</f>
        <v>#DIV/0!</v>
      </c>
      <c r="N176" s="19">
        <f>SUM(LITI_269[[#This Row],[2PT FGM]]*2,LITI_269[[#This Row],[3PT FGM]]*3,LITI_269[[#This Row],[FTM]])</f>
        <v>0</v>
      </c>
      <c r="O176" s="19"/>
      <c r="P176" s="19"/>
      <c r="Q176" s="19"/>
      <c r="R176" s="19">
        <f>LITI_269[[#This Row],[Def. Boards]]+LITI_269[[#This Row],[Off. Boards]]</f>
        <v>0</v>
      </c>
      <c r="S176" s="19"/>
      <c r="T176" s="19"/>
      <c r="U176" s="19"/>
      <c r="V176" s="19"/>
      <c r="W176" s="92" t="e">
        <f>LITI_269[[#This Row],[Dimes]]/LITI_269[[#This Row],[Turnovers]]</f>
        <v>#DIV/0!</v>
      </c>
    </row>
    <row r="177" spans="1:23" hidden="1" x14ac:dyDescent="0.2">
      <c r="A177" s="13"/>
      <c r="B177" s="90">
        <f>LITI_269[[#This Row],[2PT FGM]]+LITI_269[[#This Row],[3PT FGM]]</f>
        <v>0</v>
      </c>
      <c r="C177" s="90">
        <f>LITI_269[[#This Row],[2PT FGA]]+LITI_269[[#This Row],[3PT FGA]]</f>
        <v>0</v>
      </c>
      <c r="D177" s="91" t="e">
        <f>LITI_269[[#This Row],[Total FGM]]/LITI_269[[#This Row],[Total FGA]]</f>
        <v>#DIV/0!</v>
      </c>
      <c r="E177" s="98"/>
      <c r="F177" s="19"/>
      <c r="G177" s="91" t="e">
        <f>LITI_269[[#This Row],[2PT FGM]]/LITI_269[[#This Row],[2PT FGA]]</f>
        <v>#DIV/0!</v>
      </c>
      <c r="H177" s="19"/>
      <c r="I177" s="19"/>
      <c r="J177" s="91" t="e">
        <f>LITI_269[[#This Row],[3PT FGM]]/LITI_269[[#This Row],[3PT FGA]]</f>
        <v>#DIV/0!</v>
      </c>
      <c r="K177" s="19"/>
      <c r="L177" s="19"/>
      <c r="M177" s="99" t="e">
        <f>LITI_269[[#This Row],[FTM]]/LITI_269[[#This Row],[FTA]]</f>
        <v>#DIV/0!</v>
      </c>
      <c r="N177" s="19">
        <f>SUM(LITI_269[[#This Row],[2PT FGM]]*2,LITI_269[[#This Row],[3PT FGM]]*3,LITI_269[[#This Row],[FTM]])</f>
        <v>0</v>
      </c>
      <c r="O177" s="19"/>
      <c r="P177" s="19"/>
      <c r="Q177" s="19"/>
      <c r="R177" s="19">
        <f>LITI_269[[#This Row],[Def. Boards]]+LITI_269[[#This Row],[Off. Boards]]</f>
        <v>0</v>
      </c>
      <c r="S177" s="19"/>
      <c r="T177" s="19"/>
      <c r="U177" s="19"/>
      <c r="V177" s="19"/>
      <c r="W177" s="92" t="e">
        <f>LITI_269[[#This Row],[Dimes]]/LITI_269[[#This Row],[Turnovers]]</f>
        <v>#DIV/0!</v>
      </c>
    </row>
    <row r="178" spans="1:23" hidden="1" x14ac:dyDescent="0.2">
      <c r="A178" s="13"/>
      <c r="B178" s="90">
        <f>LITI_269[[#This Row],[2PT FGM]]+LITI_269[[#This Row],[3PT FGM]]</f>
        <v>0</v>
      </c>
      <c r="C178" s="90">
        <f>LITI_269[[#This Row],[2PT FGA]]+LITI_269[[#This Row],[3PT FGA]]</f>
        <v>0</v>
      </c>
      <c r="D178" s="91" t="e">
        <f>LITI_269[[#This Row],[Total FGM]]/LITI_269[[#This Row],[Total FGA]]</f>
        <v>#DIV/0!</v>
      </c>
      <c r="E178" s="98"/>
      <c r="F178" s="19"/>
      <c r="G178" s="91" t="e">
        <f>LITI_269[[#This Row],[2PT FGM]]/LITI_269[[#This Row],[2PT FGA]]</f>
        <v>#DIV/0!</v>
      </c>
      <c r="H178" s="19"/>
      <c r="I178" s="19"/>
      <c r="J178" s="91" t="e">
        <f>LITI_269[[#This Row],[3PT FGM]]/LITI_269[[#This Row],[3PT FGA]]</f>
        <v>#DIV/0!</v>
      </c>
      <c r="K178" s="19"/>
      <c r="L178" s="19"/>
      <c r="M178" s="99" t="e">
        <f>LITI_269[[#This Row],[FTM]]/LITI_269[[#This Row],[FTA]]</f>
        <v>#DIV/0!</v>
      </c>
      <c r="N178" s="19">
        <f>SUM(LITI_269[[#This Row],[2PT FGM]]*2,LITI_269[[#This Row],[3PT FGM]]*3,LITI_269[[#This Row],[FTM]])</f>
        <v>0</v>
      </c>
      <c r="O178" s="19"/>
      <c r="P178" s="19"/>
      <c r="Q178" s="19"/>
      <c r="R178" s="19">
        <f>LITI_269[[#This Row],[Def. Boards]]+LITI_269[[#This Row],[Off. Boards]]</f>
        <v>0</v>
      </c>
      <c r="S178" s="19"/>
      <c r="T178" s="19"/>
      <c r="U178" s="19"/>
      <c r="V178" s="19"/>
      <c r="W178" s="92" t="e">
        <f>LITI_269[[#This Row],[Dimes]]/LITI_269[[#This Row],[Turnovers]]</f>
        <v>#DIV/0!</v>
      </c>
    </row>
    <row r="179" spans="1:23" hidden="1" x14ac:dyDescent="0.2">
      <c r="A179" s="13"/>
      <c r="B179" s="90"/>
      <c r="C179" s="90"/>
      <c r="D179" s="91"/>
      <c r="E179" s="98"/>
      <c r="F179" s="19"/>
      <c r="G179" s="91"/>
      <c r="H179" s="19"/>
      <c r="I179" s="19"/>
      <c r="J179" s="91"/>
      <c r="K179" s="19"/>
      <c r="L179" s="19"/>
      <c r="M179" s="99"/>
      <c r="N179" s="19"/>
      <c r="O179" s="19"/>
      <c r="P179" s="19"/>
      <c r="Q179" s="19"/>
      <c r="R179" s="19"/>
      <c r="S179" s="19"/>
      <c r="T179" s="19"/>
      <c r="U179" s="19"/>
      <c r="V179" s="19"/>
      <c r="W179" s="92"/>
    </row>
    <row r="180" spans="1:23" ht="16" hidden="1" thickBot="1" x14ac:dyDescent="0.25">
      <c r="A180" s="82" t="s">
        <v>76</v>
      </c>
      <c r="B180" s="100">
        <f>SUM(B175:B179)</f>
        <v>0</v>
      </c>
      <c r="C180" s="100">
        <f>SUM(C175:C179)</f>
        <v>0</v>
      </c>
      <c r="D180" s="101" t="e">
        <f>LITI_269[[#This Row],[Total FGM]]/LITI_269[[#This Row],[Total FGA]]</f>
        <v>#DIV/0!</v>
      </c>
      <c r="E180" s="102">
        <f>SUM(E175:E179)</f>
        <v>0</v>
      </c>
      <c r="F180" s="103">
        <f>SUM(F175:F179)</f>
        <v>0</v>
      </c>
      <c r="G180" s="108" t="e">
        <f>LITI_269[[#This Row],[2PT FGM]]/LITI_269[[#This Row],[2PT FGA]]</f>
        <v>#DIV/0!</v>
      </c>
      <c r="H180" s="103">
        <f>SUM(H175:H179)</f>
        <v>0</v>
      </c>
      <c r="I180" s="103">
        <f>SUM(I175:I179)</f>
        <v>0</v>
      </c>
      <c r="J180" s="104" t="e">
        <f>LITI_269[[#This Row],[3PT FGM]]/LITI_269[[#This Row],[3PT FGA]]</f>
        <v>#DIV/0!</v>
      </c>
      <c r="K180" s="103">
        <f>SUM(K175:K179)</f>
        <v>0</v>
      </c>
      <c r="L180" s="103">
        <f>SUM(L175:L179)</f>
        <v>0</v>
      </c>
      <c r="M180" s="105" t="e">
        <f>LITI_269[[#This Row],[FTM]]/LITI_269[[#This Row],[FTA]]</f>
        <v>#DIV/0!</v>
      </c>
      <c r="N180" s="62">
        <f>SUM(LITI_269[[#This Row],[2PT FGM]]*2,LITI_269[[#This Row],[3PT FGM]]*3,LITI_269[[#This Row],[FTM]])</f>
        <v>0</v>
      </c>
      <c r="O180" s="106">
        <f>SUM(O175:O179)</f>
        <v>0</v>
      </c>
      <c r="P180" s="106">
        <f t="shared" ref="P180:V180" si="14">SUM(P175:P179)</f>
        <v>0</v>
      </c>
      <c r="Q180" s="106">
        <f t="shared" si="14"/>
        <v>0</v>
      </c>
      <c r="R180" s="106">
        <f t="shared" si="14"/>
        <v>0</v>
      </c>
      <c r="S180" s="106">
        <f t="shared" si="14"/>
        <v>0</v>
      </c>
      <c r="T180" s="106">
        <f t="shared" si="14"/>
        <v>0</v>
      </c>
      <c r="U180" s="106">
        <f t="shared" si="14"/>
        <v>0</v>
      </c>
      <c r="V180" s="106">
        <f t="shared" si="14"/>
        <v>0</v>
      </c>
      <c r="W180" s="107" t="e">
        <f>LITI_269[[#This Row],[Dimes]]/LITI_269[[#This Row],[Turnovers]]</f>
        <v>#DIV/0!</v>
      </c>
    </row>
    <row r="181" spans="1:23" hidden="1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</row>
    <row r="182" spans="1:23" ht="16" hidden="1" thickBot="1" x14ac:dyDescent="0.25">
      <c r="A182" s="94" t="s">
        <v>74</v>
      </c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</row>
    <row r="183" spans="1:23" ht="16" hidden="1" x14ac:dyDescent="0.2">
      <c r="A183" s="89" t="s">
        <v>169</v>
      </c>
      <c r="B183" s="11" t="s">
        <v>0</v>
      </c>
      <c r="C183" s="11" t="s">
        <v>1</v>
      </c>
      <c r="D183" s="11" t="s">
        <v>2</v>
      </c>
      <c r="E183" s="95" t="s">
        <v>3</v>
      </c>
      <c r="F183" s="96" t="s">
        <v>4</v>
      </c>
      <c r="G183" s="96" t="s">
        <v>5</v>
      </c>
      <c r="H183" s="96" t="s">
        <v>6</v>
      </c>
      <c r="I183" s="96" t="s">
        <v>7</v>
      </c>
      <c r="J183" s="96" t="s">
        <v>8</v>
      </c>
      <c r="K183" s="96" t="s">
        <v>9</v>
      </c>
      <c r="L183" s="96" t="s">
        <v>10</v>
      </c>
      <c r="M183" s="97" t="s">
        <v>11</v>
      </c>
      <c r="N183" s="11" t="s">
        <v>12</v>
      </c>
      <c r="O183" s="10" t="s">
        <v>13</v>
      </c>
      <c r="P183" s="11" t="s">
        <v>14</v>
      </c>
      <c r="Q183" s="11" t="s">
        <v>15</v>
      </c>
      <c r="R183" s="11" t="s">
        <v>16</v>
      </c>
      <c r="S183" s="10" t="s">
        <v>17</v>
      </c>
      <c r="T183" s="10" t="s">
        <v>18</v>
      </c>
      <c r="U183" s="10" t="s">
        <v>19</v>
      </c>
      <c r="V183" s="10" t="s">
        <v>20</v>
      </c>
      <c r="W183" s="10" t="s">
        <v>21</v>
      </c>
    </row>
    <row r="184" spans="1:23" hidden="1" x14ac:dyDescent="0.2">
      <c r="A184" s="13"/>
      <c r="B184" s="90">
        <f>GN_263[[#This Row],[2PT FGM]]+GN_263[[#This Row],[3PT FGM]]</f>
        <v>0</v>
      </c>
      <c r="C184" s="90">
        <f>GN_263[[#This Row],[2PT FGA]]+GN_263[[#This Row],[3PT FGA]]</f>
        <v>0</v>
      </c>
      <c r="D184" s="91" t="e">
        <f>GN_263[[#This Row],[Total FGM]]/GN_263[[#This Row],[Total FGA]]</f>
        <v>#DIV/0!</v>
      </c>
      <c r="E184" s="98"/>
      <c r="F184" s="19"/>
      <c r="G184" s="91" t="e">
        <f>GN_263[[#This Row],[2PT FGM]]/GN_263[[#This Row],[2PT FGA]]</f>
        <v>#DIV/0!</v>
      </c>
      <c r="H184" s="19"/>
      <c r="I184" s="19"/>
      <c r="J184" s="91" t="e">
        <f>GN_263[[#This Row],[3PT FGM]]/GN_263[[#This Row],[3PT FGA]]</f>
        <v>#DIV/0!</v>
      </c>
      <c r="K184" s="19"/>
      <c r="L184" s="19"/>
      <c r="M184" s="99" t="e">
        <f>GN_263[[#This Row],[FTM]]/GN_263[[#This Row],[FTA]]</f>
        <v>#DIV/0!</v>
      </c>
      <c r="N184" s="19">
        <f>SUM(GN_263[[#This Row],[2PT FGM]]*2,GN_263[[#This Row],[3PT FGM]]*3,GN_263[[#This Row],[FTM]])</f>
        <v>0</v>
      </c>
      <c r="O184" s="19"/>
      <c r="P184" s="19"/>
      <c r="Q184" s="19"/>
      <c r="R184" s="19">
        <f>GN_263[[#This Row],[Def. Boards]]+GN_263[[#This Row],[Off. Boards]]</f>
        <v>0</v>
      </c>
      <c r="S184" s="19"/>
      <c r="T184" s="19"/>
      <c r="U184" s="19"/>
      <c r="V184" s="19"/>
      <c r="W184" s="92" t="e">
        <f>GN_263[[#This Row],[Dimes]]/GN_263[[#This Row],[Turnovers]]</f>
        <v>#DIV/0!</v>
      </c>
    </row>
    <row r="185" spans="1:23" hidden="1" x14ac:dyDescent="0.2">
      <c r="A185" s="14"/>
      <c r="B185" s="90">
        <f>GN_263[[#This Row],[2PT FGM]]+GN_263[[#This Row],[3PT FGM]]</f>
        <v>0</v>
      </c>
      <c r="C185" s="90">
        <f>GN_263[[#This Row],[2PT FGA]]+GN_263[[#This Row],[3PT FGA]]</f>
        <v>0</v>
      </c>
      <c r="D185" s="91" t="e">
        <f>GN_263[[#This Row],[Total FGM]]/GN_263[[#This Row],[Total FGA]]</f>
        <v>#DIV/0!</v>
      </c>
      <c r="E185" s="98"/>
      <c r="F185" s="19"/>
      <c r="G185" s="91" t="e">
        <f>GN_263[[#This Row],[2PT FGM]]/GN_263[[#This Row],[2PT FGA]]</f>
        <v>#DIV/0!</v>
      </c>
      <c r="H185" s="19"/>
      <c r="I185" s="19"/>
      <c r="J185" s="91" t="e">
        <f>GN_263[[#This Row],[3PT FGM]]/GN_263[[#This Row],[3PT FGA]]</f>
        <v>#DIV/0!</v>
      </c>
      <c r="K185" s="19"/>
      <c r="L185" s="19"/>
      <c r="M185" s="99" t="e">
        <f>GN_263[[#This Row],[FTM]]/GN_263[[#This Row],[FTA]]</f>
        <v>#DIV/0!</v>
      </c>
      <c r="N185" s="19">
        <f>SUM(GN_263[[#This Row],[2PT FGM]]*2,GN_263[[#This Row],[3PT FGM]]*3,GN_263[[#This Row],[FTM]])</f>
        <v>0</v>
      </c>
      <c r="O185" s="19"/>
      <c r="P185" s="19"/>
      <c r="Q185" s="19"/>
      <c r="R185" s="19">
        <f>GN_263[[#This Row],[Def. Boards]]+GN_263[[#This Row],[Off. Boards]]</f>
        <v>0</v>
      </c>
      <c r="S185" s="19"/>
      <c r="T185" s="19"/>
      <c r="U185" s="19"/>
      <c r="V185" s="19"/>
      <c r="W185" s="92" t="e">
        <f>GN_263[[#This Row],[Dimes]]/GN_263[[#This Row],[Turnovers]]</f>
        <v>#DIV/0!</v>
      </c>
    </row>
    <row r="186" spans="1:23" hidden="1" x14ac:dyDescent="0.2">
      <c r="A186" s="13"/>
      <c r="B186" s="90">
        <f>GN_263[[#This Row],[2PT FGM]]+GN_263[[#This Row],[3PT FGM]]</f>
        <v>0</v>
      </c>
      <c r="C186" s="90">
        <f>GN_263[[#This Row],[2PT FGA]]+GN_263[[#This Row],[3PT FGA]]</f>
        <v>0</v>
      </c>
      <c r="D186" s="91" t="e">
        <f>GN_263[[#This Row],[Total FGM]]/GN_263[[#This Row],[Total FGA]]</f>
        <v>#DIV/0!</v>
      </c>
      <c r="E186" s="98"/>
      <c r="F186" s="19"/>
      <c r="G186" s="91" t="e">
        <f>GN_263[[#This Row],[2PT FGM]]/GN_263[[#This Row],[2PT FGA]]</f>
        <v>#DIV/0!</v>
      </c>
      <c r="H186" s="19"/>
      <c r="I186" s="19"/>
      <c r="J186" s="91" t="e">
        <f>GN_263[[#This Row],[3PT FGM]]/GN_263[[#This Row],[3PT FGA]]</f>
        <v>#DIV/0!</v>
      </c>
      <c r="K186" s="19"/>
      <c r="L186" s="19"/>
      <c r="M186" s="99" t="e">
        <f>GN_263[[#This Row],[FTM]]/GN_263[[#This Row],[FTA]]</f>
        <v>#DIV/0!</v>
      </c>
      <c r="N186" s="19">
        <f>SUM(GN_263[[#This Row],[2PT FGM]]*2,GN_263[[#This Row],[3PT FGM]]*3,GN_263[[#This Row],[FTM]])</f>
        <v>0</v>
      </c>
      <c r="O186" s="19"/>
      <c r="P186" s="19"/>
      <c r="Q186" s="19"/>
      <c r="R186" s="19">
        <f>GN_263[[#This Row],[Def. Boards]]+GN_263[[#This Row],[Off. Boards]]</f>
        <v>0</v>
      </c>
      <c r="S186" s="19"/>
      <c r="T186" s="19"/>
      <c r="U186" s="19"/>
      <c r="V186" s="19"/>
      <c r="W186" s="92" t="e">
        <f>GN_263[[#This Row],[Dimes]]/GN_263[[#This Row],[Turnovers]]</f>
        <v>#DIV/0!</v>
      </c>
    </row>
    <row r="187" spans="1:23" hidden="1" x14ac:dyDescent="0.2">
      <c r="A187" s="13"/>
      <c r="B187" s="90">
        <f>GN_263[[#This Row],[2PT FGM]]+GN_263[[#This Row],[3PT FGM]]</f>
        <v>0</v>
      </c>
      <c r="C187" s="90">
        <f>GN_263[[#This Row],[2PT FGA]]+GN_263[[#This Row],[3PT FGA]]</f>
        <v>0</v>
      </c>
      <c r="D187" s="91" t="e">
        <f>GN_263[[#This Row],[Total FGM]]/GN_263[[#This Row],[Total FGA]]</f>
        <v>#DIV/0!</v>
      </c>
      <c r="E187" s="98"/>
      <c r="F187" s="19"/>
      <c r="G187" s="91" t="e">
        <f>GN_263[[#This Row],[2PT FGM]]/GN_263[[#This Row],[2PT FGA]]</f>
        <v>#DIV/0!</v>
      </c>
      <c r="H187" s="19"/>
      <c r="I187" s="19"/>
      <c r="J187" s="91" t="e">
        <f>GN_263[[#This Row],[3PT FGM]]/GN_263[[#This Row],[3PT FGA]]</f>
        <v>#DIV/0!</v>
      </c>
      <c r="K187" s="19"/>
      <c r="L187" s="19"/>
      <c r="M187" s="99" t="e">
        <f>GN_263[[#This Row],[FTM]]/GN_263[[#This Row],[FTA]]</f>
        <v>#DIV/0!</v>
      </c>
      <c r="N187" s="19">
        <f>SUM(GN_263[[#This Row],[2PT FGM]]*2,GN_263[[#This Row],[3PT FGM]]*3,GN_263[[#This Row],[FTM]])</f>
        <v>0</v>
      </c>
      <c r="O187" s="19"/>
      <c r="P187" s="19"/>
      <c r="Q187" s="19"/>
      <c r="R187" s="19">
        <f>GN_263[[#This Row],[Def. Boards]]+GN_263[[#This Row],[Off. Boards]]</f>
        <v>0</v>
      </c>
      <c r="S187" s="19"/>
      <c r="T187" s="19"/>
      <c r="U187" s="19"/>
      <c r="V187" s="19"/>
      <c r="W187" s="92" t="e">
        <f>GN_263[[#This Row],[Dimes]]/GN_263[[#This Row],[Turnovers]]</f>
        <v>#DIV/0!</v>
      </c>
    </row>
    <row r="188" spans="1:23" hidden="1" x14ac:dyDescent="0.2">
      <c r="A188" s="93"/>
      <c r="B188" s="90"/>
      <c r="C188" s="90"/>
      <c r="D188" s="91"/>
      <c r="E188" s="98"/>
      <c r="F188" s="19"/>
      <c r="G188" s="91"/>
      <c r="H188" s="19"/>
      <c r="I188" s="19"/>
      <c r="J188" s="91"/>
      <c r="K188" s="19"/>
      <c r="L188" s="19"/>
      <c r="M188" s="99"/>
      <c r="N188" s="19"/>
      <c r="O188" s="19"/>
      <c r="P188" s="19"/>
      <c r="Q188" s="19"/>
      <c r="R188" s="19"/>
      <c r="S188" s="19"/>
      <c r="T188" s="19"/>
      <c r="U188" s="19"/>
      <c r="V188" s="19"/>
      <c r="W188" s="92" t="e">
        <f>GN_263[[#This Row],[Dimes]]/GN_263[[#This Row],[Turnovers]]</f>
        <v>#DIV/0!</v>
      </c>
    </row>
    <row r="189" spans="1:23" ht="16" hidden="1" thickBot="1" x14ac:dyDescent="0.25">
      <c r="A189" s="82" t="s">
        <v>76</v>
      </c>
      <c r="B189" s="100">
        <f>SUM(B184:B188)</f>
        <v>0</v>
      </c>
      <c r="C189" s="100">
        <f>SUM(C184:C188)</f>
        <v>0</v>
      </c>
      <c r="D189" s="101" t="e">
        <f>GN_263[[#This Row],[Total FGM]]/GN_263[[#This Row],[Total FGA]]</f>
        <v>#DIV/0!</v>
      </c>
      <c r="E189" s="102">
        <f>SUM(E184:E188)</f>
        <v>0</v>
      </c>
      <c r="F189" s="103">
        <f>SUM(F184:F188)</f>
        <v>0</v>
      </c>
      <c r="G189" s="104" t="e">
        <f>GN_263[[#This Row],[2PT FGM]]/GN_263[[#This Row],[2PT FGA]]</f>
        <v>#DIV/0!</v>
      </c>
      <c r="H189" s="103">
        <f>SUM(H184:H188)</f>
        <v>0</v>
      </c>
      <c r="I189" s="103">
        <f>SUM(I184:I188)</f>
        <v>0</v>
      </c>
      <c r="J189" s="109" t="e">
        <f>GN_263[[#This Row],[3PT FGM]]/GN_263[[#This Row],[3PT FGA]]</f>
        <v>#DIV/0!</v>
      </c>
      <c r="K189" s="103">
        <f>SUM(K184:K188)</f>
        <v>0</v>
      </c>
      <c r="L189" s="103">
        <f>SUM(L184:L188)</f>
        <v>0</v>
      </c>
      <c r="M189" s="105" t="e">
        <f>GN_263[[#This Row],[FTM]]/GN_263[[#This Row],[FTA]]</f>
        <v>#DIV/0!</v>
      </c>
      <c r="N189" s="62">
        <f>SUM(GN_263[[#This Row],[2PT FGM]]*2,GN_263[[#This Row],[3PT FGM]]*3,GN_263[[#This Row],[FTM]])</f>
        <v>0</v>
      </c>
      <c r="O189" s="100">
        <f>SUM(O184:O188)</f>
        <v>0</v>
      </c>
      <c r="P189" s="100">
        <f>SUM(P184:P188)</f>
        <v>0</v>
      </c>
      <c r="Q189" s="100">
        <f>SUM(Q184:Q188)</f>
        <v>0</v>
      </c>
      <c r="R189" s="106">
        <f>GN_263[[#This Row],[Def. Boards]]+GN_263[[#This Row],[Off. Boards]]</f>
        <v>0</v>
      </c>
      <c r="S189" s="100">
        <f>SUM(S184:S188)</f>
        <v>0</v>
      </c>
      <c r="T189" s="100">
        <f>SUM(T184:T188)</f>
        <v>0</v>
      </c>
      <c r="U189" s="100">
        <f>SUM(U184:U188)</f>
        <v>0</v>
      </c>
      <c r="V189" s="100">
        <f>SUM(V184:V188)</f>
        <v>0</v>
      </c>
      <c r="W189" s="107" t="e">
        <f>GN_263[[#This Row],[Dimes]]/GN_263[[#This Row],[Turnovers]]</f>
        <v>#DIV/0!</v>
      </c>
    </row>
    <row r="190" spans="1:23" hidden="1" x14ac:dyDescent="0.2"/>
    <row r="191" spans="1:23" hidden="1" x14ac:dyDescent="0.2">
      <c r="C191" s="86" t="s">
        <v>68</v>
      </c>
      <c r="D191" s="86" t="s">
        <v>134</v>
      </c>
      <c r="E191" s="86" t="s">
        <v>74</v>
      </c>
    </row>
    <row r="192" spans="1:23" ht="24" hidden="1" x14ac:dyDescent="0.2">
      <c r="A192" s="84" t="s">
        <v>66</v>
      </c>
      <c r="B192" s="85">
        <v>10</v>
      </c>
      <c r="C192" s="84"/>
      <c r="D192" s="85" t="s">
        <v>137</v>
      </c>
      <c r="E192" s="85"/>
      <c r="F192" s="114"/>
      <c r="G192" s="115"/>
      <c r="H192" s="116"/>
      <c r="I192" s="115"/>
      <c r="J192" s="115"/>
      <c r="K192" s="115"/>
      <c r="L192" s="115"/>
    </row>
    <row r="193" spans="1:23" ht="24" hidden="1" x14ac:dyDescent="0.2">
      <c r="A193" s="84"/>
      <c r="B193" s="85" t="s">
        <v>151</v>
      </c>
      <c r="C193" s="85">
        <f>N201</f>
        <v>0</v>
      </c>
      <c r="D193" s="85"/>
      <c r="E193" s="85">
        <f>N210</f>
        <v>0</v>
      </c>
      <c r="H193" s="23"/>
    </row>
    <row r="194" spans="1:23" ht="16" hidden="1" thickBot="1" x14ac:dyDescent="0.25">
      <c r="A194" s="59" t="s">
        <v>68</v>
      </c>
    </row>
    <row r="195" spans="1:23" ht="16" hidden="1" x14ac:dyDescent="0.2">
      <c r="A195" s="89" t="s">
        <v>169</v>
      </c>
      <c r="B195" s="11" t="s">
        <v>0</v>
      </c>
      <c r="C195" s="11" t="s">
        <v>1</v>
      </c>
      <c r="D195" s="11" t="s">
        <v>2</v>
      </c>
      <c r="E195" s="95" t="s">
        <v>3</v>
      </c>
      <c r="F195" s="96" t="s">
        <v>4</v>
      </c>
      <c r="G195" s="96" t="s">
        <v>5</v>
      </c>
      <c r="H195" s="96" t="s">
        <v>6</v>
      </c>
      <c r="I195" s="96" t="s">
        <v>7</v>
      </c>
      <c r="J195" s="96" t="s">
        <v>8</v>
      </c>
      <c r="K195" s="96" t="s">
        <v>9</v>
      </c>
      <c r="L195" s="96" t="s">
        <v>10</v>
      </c>
      <c r="M195" s="97" t="s">
        <v>11</v>
      </c>
      <c r="N195" s="11" t="s">
        <v>12</v>
      </c>
      <c r="O195" s="10" t="s">
        <v>13</v>
      </c>
      <c r="P195" s="11" t="s">
        <v>14</v>
      </c>
      <c r="Q195" s="11" t="s">
        <v>15</v>
      </c>
      <c r="R195" s="11" t="s">
        <v>16</v>
      </c>
      <c r="S195" s="10" t="s">
        <v>17</v>
      </c>
      <c r="T195" s="10" t="s">
        <v>18</v>
      </c>
      <c r="U195" s="10" t="s">
        <v>19</v>
      </c>
      <c r="V195" s="10" t="s">
        <v>20</v>
      </c>
      <c r="W195" s="10" t="s">
        <v>21</v>
      </c>
    </row>
    <row r="196" spans="1:23" hidden="1" x14ac:dyDescent="0.2">
      <c r="A196" s="13"/>
      <c r="B196" s="90">
        <f>LITI_270[[#This Row],[2PT FGM]]+LITI_270[[#This Row],[3PT FGM]]</f>
        <v>0</v>
      </c>
      <c r="C196" s="90">
        <f>LITI_270[[#This Row],[2PT FGA]]+LITI_270[[#This Row],[3PT FGA]]</f>
        <v>0</v>
      </c>
      <c r="D196" s="91" t="e">
        <f>LITI_270[[#This Row],[Total FGM]]/LITI_270[[#This Row],[Total FGA]]</f>
        <v>#DIV/0!</v>
      </c>
      <c r="E196" s="98"/>
      <c r="F196" s="19"/>
      <c r="G196" s="91" t="e">
        <f>LITI_270[[#This Row],[2PT FGM]]/LITI_270[[#This Row],[2PT FGA]]</f>
        <v>#DIV/0!</v>
      </c>
      <c r="H196" s="19"/>
      <c r="I196" s="19"/>
      <c r="J196" s="91" t="e">
        <f>LITI_270[[#This Row],[3PT FGM]]/LITI_270[[#This Row],[3PT FGA]]</f>
        <v>#DIV/0!</v>
      </c>
      <c r="K196" s="19"/>
      <c r="L196" s="19"/>
      <c r="M196" s="99" t="e">
        <f>LITI_270[[#This Row],[FTM]]/LITI_270[[#This Row],[FTA]]</f>
        <v>#DIV/0!</v>
      </c>
      <c r="N196" s="19">
        <f>SUM(LITI_270[[#This Row],[2PT FGM]]*2,LITI_270[[#This Row],[3PT FGM]]*3,LITI_270[[#This Row],[FTM]])</f>
        <v>0</v>
      </c>
      <c r="O196" s="19"/>
      <c r="P196" s="19"/>
      <c r="Q196" s="19"/>
      <c r="R196" s="19">
        <f>LITI_270[[#This Row],[Def. Boards]]+LITI_270[[#This Row],[Off. Boards]]</f>
        <v>0</v>
      </c>
      <c r="S196" s="19"/>
      <c r="T196" s="19"/>
      <c r="U196" s="19"/>
      <c r="V196" s="19"/>
      <c r="W196" s="92" t="e">
        <f>LITI_270[[#This Row],[Dimes]]/LITI_270[[#This Row],[Turnovers]]</f>
        <v>#DIV/0!</v>
      </c>
    </row>
    <row r="197" spans="1:23" hidden="1" x14ac:dyDescent="0.2">
      <c r="A197" s="13"/>
      <c r="B197" s="90">
        <f>LITI_270[[#This Row],[2PT FGM]]+LITI_270[[#This Row],[3PT FGM]]</f>
        <v>0</v>
      </c>
      <c r="C197" s="90">
        <f>LITI_270[[#This Row],[2PT FGA]]+LITI_270[[#This Row],[3PT FGA]]</f>
        <v>0</v>
      </c>
      <c r="D197" s="91" t="e">
        <f>LITI_270[[#This Row],[Total FGM]]/LITI_270[[#This Row],[Total FGA]]</f>
        <v>#DIV/0!</v>
      </c>
      <c r="E197" s="98"/>
      <c r="F197" s="19"/>
      <c r="G197" s="91" t="e">
        <f>LITI_270[[#This Row],[2PT FGM]]/LITI_270[[#This Row],[2PT FGA]]</f>
        <v>#DIV/0!</v>
      </c>
      <c r="H197" s="19"/>
      <c r="I197" s="19"/>
      <c r="J197" s="91" t="e">
        <f>LITI_270[[#This Row],[3PT FGM]]/LITI_270[[#This Row],[3PT FGA]]</f>
        <v>#DIV/0!</v>
      </c>
      <c r="K197" s="19"/>
      <c r="L197" s="19"/>
      <c r="M197" s="99" t="e">
        <f>LITI_270[[#This Row],[FTM]]/LITI_270[[#This Row],[FTA]]</f>
        <v>#DIV/0!</v>
      </c>
      <c r="N197" s="19">
        <f>SUM(LITI_270[[#This Row],[2PT FGM]]*2,LITI_270[[#This Row],[3PT FGM]]*3,LITI_270[[#This Row],[FTM]])</f>
        <v>0</v>
      </c>
      <c r="O197" s="19"/>
      <c r="P197" s="19"/>
      <c r="Q197" s="19"/>
      <c r="R197" s="19">
        <f>LITI_270[[#This Row],[Def. Boards]]+LITI_270[[#This Row],[Off. Boards]]</f>
        <v>0</v>
      </c>
      <c r="S197" s="19"/>
      <c r="T197" s="19"/>
      <c r="U197" s="19"/>
      <c r="V197" s="19"/>
      <c r="W197" s="92" t="e">
        <f>LITI_270[[#This Row],[Dimes]]/LITI_270[[#This Row],[Turnovers]]</f>
        <v>#DIV/0!</v>
      </c>
    </row>
    <row r="198" spans="1:23" hidden="1" x14ac:dyDescent="0.2">
      <c r="A198" s="13"/>
      <c r="B198" s="90">
        <f>LITI_270[[#This Row],[2PT FGM]]+LITI_270[[#This Row],[3PT FGM]]</f>
        <v>0</v>
      </c>
      <c r="C198" s="90">
        <f>LITI_270[[#This Row],[2PT FGA]]+LITI_270[[#This Row],[3PT FGA]]</f>
        <v>0</v>
      </c>
      <c r="D198" s="91" t="e">
        <f>LITI_270[[#This Row],[Total FGM]]/LITI_270[[#This Row],[Total FGA]]</f>
        <v>#DIV/0!</v>
      </c>
      <c r="E198" s="98"/>
      <c r="F198" s="19"/>
      <c r="G198" s="91" t="e">
        <f>LITI_270[[#This Row],[2PT FGM]]/LITI_270[[#This Row],[2PT FGA]]</f>
        <v>#DIV/0!</v>
      </c>
      <c r="H198" s="19"/>
      <c r="I198" s="19"/>
      <c r="J198" s="91" t="e">
        <f>LITI_270[[#This Row],[3PT FGM]]/LITI_270[[#This Row],[3PT FGA]]</f>
        <v>#DIV/0!</v>
      </c>
      <c r="K198" s="19"/>
      <c r="L198" s="19"/>
      <c r="M198" s="99" t="e">
        <f>LITI_270[[#This Row],[FTM]]/LITI_270[[#This Row],[FTA]]</f>
        <v>#DIV/0!</v>
      </c>
      <c r="N198" s="19">
        <f>SUM(LITI_270[[#This Row],[2PT FGM]]*2,LITI_270[[#This Row],[3PT FGM]]*3,LITI_270[[#This Row],[FTM]])</f>
        <v>0</v>
      </c>
      <c r="O198" s="19"/>
      <c r="P198" s="19"/>
      <c r="Q198" s="19"/>
      <c r="R198" s="19">
        <f>LITI_270[[#This Row],[Def. Boards]]+LITI_270[[#This Row],[Off. Boards]]</f>
        <v>0</v>
      </c>
      <c r="S198" s="19"/>
      <c r="T198" s="19"/>
      <c r="U198" s="19"/>
      <c r="V198" s="19"/>
      <c r="W198" s="92" t="e">
        <f>LITI_270[[#This Row],[Dimes]]/LITI_270[[#This Row],[Turnovers]]</f>
        <v>#DIV/0!</v>
      </c>
    </row>
    <row r="199" spans="1:23" hidden="1" x14ac:dyDescent="0.2">
      <c r="A199" s="13"/>
      <c r="B199" s="90">
        <f>LITI_270[[#This Row],[2PT FGM]]+LITI_270[[#This Row],[3PT FGM]]</f>
        <v>0</v>
      </c>
      <c r="C199" s="90">
        <f>LITI_270[[#This Row],[2PT FGA]]+LITI_270[[#This Row],[3PT FGA]]</f>
        <v>0</v>
      </c>
      <c r="D199" s="91" t="e">
        <f>LITI_270[[#This Row],[Total FGM]]/LITI_270[[#This Row],[Total FGA]]</f>
        <v>#DIV/0!</v>
      </c>
      <c r="E199" s="98"/>
      <c r="F199" s="19"/>
      <c r="G199" s="91" t="e">
        <f>LITI_270[[#This Row],[2PT FGM]]/LITI_270[[#This Row],[2PT FGA]]</f>
        <v>#DIV/0!</v>
      </c>
      <c r="H199" s="19"/>
      <c r="I199" s="19"/>
      <c r="J199" s="91" t="e">
        <f>LITI_270[[#This Row],[3PT FGM]]/LITI_270[[#This Row],[3PT FGA]]</f>
        <v>#DIV/0!</v>
      </c>
      <c r="K199" s="19"/>
      <c r="L199" s="19"/>
      <c r="M199" s="99" t="e">
        <f>LITI_270[[#This Row],[FTM]]/LITI_270[[#This Row],[FTA]]</f>
        <v>#DIV/0!</v>
      </c>
      <c r="N199" s="19">
        <f>SUM(LITI_270[[#This Row],[2PT FGM]]*2,LITI_270[[#This Row],[3PT FGM]]*3,LITI_270[[#This Row],[FTM]])</f>
        <v>0</v>
      </c>
      <c r="O199" s="19"/>
      <c r="P199" s="19"/>
      <c r="Q199" s="19"/>
      <c r="R199" s="19">
        <f>LITI_270[[#This Row],[Def. Boards]]+LITI_270[[#This Row],[Off. Boards]]</f>
        <v>0</v>
      </c>
      <c r="S199" s="19"/>
      <c r="T199" s="19"/>
      <c r="U199" s="19"/>
      <c r="V199" s="19"/>
      <c r="W199" s="92" t="e">
        <f>LITI_270[[#This Row],[Dimes]]/LITI_270[[#This Row],[Turnovers]]</f>
        <v>#DIV/0!</v>
      </c>
    </row>
    <row r="200" spans="1:23" hidden="1" x14ac:dyDescent="0.2">
      <c r="A200" s="13"/>
      <c r="B200" s="90"/>
      <c r="C200" s="90"/>
      <c r="D200" s="91"/>
      <c r="E200" s="98"/>
      <c r="F200" s="19"/>
      <c r="G200" s="91"/>
      <c r="H200" s="19"/>
      <c r="I200" s="19"/>
      <c r="J200" s="91"/>
      <c r="K200" s="19"/>
      <c r="L200" s="19"/>
      <c r="M200" s="99"/>
      <c r="N200" s="19"/>
      <c r="O200" s="19"/>
      <c r="P200" s="19"/>
      <c r="Q200" s="19"/>
      <c r="R200" s="19"/>
      <c r="S200" s="19"/>
      <c r="T200" s="19"/>
      <c r="U200" s="19"/>
      <c r="V200" s="19"/>
      <c r="W200" s="92"/>
    </row>
    <row r="201" spans="1:23" ht="16" hidden="1" thickBot="1" x14ac:dyDescent="0.25">
      <c r="A201" s="82" t="s">
        <v>76</v>
      </c>
      <c r="B201" s="100">
        <f>SUM(B196:B200)</f>
        <v>0</v>
      </c>
      <c r="C201" s="100">
        <f>SUM(C196:C200)</f>
        <v>0</v>
      </c>
      <c r="D201" s="101" t="e">
        <f>LITI_270[[#This Row],[Total FGM]]/LITI_270[[#This Row],[Total FGA]]</f>
        <v>#DIV/0!</v>
      </c>
      <c r="E201" s="102">
        <f>SUM(E196:E200)</f>
        <v>0</v>
      </c>
      <c r="F201" s="103">
        <f>SUM(F196:F200)</f>
        <v>0</v>
      </c>
      <c r="G201" s="108" t="e">
        <f>LITI_270[[#This Row],[2PT FGM]]/LITI_270[[#This Row],[2PT FGA]]</f>
        <v>#DIV/0!</v>
      </c>
      <c r="H201" s="103">
        <f>SUM(H196:H200)</f>
        <v>0</v>
      </c>
      <c r="I201" s="103">
        <f>SUM(I196:I200)</f>
        <v>0</v>
      </c>
      <c r="J201" s="104" t="e">
        <f>LITI_270[[#This Row],[3PT FGM]]/LITI_270[[#This Row],[3PT FGA]]</f>
        <v>#DIV/0!</v>
      </c>
      <c r="K201" s="103">
        <f>SUM(K196:K200)</f>
        <v>0</v>
      </c>
      <c r="L201" s="103">
        <f>SUM(L196:L200)</f>
        <v>0</v>
      </c>
      <c r="M201" s="105" t="e">
        <f>LITI_270[[#This Row],[FTM]]/LITI_270[[#This Row],[FTA]]</f>
        <v>#DIV/0!</v>
      </c>
      <c r="N201" s="62">
        <f>SUM(LITI_270[[#This Row],[2PT FGM]]*2,LITI_270[[#This Row],[3PT FGM]]*3,LITI_270[[#This Row],[FTM]])</f>
        <v>0</v>
      </c>
      <c r="O201" s="106">
        <f>SUM(O196:O200)</f>
        <v>0</v>
      </c>
      <c r="P201" s="106">
        <f t="shared" ref="P201:V201" si="15">SUM(P196:P200)</f>
        <v>0</v>
      </c>
      <c r="Q201" s="106">
        <f t="shared" si="15"/>
        <v>0</v>
      </c>
      <c r="R201" s="106">
        <f t="shared" si="15"/>
        <v>0</v>
      </c>
      <c r="S201" s="106">
        <f t="shared" si="15"/>
        <v>0</v>
      </c>
      <c r="T201" s="106">
        <f t="shared" si="15"/>
        <v>0</v>
      </c>
      <c r="U201" s="106">
        <f t="shared" si="15"/>
        <v>0</v>
      </c>
      <c r="V201" s="106">
        <f t="shared" si="15"/>
        <v>0</v>
      </c>
      <c r="W201" s="107" t="e">
        <f>LITI_270[[#This Row],[Dimes]]/LITI_270[[#This Row],[Turnovers]]</f>
        <v>#DIV/0!</v>
      </c>
    </row>
    <row r="202" spans="1:23" hidden="1" x14ac:dyDescent="0.2"/>
    <row r="203" spans="1:23" ht="16" hidden="1" thickBot="1" x14ac:dyDescent="0.25">
      <c r="A203" s="94" t="s">
        <v>74</v>
      </c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</row>
    <row r="204" spans="1:23" ht="16" hidden="1" x14ac:dyDescent="0.2">
      <c r="A204" s="89" t="s">
        <v>169</v>
      </c>
      <c r="B204" s="11" t="s">
        <v>0</v>
      </c>
      <c r="C204" s="11" t="s">
        <v>1</v>
      </c>
      <c r="D204" s="11" t="s">
        <v>2</v>
      </c>
      <c r="E204" s="95" t="s">
        <v>3</v>
      </c>
      <c r="F204" s="96" t="s">
        <v>4</v>
      </c>
      <c r="G204" s="96" t="s">
        <v>5</v>
      </c>
      <c r="H204" s="96" t="s">
        <v>6</v>
      </c>
      <c r="I204" s="96" t="s">
        <v>7</v>
      </c>
      <c r="J204" s="96" t="s">
        <v>8</v>
      </c>
      <c r="K204" s="96" t="s">
        <v>9</v>
      </c>
      <c r="L204" s="96" t="s">
        <v>10</v>
      </c>
      <c r="M204" s="97" t="s">
        <v>11</v>
      </c>
      <c r="N204" s="11" t="s">
        <v>12</v>
      </c>
      <c r="O204" s="10" t="s">
        <v>13</v>
      </c>
      <c r="P204" s="11" t="s">
        <v>14</v>
      </c>
      <c r="Q204" s="11" t="s">
        <v>15</v>
      </c>
      <c r="R204" s="11" t="s">
        <v>16</v>
      </c>
      <c r="S204" s="10" t="s">
        <v>17</v>
      </c>
      <c r="T204" s="10" t="s">
        <v>18</v>
      </c>
      <c r="U204" s="10" t="s">
        <v>19</v>
      </c>
      <c r="V204" s="10" t="s">
        <v>20</v>
      </c>
      <c r="W204" s="10" t="s">
        <v>21</v>
      </c>
    </row>
    <row r="205" spans="1:23" hidden="1" x14ac:dyDescent="0.2">
      <c r="A205" s="13"/>
      <c r="B205" s="90">
        <f>GN_264[[#This Row],[2PT FGM]]+GN_264[[#This Row],[3PT FGM]]</f>
        <v>0</v>
      </c>
      <c r="C205" s="90">
        <f>GN_264[[#This Row],[2PT FGA]]+GN_264[[#This Row],[3PT FGA]]</f>
        <v>0</v>
      </c>
      <c r="D205" s="91" t="e">
        <f>GN_264[[#This Row],[Total FGM]]/GN_264[[#This Row],[Total FGA]]</f>
        <v>#DIV/0!</v>
      </c>
      <c r="E205" s="98"/>
      <c r="F205" s="19"/>
      <c r="G205" s="91" t="e">
        <f>GN_264[[#This Row],[2PT FGM]]/GN_264[[#This Row],[2PT FGA]]</f>
        <v>#DIV/0!</v>
      </c>
      <c r="H205" s="19"/>
      <c r="I205" s="19"/>
      <c r="J205" s="91" t="e">
        <f>GN_264[[#This Row],[3PT FGM]]/GN_264[[#This Row],[3PT FGA]]</f>
        <v>#DIV/0!</v>
      </c>
      <c r="K205" s="19"/>
      <c r="L205" s="19"/>
      <c r="M205" s="99" t="e">
        <f>GN_264[[#This Row],[FTM]]/GN_264[[#This Row],[FTA]]</f>
        <v>#DIV/0!</v>
      </c>
      <c r="N205" s="19">
        <f>SUM(GN_264[[#This Row],[2PT FGM]]*2,GN_264[[#This Row],[3PT FGM]]*3,GN_264[[#This Row],[FTM]])</f>
        <v>0</v>
      </c>
      <c r="O205" s="19"/>
      <c r="P205" s="19"/>
      <c r="Q205" s="19"/>
      <c r="R205" s="19">
        <f>GN_264[[#This Row],[Def. Boards]]+GN_264[[#This Row],[Off. Boards]]</f>
        <v>0</v>
      </c>
      <c r="S205" s="19"/>
      <c r="T205" s="19"/>
      <c r="U205" s="19"/>
      <c r="V205" s="19"/>
      <c r="W205" s="92" t="e">
        <f>GN_264[[#This Row],[Dimes]]/GN_264[[#This Row],[Turnovers]]</f>
        <v>#DIV/0!</v>
      </c>
    </row>
    <row r="206" spans="1:23" hidden="1" x14ac:dyDescent="0.2">
      <c r="A206" s="14"/>
      <c r="B206" s="90">
        <f>GN_264[[#This Row],[2PT FGM]]+GN_264[[#This Row],[3PT FGM]]</f>
        <v>0</v>
      </c>
      <c r="C206" s="90">
        <f>GN_264[[#This Row],[2PT FGA]]+GN_264[[#This Row],[3PT FGA]]</f>
        <v>0</v>
      </c>
      <c r="D206" s="91" t="e">
        <f>GN_264[[#This Row],[Total FGM]]/GN_264[[#This Row],[Total FGA]]</f>
        <v>#DIV/0!</v>
      </c>
      <c r="E206" s="98"/>
      <c r="F206" s="19"/>
      <c r="G206" s="91" t="e">
        <f>GN_264[[#This Row],[2PT FGM]]/GN_264[[#This Row],[2PT FGA]]</f>
        <v>#DIV/0!</v>
      </c>
      <c r="H206" s="19"/>
      <c r="I206" s="19"/>
      <c r="J206" s="91" t="e">
        <f>GN_264[[#This Row],[3PT FGM]]/GN_264[[#This Row],[3PT FGA]]</f>
        <v>#DIV/0!</v>
      </c>
      <c r="K206" s="19"/>
      <c r="L206" s="19"/>
      <c r="M206" s="99" t="e">
        <f>GN_264[[#This Row],[FTM]]/GN_264[[#This Row],[FTA]]</f>
        <v>#DIV/0!</v>
      </c>
      <c r="N206" s="19">
        <f>SUM(GN_264[[#This Row],[2PT FGM]]*2,GN_264[[#This Row],[3PT FGM]]*3,GN_264[[#This Row],[FTM]])</f>
        <v>0</v>
      </c>
      <c r="O206" s="19"/>
      <c r="P206" s="19"/>
      <c r="Q206" s="19"/>
      <c r="R206" s="19">
        <f>GN_264[[#This Row],[Def. Boards]]+GN_264[[#This Row],[Off. Boards]]</f>
        <v>0</v>
      </c>
      <c r="S206" s="19"/>
      <c r="T206" s="19"/>
      <c r="U206" s="19"/>
      <c r="V206" s="19"/>
      <c r="W206" s="92" t="e">
        <f>GN_264[[#This Row],[Dimes]]/GN_264[[#This Row],[Turnovers]]</f>
        <v>#DIV/0!</v>
      </c>
    </row>
    <row r="207" spans="1:23" hidden="1" x14ac:dyDescent="0.2">
      <c r="A207" s="13"/>
      <c r="B207" s="90">
        <f>GN_264[[#This Row],[2PT FGM]]+GN_264[[#This Row],[3PT FGM]]</f>
        <v>0</v>
      </c>
      <c r="C207" s="90">
        <f>GN_264[[#This Row],[2PT FGA]]+GN_264[[#This Row],[3PT FGA]]</f>
        <v>0</v>
      </c>
      <c r="D207" s="91" t="e">
        <f>GN_264[[#This Row],[Total FGM]]/GN_264[[#This Row],[Total FGA]]</f>
        <v>#DIV/0!</v>
      </c>
      <c r="E207" s="98"/>
      <c r="F207" s="19"/>
      <c r="G207" s="91" t="e">
        <f>GN_264[[#This Row],[2PT FGM]]/GN_264[[#This Row],[2PT FGA]]</f>
        <v>#DIV/0!</v>
      </c>
      <c r="H207" s="19"/>
      <c r="I207" s="19"/>
      <c r="J207" s="91" t="e">
        <f>GN_264[[#This Row],[3PT FGM]]/GN_264[[#This Row],[3PT FGA]]</f>
        <v>#DIV/0!</v>
      </c>
      <c r="K207" s="19"/>
      <c r="L207" s="19"/>
      <c r="M207" s="99" t="e">
        <f>GN_264[[#This Row],[FTM]]/GN_264[[#This Row],[FTA]]</f>
        <v>#DIV/0!</v>
      </c>
      <c r="N207" s="19">
        <f>SUM(GN_264[[#This Row],[2PT FGM]]*2,GN_264[[#This Row],[3PT FGM]]*3,GN_264[[#This Row],[FTM]])</f>
        <v>0</v>
      </c>
      <c r="O207" s="19"/>
      <c r="P207" s="19"/>
      <c r="Q207" s="19"/>
      <c r="R207" s="19">
        <f>GN_264[[#This Row],[Def. Boards]]+GN_264[[#This Row],[Off. Boards]]</f>
        <v>0</v>
      </c>
      <c r="S207" s="19"/>
      <c r="T207" s="19"/>
      <c r="U207" s="19"/>
      <c r="V207" s="19"/>
      <c r="W207" s="92" t="e">
        <f>GN_264[[#This Row],[Dimes]]/GN_264[[#This Row],[Turnovers]]</f>
        <v>#DIV/0!</v>
      </c>
    </row>
    <row r="208" spans="1:23" hidden="1" x14ac:dyDescent="0.2">
      <c r="A208" s="13"/>
      <c r="B208" s="90">
        <f>GN_264[[#This Row],[2PT FGM]]+GN_264[[#This Row],[3PT FGM]]</f>
        <v>0</v>
      </c>
      <c r="C208" s="90">
        <f>GN_264[[#This Row],[2PT FGA]]+GN_264[[#This Row],[3PT FGA]]</f>
        <v>0</v>
      </c>
      <c r="D208" s="91" t="e">
        <f>GN_264[[#This Row],[Total FGM]]/GN_264[[#This Row],[Total FGA]]</f>
        <v>#DIV/0!</v>
      </c>
      <c r="E208" s="98"/>
      <c r="F208" s="19"/>
      <c r="G208" s="91" t="e">
        <f>GN_264[[#This Row],[2PT FGM]]/GN_264[[#This Row],[2PT FGA]]</f>
        <v>#DIV/0!</v>
      </c>
      <c r="H208" s="19"/>
      <c r="I208" s="19"/>
      <c r="J208" s="91" t="e">
        <f>GN_264[[#This Row],[3PT FGM]]/GN_264[[#This Row],[3PT FGA]]</f>
        <v>#DIV/0!</v>
      </c>
      <c r="K208" s="19"/>
      <c r="L208" s="19"/>
      <c r="M208" s="99" t="e">
        <f>GN_264[[#This Row],[FTM]]/GN_264[[#This Row],[FTA]]</f>
        <v>#DIV/0!</v>
      </c>
      <c r="N208" s="19">
        <f>SUM(GN_264[[#This Row],[2PT FGM]]*2,GN_264[[#This Row],[3PT FGM]]*3,GN_264[[#This Row],[FTM]])</f>
        <v>0</v>
      </c>
      <c r="O208" s="19"/>
      <c r="P208" s="19"/>
      <c r="Q208" s="19"/>
      <c r="R208" s="19">
        <f>GN_264[[#This Row],[Def. Boards]]+GN_264[[#This Row],[Off. Boards]]</f>
        <v>0</v>
      </c>
      <c r="S208" s="19"/>
      <c r="T208" s="19"/>
      <c r="U208" s="19"/>
      <c r="V208" s="19"/>
      <c r="W208" s="92" t="e">
        <f>GN_264[[#This Row],[Dimes]]/GN_264[[#This Row],[Turnovers]]</f>
        <v>#DIV/0!</v>
      </c>
    </row>
    <row r="209" spans="1:23" hidden="1" x14ac:dyDescent="0.2">
      <c r="A209" s="93"/>
      <c r="B209" s="90"/>
      <c r="C209" s="90"/>
      <c r="D209" s="91"/>
      <c r="E209" s="98"/>
      <c r="F209" s="19"/>
      <c r="G209" s="91"/>
      <c r="H209" s="19"/>
      <c r="I209" s="19"/>
      <c r="J209" s="91"/>
      <c r="K209" s="19"/>
      <c r="L209" s="19"/>
      <c r="M209" s="99"/>
      <c r="N209" s="19"/>
      <c r="O209" s="19"/>
      <c r="P209" s="19"/>
      <c r="Q209" s="19"/>
      <c r="R209" s="19"/>
      <c r="S209" s="19"/>
      <c r="T209" s="19"/>
      <c r="U209" s="19"/>
      <c r="V209" s="19"/>
      <c r="W209" s="92" t="e">
        <f>GN_264[[#This Row],[Dimes]]/GN_264[[#This Row],[Turnovers]]</f>
        <v>#DIV/0!</v>
      </c>
    </row>
    <row r="210" spans="1:23" ht="16" hidden="1" thickBot="1" x14ac:dyDescent="0.25">
      <c r="A210" s="82" t="s">
        <v>76</v>
      </c>
      <c r="B210" s="100">
        <f>SUM(B205:B209)</f>
        <v>0</v>
      </c>
      <c r="C210" s="100">
        <f>SUM(C205:C209)</f>
        <v>0</v>
      </c>
      <c r="D210" s="101" t="e">
        <f>GN_264[[#This Row],[Total FGM]]/GN_264[[#This Row],[Total FGA]]</f>
        <v>#DIV/0!</v>
      </c>
      <c r="E210" s="102">
        <f>SUM(E205:E209)</f>
        <v>0</v>
      </c>
      <c r="F210" s="103">
        <f>SUM(F205:F209)</f>
        <v>0</v>
      </c>
      <c r="G210" s="104" t="e">
        <f>GN_264[[#This Row],[2PT FGM]]/GN_264[[#This Row],[2PT FGA]]</f>
        <v>#DIV/0!</v>
      </c>
      <c r="H210" s="103">
        <f>SUM(H205:H209)</f>
        <v>0</v>
      </c>
      <c r="I210" s="103">
        <f>SUM(I205:I209)</f>
        <v>0</v>
      </c>
      <c r="J210" s="109" t="e">
        <f>GN_264[[#This Row],[3PT FGM]]/GN_264[[#This Row],[3PT FGA]]</f>
        <v>#DIV/0!</v>
      </c>
      <c r="K210" s="103">
        <f>SUM(K205:K209)</f>
        <v>0</v>
      </c>
      <c r="L210" s="103">
        <f>SUM(L205:L209)</f>
        <v>0</v>
      </c>
      <c r="M210" s="105" t="e">
        <f>GN_264[[#This Row],[FTM]]/GN_264[[#This Row],[FTA]]</f>
        <v>#DIV/0!</v>
      </c>
      <c r="N210" s="62">
        <f>SUM(GN_264[[#This Row],[2PT FGM]]*2,GN_264[[#This Row],[3PT FGM]]*3,GN_264[[#This Row],[FTM]])</f>
        <v>0</v>
      </c>
      <c r="O210" s="100">
        <f>SUM(O205:O209)</f>
        <v>0</v>
      </c>
      <c r="P210" s="100">
        <f>SUM(P205:P209)</f>
        <v>0</v>
      </c>
      <c r="Q210" s="100">
        <f>SUM(Q205:Q209)</f>
        <v>0</v>
      </c>
      <c r="R210" s="106">
        <f>GN_264[[#This Row],[Def. Boards]]+GN_264[[#This Row],[Off. Boards]]</f>
        <v>0</v>
      </c>
      <c r="S210" s="100">
        <f>SUM(S205:S209)</f>
        <v>0</v>
      </c>
      <c r="T210" s="100">
        <f>SUM(T205:T209)</f>
        <v>0</v>
      </c>
      <c r="U210" s="100">
        <f>SUM(U205:U209)</f>
        <v>0</v>
      </c>
      <c r="V210" s="100">
        <f>SUM(V205:V209)</f>
        <v>0</v>
      </c>
      <c r="W210" s="107" t="e">
        <f>GN_264[[#This Row],[Dimes]]/GN_264[[#This Row],[Turnovers]]</f>
        <v>#DIV/0!</v>
      </c>
    </row>
    <row r="211" spans="1:23" hidden="1" x14ac:dyDescent="0.2"/>
    <row r="212" spans="1:23" x14ac:dyDescent="0.2">
      <c r="A212" t="s">
        <v>180</v>
      </c>
    </row>
  </sheetData>
  <pageMargins left="0.7" right="0.7" top="0.75" bottom="0.75" header="0.3" footer="0.3"/>
  <pageSetup orientation="portrait" r:id="rId1"/>
  <ignoredErrors>
    <ignoredError sqref="G7 G8:G10 G12 R33 G28:G31 B33 B42:C42 J37:J40 J42 B54 B63:C63 J7 J8:J10 M7 G33" calculatedColumn="1"/>
    <ignoredError sqref="M8:M10" evalError="1" calculatedColumn="1"/>
  </ignoredErrors>
  <tableParts count="2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DC6C3-1019-41A7-9A41-83E0C12F0975}">
  <dimension ref="A1:W37"/>
  <sheetViews>
    <sheetView showGridLines="0" zoomScale="75" zoomScaleNormal="75" workbookViewId="0">
      <selection activeCell="AA13" sqref="AA13"/>
    </sheetView>
  </sheetViews>
  <sheetFormatPr baseColWidth="10" defaultColWidth="8.83203125" defaultRowHeight="15" x14ac:dyDescent="0.2"/>
  <cols>
    <col min="1" max="1" width="18.5" customWidth="1"/>
    <col min="2" max="2" width="10.1640625" bestFit="1" customWidth="1"/>
    <col min="3" max="3" width="9.5" bestFit="1" customWidth="1"/>
    <col min="4" max="4" width="7.5" bestFit="1" customWidth="1"/>
    <col min="6" max="6" width="8.33203125" bestFit="1" customWidth="1"/>
    <col min="7" max="7" width="8.5" bestFit="1" customWidth="1"/>
    <col min="9" max="9" width="8.33203125" bestFit="1" customWidth="1"/>
    <col min="10" max="10" width="8.5" bestFit="1" customWidth="1"/>
    <col min="11" max="11" width="6.5" customWidth="1"/>
    <col min="12" max="13" width="6.33203125" customWidth="1"/>
    <col min="14" max="14" width="7.5" bestFit="1" customWidth="1"/>
    <col min="15" max="15" width="6.5" bestFit="1" customWidth="1"/>
    <col min="16" max="16" width="7.6640625" customWidth="1"/>
    <col min="17" max="17" width="7.83203125" customWidth="1"/>
    <col min="18" max="18" width="8.33203125" customWidth="1"/>
    <col min="19" max="19" width="6.5" bestFit="1" customWidth="1"/>
    <col min="20" max="20" width="8" bestFit="1" customWidth="1"/>
    <col min="21" max="21" width="6.1640625" bestFit="1" customWidth="1"/>
    <col min="22" max="22" width="9.83203125" bestFit="1" customWidth="1"/>
    <col min="23" max="23" width="10.33203125" customWidth="1"/>
  </cols>
  <sheetData>
    <row r="1" spans="1:23" ht="24" x14ac:dyDescent="0.2">
      <c r="A1" s="53" t="s">
        <v>66</v>
      </c>
      <c r="B1" s="13"/>
      <c r="C1" s="22"/>
      <c r="D1" s="13"/>
      <c r="E1" s="13"/>
      <c r="H1" s="23"/>
    </row>
    <row r="3" spans="1:23" ht="16" thickBot="1" x14ac:dyDescent="0.25">
      <c r="A3" s="24" t="s">
        <v>67</v>
      </c>
    </row>
    <row r="4" spans="1:23" ht="32" x14ac:dyDescent="0.2">
      <c r="A4" s="25" t="s">
        <v>68</v>
      </c>
      <c r="B4" s="1" t="s">
        <v>0</v>
      </c>
      <c r="C4" s="1" t="s">
        <v>1</v>
      </c>
      <c r="D4" s="2" t="s">
        <v>2</v>
      </c>
      <c r="E4" s="3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5" t="s">
        <v>11</v>
      </c>
      <c r="N4" s="6" t="s">
        <v>12</v>
      </c>
      <c r="O4" s="7" t="s">
        <v>13</v>
      </c>
      <c r="P4" s="8" t="s">
        <v>14</v>
      </c>
      <c r="Q4" s="8" t="s">
        <v>15</v>
      </c>
      <c r="R4" s="8" t="s">
        <v>16</v>
      </c>
      <c r="S4" s="7" t="s">
        <v>17</v>
      </c>
      <c r="T4" s="7" t="s">
        <v>18</v>
      </c>
      <c r="U4" s="7" t="s">
        <v>19</v>
      </c>
      <c r="V4" s="7" t="s">
        <v>20</v>
      </c>
      <c r="W4" s="9" t="s">
        <v>21</v>
      </c>
    </row>
    <row r="5" spans="1:23" ht="30" customHeight="1" x14ac:dyDescent="0.2">
      <c r="A5" s="25" t="s">
        <v>69</v>
      </c>
      <c r="B5" s="26"/>
      <c r="C5" s="27"/>
      <c r="D5" s="28"/>
      <c r="E5" s="29"/>
      <c r="F5" s="27"/>
      <c r="G5" s="30"/>
      <c r="H5" s="27"/>
      <c r="I5" s="27"/>
      <c r="J5" s="30"/>
      <c r="K5" s="27"/>
      <c r="L5" s="27"/>
      <c r="M5" s="31"/>
      <c r="N5" s="32"/>
      <c r="O5" s="27"/>
      <c r="P5" s="27"/>
      <c r="Q5" s="27"/>
      <c r="R5" s="30"/>
      <c r="S5" s="27"/>
      <c r="T5" s="27"/>
      <c r="U5" s="27"/>
      <c r="V5" s="27"/>
      <c r="W5" s="30"/>
    </row>
    <row r="6" spans="1:23" ht="30" customHeight="1" x14ac:dyDescent="0.2">
      <c r="A6" s="25" t="s">
        <v>70</v>
      </c>
      <c r="B6" s="26"/>
      <c r="C6" s="27"/>
      <c r="D6" s="28"/>
      <c r="E6" s="29"/>
      <c r="F6" s="27"/>
      <c r="G6" s="30"/>
      <c r="H6" s="27"/>
      <c r="I6" s="27"/>
      <c r="J6" s="30"/>
      <c r="K6" s="27"/>
      <c r="L6" s="27"/>
      <c r="M6" s="31"/>
      <c r="N6" s="32"/>
      <c r="O6" s="27"/>
      <c r="P6" s="27"/>
      <c r="Q6" s="27"/>
      <c r="R6" s="30"/>
      <c r="S6" s="27"/>
      <c r="T6" s="27"/>
      <c r="U6" s="27"/>
      <c r="V6" s="27"/>
      <c r="W6" s="30"/>
    </row>
    <row r="7" spans="1:23" ht="30" customHeight="1" x14ac:dyDescent="0.2">
      <c r="A7" s="25" t="s">
        <v>71</v>
      </c>
      <c r="B7" s="26"/>
      <c r="C7" s="27"/>
      <c r="D7" s="28"/>
      <c r="E7" s="29"/>
      <c r="F7" s="27"/>
      <c r="G7" s="30"/>
      <c r="H7" s="27"/>
      <c r="I7" s="27"/>
      <c r="J7" s="30"/>
      <c r="K7" s="27"/>
      <c r="L7" s="27"/>
      <c r="M7" s="31"/>
      <c r="N7" s="32"/>
      <c r="O7" s="27"/>
      <c r="P7" s="27"/>
      <c r="Q7" s="27"/>
      <c r="R7" s="30"/>
      <c r="S7" s="27"/>
      <c r="T7" s="27"/>
      <c r="U7" s="27"/>
      <c r="V7" s="27"/>
      <c r="W7" s="30"/>
    </row>
    <row r="8" spans="1:23" ht="30" customHeight="1" x14ac:dyDescent="0.2">
      <c r="A8" s="25" t="s">
        <v>72</v>
      </c>
      <c r="B8" s="26"/>
      <c r="C8" s="27"/>
      <c r="D8" s="28"/>
      <c r="E8" s="29"/>
      <c r="F8" s="27"/>
      <c r="G8" s="30"/>
      <c r="H8" s="27"/>
      <c r="I8" s="27"/>
      <c r="J8" s="30"/>
      <c r="K8" s="27"/>
      <c r="L8" s="27"/>
      <c r="M8" s="31"/>
      <c r="N8" s="32"/>
      <c r="O8" s="27"/>
      <c r="P8" s="27"/>
      <c r="Q8" s="27"/>
      <c r="R8" s="30"/>
      <c r="S8" s="27"/>
      <c r="T8" s="27"/>
      <c r="U8" s="27"/>
      <c r="V8" s="27"/>
      <c r="W8" s="30"/>
    </row>
    <row r="9" spans="1:23" ht="30" customHeight="1" thickBot="1" x14ac:dyDescent="0.25">
      <c r="A9" s="25" t="s">
        <v>73</v>
      </c>
      <c r="B9" s="26"/>
      <c r="C9" s="27"/>
      <c r="D9" s="28"/>
      <c r="E9" s="33"/>
      <c r="F9" s="34"/>
      <c r="G9" s="35"/>
      <c r="H9" s="34"/>
      <c r="I9" s="34"/>
      <c r="J9" s="35"/>
      <c r="K9" s="34"/>
      <c r="L9" s="34"/>
      <c r="M9" s="36"/>
      <c r="N9" s="32"/>
      <c r="O9" s="27"/>
      <c r="P9" s="27"/>
      <c r="Q9" s="27"/>
      <c r="R9" s="30"/>
      <c r="S9" s="27"/>
      <c r="T9" s="27"/>
      <c r="U9" s="27"/>
      <c r="V9" s="27"/>
      <c r="W9" s="30"/>
    </row>
    <row r="11" spans="1:23" ht="16" thickBot="1" x14ac:dyDescent="0.25">
      <c r="A11" s="24" t="s">
        <v>67</v>
      </c>
    </row>
    <row r="12" spans="1:23" ht="32" x14ac:dyDescent="0.2">
      <c r="A12" s="25" t="s">
        <v>74</v>
      </c>
      <c r="B12" s="1" t="s">
        <v>0</v>
      </c>
      <c r="C12" s="1" t="s">
        <v>1</v>
      </c>
      <c r="D12" s="2" t="s">
        <v>2</v>
      </c>
      <c r="E12" s="3" t="s">
        <v>3</v>
      </c>
      <c r="F12" s="4" t="s">
        <v>4</v>
      </c>
      <c r="G12" s="4" t="s">
        <v>5</v>
      </c>
      <c r="H12" s="4" t="s">
        <v>6</v>
      </c>
      <c r="I12" s="4" t="s">
        <v>7</v>
      </c>
      <c r="J12" s="4" t="s">
        <v>8</v>
      </c>
      <c r="K12" s="4" t="s">
        <v>9</v>
      </c>
      <c r="L12" s="4" t="s">
        <v>10</v>
      </c>
      <c r="M12" s="5" t="s">
        <v>11</v>
      </c>
      <c r="N12" s="6" t="s">
        <v>12</v>
      </c>
      <c r="O12" s="7" t="s">
        <v>13</v>
      </c>
      <c r="P12" s="8" t="s">
        <v>14</v>
      </c>
      <c r="Q12" s="8" t="s">
        <v>15</v>
      </c>
      <c r="R12" s="8" t="s">
        <v>16</v>
      </c>
      <c r="S12" s="7" t="s">
        <v>17</v>
      </c>
      <c r="T12" s="7" t="s">
        <v>18</v>
      </c>
      <c r="U12" s="7" t="s">
        <v>19</v>
      </c>
      <c r="V12" s="7" t="s">
        <v>20</v>
      </c>
      <c r="W12" s="9" t="s">
        <v>21</v>
      </c>
    </row>
    <row r="13" spans="1:23" ht="30" customHeight="1" x14ac:dyDescent="0.2">
      <c r="A13" s="25" t="s">
        <v>69</v>
      </c>
      <c r="B13" s="26"/>
      <c r="C13" s="27"/>
      <c r="D13" s="28"/>
      <c r="E13" s="29"/>
      <c r="F13" s="27"/>
      <c r="G13" s="30"/>
      <c r="H13" s="27"/>
      <c r="I13" s="27"/>
      <c r="J13" s="30"/>
      <c r="K13" s="27"/>
      <c r="L13" s="27"/>
      <c r="M13" s="31"/>
      <c r="N13" s="32"/>
      <c r="O13" s="27"/>
      <c r="P13" s="27"/>
      <c r="Q13" s="27"/>
      <c r="R13" s="30"/>
      <c r="S13" s="27"/>
      <c r="T13" s="27"/>
      <c r="U13" s="27"/>
      <c r="V13" s="27"/>
      <c r="W13" s="30"/>
    </row>
    <row r="14" spans="1:23" ht="30" customHeight="1" x14ac:dyDescent="0.2">
      <c r="A14" s="25" t="s">
        <v>70</v>
      </c>
      <c r="B14" s="26"/>
      <c r="C14" s="27"/>
      <c r="D14" s="28"/>
      <c r="E14" s="29"/>
      <c r="F14" s="27"/>
      <c r="G14" s="30"/>
      <c r="H14" s="27"/>
      <c r="I14" s="27"/>
      <c r="J14" s="30"/>
      <c r="K14" s="27"/>
      <c r="L14" s="27"/>
      <c r="M14" s="31"/>
      <c r="N14" s="32"/>
      <c r="O14" s="27"/>
      <c r="P14" s="27"/>
      <c r="Q14" s="27"/>
      <c r="R14" s="30"/>
      <c r="S14" s="27"/>
      <c r="T14" s="27"/>
      <c r="U14" s="27"/>
      <c r="V14" s="27"/>
      <c r="W14" s="30"/>
    </row>
    <row r="15" spans="1:23" ht="30" customHeight="1" x14ac:dyDescent="0.2">
      <c r="A15" s="25" t="s">
        <v>71</v>
      </c>
      <c r="B15" s="26"/>
      <c r="C15" s="27"/>
      <c r="D15" s="28"/>
      <c r="E15" s="29"/>
      <c r="F15" s="27"/>
      <c r="G15" s="30"/>
      <c r="H15" s="27"/>
      <c r="I15" s="27"/>
      <c r="J15" s="30"/>
      <c r="K15" s="27"/>
      <c r="L15" s="27"/>
      <c r="M15" s="31"/>
      <c r="N15" s="32"/>
      <c r="O15" s="27"/>
      <c r="P15" s="27"/>
      <c r="Q15" s="27"/>
      <c r="R15" s="30"/>
      <c r="S15" s="27"/>
      <c r="T15" s="27"/>
      <c r="U15" s="27"/>
      <c r="V15" s="27"/>
      <c r="W15" s="30"/>
    </row>
    <row r="16" spans="1:23" ht="30" customHeight="1" x14ac:dyDescent="0.2">
      <c r="A16" s="25" t="s">
        <v>72</v>
      </c>
      <c r="B16" s="26"/>
      <c r="C16" s="27"/>
      <c r="D16" s="28"/>
      <c r="E16" s="29"/>
      <c r="F16" s="27"/>
      <c r="G16" s="30"/>
      <c r="H16" s="27"/>
      <c r="I16" s="27"/>
      <c r="J16" s="30"/>
      <c r="K16" s="27"/>
      <c r="L16" s="27"/>
      <c r="M16" s="31"/>
      <c r="N16" s="32"/>
      <c r="O16" s="27"/>
      <c r="P16" s="27"/>
      <c r="Q16" s="27"/>
      <c r="R16" s="30"/>
      <c r="S16" s="27"/>
      <c r="T16" s="27"/>
      <c r="U16" s="27"/>
      <c r="V16" s="27"/>
      <c r="W16" s="30"/>
    </row>
    <row r="17" spans="1:23" ht="30" customHeight="1" thickBot="1" x14ac:dyDescent="0.25">
      <c r="A17" s="25" t="s">
        <v>73</v>
      </c>
      <c r="B17" s="26"/>
      <c r="C17" s="27"/>
      <c r="D17" s="28"/>
      <c r="E17" s="33"/>
      <c r="F17" s="34"/>
      <c r="G17" s="35"/>
      <c r="H17" s="34"/>
      <c r="I17" s="34"/>
      <c r="J17" s="35"/>
      <c r="K17" s="34"/>
      <c r="L17" s="34"/>
      <c r="M17" s="36"/>
      <c r="N17" s="32"/>
      <c r="O17" s="27"/>
      <c r="P17" s="27"/>
      <c r="Q17" s="27"/>
      <c r="R17" s="30"/>
      <c r="S17" s="27"/>
      <c r="T17" s="27"/>
      <c r="U17" s="27"/>
      <c r="V17" s="27"/>
      <c r="W17" s="30"/>
    </row>
    <row r="19" spans="1:23" ht="16" thickBot="1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</row>
    <row r="20" spans="1:23" ht="16" thickTop="1" x14ac:dyDescent="0.2"/>
    <row r="21" spans="1:23" ht="16" thickBot="1" x14ac:dyDescent="0.25">
      <c r="A21" s="24" t="s">
        <v>75</v>
      </c>
    </row>
    <row r="22" spans="1:23" ht="32" x14ac:dyDescent="0.2">
      <c r="A22" s="25" t="s">
        <v>68</v>
      </c>
      <c r="B22" s="1" t="s">
        <v>0</v>
      </c>
      <c r="C22" s="1" t="s">
        <v>1</v>
      </c>
      <c r="D22" s="2" t="s">
        <v>2</v>
      </c>
      <c r="E22" s="3" t="s">
        <v>3</v>
      </c>
      <c r="F22" s="4" t="s">
        <v>4</v>
      </c>
      <c r="G22" s="4" t="s">
        <v>5</v>
      </c>
      <c r="H22" s="4" t="s">
        <v>6</v>
      </c>
      <c r="I22" s="4" t="s">
        <v>7</v>
      </c>
      <c r="J22" s="4" t="s">
        <v>8</v>
      </c>
      <c r="K22" s="4" t="s">
        <v>9</v>
      </c>
      <c r="L22" s="4" t="s">
        <v>10</v>
      </c>
      <c r="M22" s="5" t="s">
        <v>11</v>
      </c>
      <c r="N22" s="6" t="s">
        <v>12</v>
      </c>
      <c r="O22" s="7" t="s">
        <v>13</v>
      </c>
      <c r="P22" s="8" t="s">
        <v>14</v>
      </c>
      <c r="Q22" s="8" t="s">
        <v>15</v>
      </c>
      <c r="R22" s="8" t="s">
        <v>16</v>
      </c>
      <c r="S22" s="7" t="s">
        <v>17</v>
      </c>
      <c r="T22" s="7" t="s">
        <v>18</v>
      </c>
      <c r="U22" s="7" t="s">
        <v>19</v>
      </c>
      <c r="V22" s="7" t="s">
        <v>20</v>
      </c>
      <c r="W22" s="9" t="s">
        <v>21</v>
      </c>
    </row>
    <row r="23" spans="1:23" ht="30" customHeight="1" x14ac:dyDescent="0.2">
      <c r="A23" s="25" t="s">
        <v>69</v>
      </c>
      <c r="B23" s="26"/>
      <c r="C23" s="27"/>
      <c r="D23" s="28"/>
      <c r="E23" s="29"/>
      <c r="F23" s="27"/>
      <c r="G23" s="30"/>
      <c r="H23" s="27"/>
      <c r="I23" s="27"/>
      <c r="J23" s="30"/>
      <c r="K23" s="27"/>
      <c r="L23" s="27"/>
      <c r="M23" s="31"/>
      <c r="N23" s="38"/>
      <c r="O23" s="27"/>
      <c r="P23" s="27"/>
      <c r="Q23" s="27"/>
      <c r="R23" s="27"/>
      <c r="S23" s="27"/>
      <c r="T23" s="27"/>
      <c r="U23" s="27"/>
      <c r="V23" s="27"/>
      <c r="W23" s="30"/>
    </row>
    <row r="24" spans="1:23" ht="30" customHeight="1" x14ac:dyDescent="0.2">
      <c r="A24" s="25" t="s">
        <v>70</v>
      </c>
      <c r="B24" s="26"/>
      <c r="C24" s="27"/>
      <c r="D24" s="28"/>
      <c r="E24" s="29"/>
      <c r="F24" s="27"/>
      <c r="G24" s="30"/>
      <c r="H24" s="27"/>
      <c r="I24" s="27"/>
      <c r="J24" s="30"/>
      <c r="K24" s="27"/>
      <c r="L24" s="27"/>
      <c r="M24" s="31"/>
      <c r="N24" s="38"/>
      <c r="O24" s="27"/>
      <c r="P24" s="27"/>
      <c r="Q24" s="27"/>
      <c r="R24" s="27"/>
      <c r="S24" s="27"/>
      <c r="T24" s="27"/>
      <c r="U24" s="27"/>
      <c r="V24" s="27"/>
      <c r="W24" s="30"/>
    </row>
    <row r="25" spans="1:23" ht="30" customHeight="1" x14ac:dyDescent="0.2">
      <c r="A25" s="39" t="s">
        <v>71</v>
      </c>
      <c r="B25" s="40"/>
      <c r="C25" s="41"/>
      <c r="D25" s="28"/>
      <c r="E25" s="29"/>
      <c r="F25" s="27"/>
      <c r="G25" s="30"/>
      <c r="H25" s="27"/>
      <c r="I25" s="27"/>
      <c r="J25" s="30"/>
      <c r="K25" s="27"/>
      <c r="L25" s="27"/>
      <c r="M25" s="31"/>
      <c r="N25" s="38"/>
      <c r="O25" s="41"/>
      <c r="P25" s="41"/>
      <c r="Q25" s="41"/>
      <c r="R25" s="41"/>
      <c r="S25" s="41"/>
      <c r="T25" s="41"/>
      <c r="U25" s="41"/>
      <c r="V25" s="41"/>
      <c r="W25" s="42"/>
    </row>
    <row r="26" spans="1:23" ht="30" customHeight="1" x14ac:dyDescent="0.2">
      <c r="A26" s="39" t="s">
        <v>72</v>
      </c>
      <c r="B26" s="40"/>
      <c r="C26" s="41"/>
      <c r="D26" s="28"/>
      <c r="E26" s="43"/>
      <c r="F26" s="41"/>
      <c r="G26" s="30"/>
      <c r="H26" s="41"/>
      <c r="I26" s="41"/>
      <c r="J26" s="30"/>
      <c r="K26" s="41"/>
      <c r="L26" s="41"/>
      <c r="M26" s="31"/>
      <c r="N26" s="44"/>
      <c r="O26" s="41"/>
      <c r="P26" s="41"/>
      <c r="Q26" s="41"/>
      <c r="R26" s="41"/>
      <c r="S26" s="41"/>
      <c r="T26" s="41"/>
      <c r="U26" s="41"/>
      <c r="V26" s="41"/>
      <c r="W26" s="42"/>
    </row>
    <row r="27" spans="1:23" ht="30" customHeight="1" thickBot="1" x14ac:dyDescent="0.25">
      <c r="A27" s="25" t="s">
        <v>73</v>
      </c>
      <c r="B27" s="26"/>
      <c r="C27" s="27"/>
      <c r="D27" s="28"/>
      <c r="E27" s="33"/>
      <c r="F27" s="34"/>
      <c r="G27" s="35"/>
      <c r="H27" s="34"/>
      <c r="I27" s="34"/>
      <c r="J27" s="35"/>
      <c r="K27" s="34"/>
      <c r="L27" s="34"/>
      <c r="M27" s="36"/>
      <c r="N27" s="242"/>
      <c r="O27" s="27"/>
      <c r="P27" s="27"/>
      <c r="Q27" s="27"/>
      <c r="R27" s="239"/>
      <c r="S27" s="27"/>
      <c r="T27" s="27"/>
      <c r="U27" s="27"/>
      <c r="V27" s="27"/>
      <c r="W27" s="30"/>
    </row>
    <row r="28" spans="1:23" ht="30" customHeight="1" thickBot="1" x14ac:dyDescent="0.25">
      <c r="A28" s="45" t="s">
        <v>76</v>
      </c>
      <c r="B28" s="46"/>
      <c r="C28" s="46"/>
      <c r="D28" s="47"/>
      <c r="E28" s="48"/>
      <c r="F28" s="49"/>
      <c r="G28" s="12"/>
      <c r="H28" s="49"/>
      <c r="I28" s="49"/>
      <c r="J28" s="12"/>
      <c r="K28" s="49"/>
      <c r="L28" s="49"/>
      <c r="M28" s="50"/>
      <c r="N28" s="48"/>
      <c r="O28" s="51"/>
      <c r="P28" s="46"/>
      <c r="Q28" s="46"/>
      <c r="R28" s="46"/>
      <c r="S28" s="46"/>
      <c r="T28" s="46"/>
      <c r="U28" s="46"/>
      <c r="V28" s="46"/>
      <c r="W28" s="52"/>
    </row>
    <row r="30" spans="1:23" ht="16" thickBot="1" x14ac:dyDescent="0.25">
      <c r="A30" s="24" t="s">
        <v>75</v>
      </c>
    </row>
    <row r="31" spans="1:23" ht="32" x14ac:dyDescent="0.2">
      <c r="A31" s="25" t="s">
        <v>74</v>
      </c>
      <c r="B31" s="1" t="s">
        <v>0</v>
      </c>
      <c r="C31" s="1" t="s">
        <v>1</v>
      </c>
      <c r="D31" s="2" t="s">
        <v>2</v>
      </c>
      <c r="E31" s="3" t="s">
        <v>3</v>
      </c>
      <c r="F31" s="4" t="s">
        <v>4</v>
      </c>
      <c r="G31" s="4" t="s">
        <v>5</v>
      </c>
      <c r="H31" s="4" t="s">
        <v>6</v>
      </c>
      <c r="I31" s="4" t="s">
        <v>7</v>
      </c>
      <c r="J31" s="4" t="s">
        <v>8</v>
      </c>
      <c r="K31" s="4" t="s">
        <v>9</v>
      </c>
      <c r="L31" s="4" t="s">
        <v>10</v>
      </c>
      <c r="M31" s="5" t="s">
        <v>11</v>
      </c>
      <c r="N31" s="6" t="s">
        <v>12</v>
      </c>
      <c r="O31" s="7" t="s">
        <v>13</v>
      </c>
      <c r="P31" s="8" t="s">
        <v>14</v>
      </c>
      <c r="Q31" s="8" t="s">
        <v>15</v>
      </c>
      <c r="R31" s="8" t="s">
        <v>16</v>
      </c>
      <c r="S31" s="7" t="s">
        <v>17</v>
      </c>
      <c r="T31" s="7" t="s">
        <v>18</v>
      </c>
      <c r="U31" s="7" t="s">
        <v>19</v>
      </c>
      <c r="V31" s="7" t="s">
        <v>20</v>
      </c>
      <c r="W31" s="9" t="s">
        <v>21</v>
      </c>
    </row>
    <row r="32" spans="1:23" ht="30" customHeight="1" x14ac:dyDescent="0.2">
      <c r="A32" s="25" t="s">
        <v>69</v>
      </c>
      <c r="B32" s="26"/>
      <c r="C32" s="27"/>
      <c r="D32" s="28"/>
      <c r="E32" s="29"/>
      <c r="F32" s="27"/>
      <c r="G32" s="30"/>
      <c r="H32" s="27"/>
      <c r="I32" s="27"/>
      <c r="J32" s="30"/>
      <c r="K32" s="27"/>
      <c r="L32" s="27"/>
      <c r="M32" s="31"/>
      <c r="N32" s="38"/>
      <c r="O32" s="27"/>
      <c r="P32" s="27"/>
      <c r="Q32" s="27"/>
      <c r="R32" s="27"/>
      <c r="S32" s="27"/>
      <c r="T32" s="27"/>
      <c r="U32" s="27"/>
      <c r="V32" s="27"/>
      <c r="W32" s="30"/>
    </row>
    <row r="33" spans="1:23" ht="30" customHeight="1" x14ac:dyDescent="0.2">
      <c r="A33" s="25" t="s">
        <v>70</v>
      </c>
      <c r="B33" s="26"/>
      <c r="C33" s="27"/>
      <c r="D33" s="28"/>
      <c r="E33" s="29"/>
      <c r="F33" s="27"/>
      <c r="G33" s="30"/>
      <c r="H33" s="27"/>
      <c r="I33" s="27"/>
      <c r="J33" s="30"/>
      <c r="K33" s="27"/>
      <c r="L33" s="27"/>
      <c r="M33" s="31"/>
      <c r="N33" s="38"/>
      <c r="O33" s="27"/>
      <c r="P33" s="27"/>
      <c r="Q33" s="27"/>
      <c r="R33" s="27"/>
      <c r="S33" s="27"/>
      <c r="T33" s="27"/>
      <c r="U33" s="27"/>
      <c r="V33" s="27"/>
      <c r="W33" s="30"/>
    </row>
    <row r="34" spans="1:23" ht="30" customHeight="1" x14ac:dyDescent="0.2">
      <c r="A34" s="25" t="s">
        <v>71</v>
      </c>
      <c r="B34" s="40"/>
      <c r="C34" s="41"/>
      <c r="D34" s="28"/>
      <c r="E34" s="29"/>
      <c r="F34" s="27"/>
      <c r="G34" s="30"/>
      <c r="H34" s="27"/>
      <c r="I34" s="27"/>
      <c r="J34" s="30"/>
      <c r="K34" s="27"/>
      <c r="L34" s="27"/>
      <c r="M34" s="31"/>
      <c r="N34" s="38"/>
      <c r="O34" s="41"/>
      <c r="P34" s="41"/>
      <c r="Q34" s="41"/>
      <c r="R34" s="41"/>
      <c r="S34" s="41"/>
      <c r="T34" s="41"/>
      <c r="U34" s="41"/>
      <c r="V34" s="41"/>
      <c r="W34" s="42"/>
    </row>
    <row r="35" spans="1:23" ht="30" customHeight="1" x14ac:dyDescent="0.2">
      <c r="A35" s="39" t="s">
        <v>72</v>
      </c>
      <c r="B35" s="40"/>
      <c r="C35" s="41"/>
      <c r="D35" s="28"/>
      <c r="E35" s="43"/>
      <c r="F35" s="41"/>
      <c r="G35" s="30"/>
      <c r="H35" s="41"/>
      <c r="I35" s="41"/>
      <c r="J35" s="30"/>
      <c r="K35" s="41"/>
      <c r="L35" s="41"/>
      <c r="M35" s="31"/>
      <c r="N35" s="44"/>
      <c r="O35" s="41"/>
      <c r="P35" s="41"/>
      <c r="Q35" s="41"/>
      <c r="R35" s="41"/>
      <c r="S35" s="41"/>
      <c r="T35" s="41"/>
      <c r="U35" s="41"/>
      <c r="V35" s="41"/>
      <c r="W35" s="42"/>
    </row>
    <row r="36" spans="1:23" ht="30" customHeight="1" thickBot="1" x14ac:dyDescent="0.25">
      <c r="A36" s="25" t="s">
        <v>73</v>
      </c>
      <c r="B36" s="26"/>
      <c r="C36" s="27"/>
      <c r="D36" s="28"/>
      <c r="E36" s="33"/>
      <c r="F36" s="34"/>
      <c r="G36" s="35"/>
      <c r="H36" s="34"/>
      <c r="I36" s="34"/>
      <c r="J36" s="35"/>
      <c r="K36" s="34"/>
      <c r="L36" s="34"/>
      <c r="M36" s="36"/>
      <c r="N36" s="242"/>
      <c r="O36" s="27"/>
      <c r="P36" s="27"/>
      <c r="Q36" s="27"/>
      <c r="R36" s="239"/>
      <c r="S36" s="27"/>
      <c r="T36" s="27"/>
      <c r="U36" s="27"/>
      <c r="V36" s="27"/>
      <c r="W36" s="30"/>
    </row>
    <row r="37" spans="1:23" ht="30" customHeight="1" thickBot="1" x14ac:dyDescent="0.25">
      <c r="A37" s="45" t="s">
        <v>76</v>
      </c>
      <c r="B37" s="46"/>
      <c r="C37" s="46"/>
      <c r="D37" s="47"/>
      <c r="E37" s="48"/>
      <c r="F37" s="49"/>
      <c r="G37" s="12"/>
      <c r="H37" s="49"/>
      <c r="I37" s="49"/>
      <c r="J37" s="12"/>
      <c r="K37" s="49"/>
      <c r="L37" s="49"/>
      <c r="M37" s="50"/>
      <c r="N37" s="48"/>
      <c r="O37" s="51"/>
      <c r="P37" s="46"/>
      <c r="Q37" s="46"/>
      <c r="R37" s="46"/>
      <c r="S37" s="46"/>
      <c r="T37" s="46"/>
      <c r="U37" s="46"/>
      <c r="V37" s="46"/>
      <c r="W37" s="52"/>
    </row>
  </sheetData>
  <pageMargins left="0.7" right="0.7" top="0.75" bottom="0.75" header="0.3" footer="0.3"/>
  <pageSetup paperSize="3" scale="105" orientation="landscape" r:id="rId1"/>
  <rowBreaks count="1" manualBreakCount="1">
    <brk id="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DC4F9-F335-4E1B-B1BC-C6D312DC6AAE}">
  <dimension ref="C1:V55"/>
  <sheetViews>
    <sheetView showGridLines="0" workbookViewId="0">
      <selection activeCell="L18" sqref="L18"/>
    </sheetView>
  </sheetViews>
  <sheetFormatPr baseColWidth="10" defaultColWidth="8.83203125" defaultRowHeight="15" x14ac:dyDescent="0.2"/>
  <cols>
    <col min="1" max="1" width="3" customWidth="1"/>
    <col min="4" max="4" width="14.5" bestFit="1" customWidth="1"/>
    <col min="8" max="8" width="13.5" bestFit="1" customWidth="1"/>
    <col min="9" max="9" width="2" bestFit="1" customWidth="1"/>
    <col min="10" max="11" width="6.5" bestFit="1" customWidth="1"/>
    <col min="19" max="19" width="16.5" bestFit="1" customWidth="1"/>
    <col min="22" max="22" width="9.83203125" bestFit="1" customWidth="1"/>
  </cols>
  <sheetData>
    <row r="1" spans="3:22" x14ac:dyDescent="0.2">
      <c r="S1" t="s">
        <v>164</v>
      </c>
    </row>
    <row r="3" spans="3:22" x14ac:dyDescent="0.2">
      <c r="C3" s="150">
        <v>32</v>
      </c>
      <c r="D3" s="150" t="s">
        <v>25</v>
      </c>
      <c r="E3" s="150" t="s">
        <v>26</v>
      </c>
      <c r="F3" s="150" t="s">
        <v>27</v>
      </c>
      <c r="G3" s="14"/>
      <c r="H3" s="151" t="s">
        <v>59</v>
      </c>
      <c r="I3" s="151" t="s">
        <v>60</v>
      </c>
      <c r="J3" s="152" t="s">
        <v>61</v>
      </c>
      <c r="K3" s="151" t="s">
        <v>62</v>
      </c>
      <c r="S3" s="153"/>
      <c r="T3" s="148"/>
      <c r="U3" s="148"/>
      <c r="V3" s="153"/>
    </row>
    <row r="4" spans="3:22" x14ac:dyDescent="0.2">
      <c r="C4" s="239"/>
      <c r="D4" s="239"/>
      <c r="E4" s="240"/>
      <c r="F4" s="240"/>
      <c r="G4" s="14"/>
      <c r="H4" s="175" t="s">
        <v>63</v>
      </c>
      <c r="I4" s="168">
        <v>3</v>
      </c>
      <c r="J4" s="176"/>
      <c r="K4" s="176"/>
      <c r="S4" s="14"/>
      <c r="V4" s="20"/>
    </row>
    <row r="5" spans="3:22" x14ac:dyDescent="0.2">
      <c r="C5" s="239"/>
      <c r="D5" s="239"/>
      <c r="E5" s="240"/>
      <c r="F5" s="240"/>
      <c r="G5" s="14"/>
      <c r="H5" s="175" t="s">
        <v>64</v>
      </c>
      <c r="I5" s="168">
        <v>1</v>
      </c>
      <c r="J5" s="176"/>
      <c r="K5" s="176"/>
      <c r="S5" s="14"/>
      <c r="V5" s="20"/>
    </row>
    <row r="6" spans="3:22" x14ac:dyDescent="0.2">
      <c r="C6" s="239"/>
      <c r="D6" s="239"/>
      <c r="E6" s="240"/>
      <c r="F6" s="240"/>
      <c r="G6" s="14"/>
      <c r="H6" s="175" t="s">
        <v>64</v>
      </c>
      <c r="I6" s="168">
        <v>1</v>
      </c>
      <c r="J6" s="176"/>
      <c r="K6" s="176"/>
      <c r="S6" s="14"/>
      <c r="V6" s="20"/>
    </row>
    <row r="7" spans="3:22" x14ac:dyDescent="0.2">
      <c r="C7" s="239"/>
      <c r="D7" s="239"/>
      <c r="E7" s="240"/>
      <c r="F7" s="240"/>
      <c r="G7" s="14"/>
      <c r="H7" s="154" t="s">
        <v>65</v>
      </c>
      <c r="I7" s="22">
        <v>0</v>
      </c>
      <c r="J7" s="21"/>
      <c r="K7" s="21"/>
      <c r="S7" s="14"/>
      <c r="V7" s="20"/>
    </row>
    <row r="8" spans="3:22" x14ac:dyDescent="0.2">
      <c r="C8" s="239"/>
      <c r="D8" s="239"/>
      <c r="E8" s="240"/>
      <c r="F8" s="60"/>
      <c r="G8" s="14"/>
      <c r="H8" s="175" t="s">
        <v>210</v>
      </c>
      <c r="I8" s="168">
        <v>1</v>
      </c>
      <c r="J8" s="176"/>
      <c r="K8" s="176"/>
      <c r="S8" s="14"/>
      <c r="V8" s="20"/>
    </row>
    <row r="9" spans="3:22" x14ac:dyDescent="0.2">
      <c r="C9" s="239"/>
      <c r="D9" s="239"/>
      <c r="E9" s="240"/>
      <c r="F9" s="60"/>
      <c r="G9" s="14"/>
      <c r="H9" s="15" t="s">
        <v>211</v>
      </c>
      <c r="J9" s="21"/>
      <c r="K9" s="21"/>
      <c r="S9" s="14"/>
      <c r="V9" s="20"/>
    </row>
    <row r="10" spans="3:22" x14ac:dyDescent="0.2">
      <c r="C10" s="239"/>
      <c r="D10" s="239"/>
      <c r="E10" s="240"/>
      <c r="F10" s="240"/>
      <c r="G10" s="14"/>
      <c r="H10" s="15" t="s">
        <v>212</v>
      </c>
      <c r="J10" s="21"/>
      <c r="K10" s="21"/>
      <c r="S10" s="14"/>
      <c r="V10" s="20"/>
    </row>
    <row r="11" spans="3:22" x14ac:dyDescent="0.2">
      <c r="C11" s="239"/>
      <c r="D11" s="239"/>
      <c r="E11" s="240"/>
      <c r="F11" s="240"/>
      <c r="G11" s="14"/>
      <c r="H11" s="175" t="s">
        <v>213</v>
      </c>
      <c r="I11" s="118">
        <v>1</v>
      </c>
      <c r="J11" s="176"/>
      <c r="K11" s="176"/>
      <c r="S11" s="14"/>
      <c r="V11" s="20"/>
    </row>
    <row r="12" spans="3:22" x14ac:dyDescent="0.2">
      <c r="C12" s="239"/>
      <c r="D12" s="239"/>
      <c r="E12" s="240"/>
      <c r="F12" s="240"/>
      <c r="G12" s="14"/>
      <c r="J12" s="21"/>
      <c r="K12" s="21"/>
      <c r="S12" s="14"/>
      <c r="V12" s="20"/>
    </row>
    <row r="13" spans="3:22" x14ac:dyDescent="0.2">
      <c r="C13" s="239"/>
      <c r="D13" s="239"/>
      <c r="E13" s="240"/>
      <c r="F13" s="240"/>
      <c r="G13" s="14"/>
      <c r="K13" s="21"/>
      <c r="S13" s="14"/>
      <c r="V13" s="20"/>
    </row>
    <row r="14" spans="3:22" x14ac:dyDescent="0.2">
      <c r="C14" s="239"/>
      <c r="D14" s="241"/>
      <c r="E14" s="240"/>
      <c r="F14" s="240"/>
      <c r="G14" s="14"/>
      <c r="H14" s="18"/>
      <c r="I14" s="18"/>
      <c r="J14" s="18"/>
      <c r="K14" s="18"/>
      <c r="S14" s="16"/>
      <c r="V14" s="20"/>
    </row>
    <row r="15" spans="3:22" x14ac:dyDescent="0.2">
      <c r="C15" s="239"/>
      <c r="D15" s="241"/>
      <c r="E15" s="240"/>
      <c r="F15" s="60"/>
      <c r="G15" s="14"/>
      <c r="H15" s="154"/>
      <c r="I15" s="22"/>
      <c r="J15" s="21"/>
      <c r="K15" s="155">
        <f>SUM(K4:K14)</f>
        <v>0</v>
      </c>
      <c r="L15" s="14"/>
      <c r="M15" s="14"/>
      <c r="N15" s="14"/>
      <c r="O15" s="14"/>
      <c r="P15" s="13"/>
      <c r="S15" s="16"/>
      <c r="T15" s="58"/>
      <c r="V15" s="20"/>
    </row>
    <row r="16" spans="3:22" x14ac:dyDescent="0.2">
      <c r="C16" s="239"/>
      <c r="D16" s="239"/>
      <c r="E16" s="240"/>
      <c r="F16" s="240"/>
      <c r="G16" s="14"/>
      <c r="L16" s="14"/>
      <c r="M16" s="14"/>
      <c r="N16" s="14"/>
      <c r="O16" s="14"/>
      <c r="P16" s="13"/>
      <c r="S16" s="14"/>
      <c r="V16" s="20"/>
    </row>
    <row r="17" spans="3:22" x14ac:dyDescent="0.2">
      <c r="C17" s="239"/>
      <c r="D17" s="239"/>
      <c r="E17" s="240"/>
      <c r="F17" s="240"/>
      <c r="G17" s="14"/>
      <c r="K17" s="13"/>
      <c r="L17" s="14"/>
      <c r="M17" s="14"/>
      <c r="N17" s="14"/>
      <c r="O17" s="14"/>
      <c r="P17" s="13"/>
      <c r="S17" s="14"/>
      <c r="V17" s="20"/>
    </row>
    <row r="18" spans="3:22" x14ac:dyDescent="0.2">
      <c r="C18" s="239"/>
      <c r="D18" s="239"/>
      <c r="E18" s="240"/>
      <c r="F18" s="240"/>
      <c r="G18" s="14"/>
      <c r="L18" s="14"/>
      <c r="M18" s="14"/>
      <c r="N18" s="14"/>
      <c r="O18" s="14"/>
      <c r="P18" s="13"/>
      <c r="S18" s="14"/>
      <c r="V18" s="20"/>
    </row>
    <row r="19" spans="3:22" x14ac:dyDescent="0.2">
      <c r="C19" s="239"/>
      <c r="D19" s="239"/>
      <c r="E19" s="240"/>
      <c r="F19" s="240"/>
      <c r="G19" s="14"/>
      <c r="L19" s="58"/>
      <c r="M19" s="58"/>
      <c r="N19" s="58"/>
      <c r="O19" s="14"/>
      <c r="P19" s="13"/>
      <c r="S19" s="14"/>
      <c r="V19" s="20"/>
    </row>
    <row r="20" spans="3:22" x14ac:dyDescent="0.2">
      <c r="C20" s="239"/>
      <c r="D20" s="239"/>
      <c r="E20" s="240"/>
      <c r="F20" s="240"/>
      <c r="G20" s="14"/>
      <c r="L20" s="58"/>
      <c r="M20" s="58"/>
      <c r="N20" s="58"/>
      <c r="O20" s="14"/>
      <c r="P20" s="13"/>
      <c r="S20" s="14"/>
      <c r="V20" s="20"/>
    </row>
    <row r="21" spans="3:22" x14ac:dyDescent="0.2">
      <c r="C21" s="239"/>
      <c r="D21" s="239"/>
      <c r="E21" s="240"/>
      <c r="F21" s="240"/>
      <c r="G21" s="14"/>
      <c r="L21" s="14"/>
      <c r="M21" s="14"/>
      <c r="N21" s="14"/>
      <c r="O21" s="14"/>
      <c r="P21" s="13"/>
      <c r="S21" s="14"/>
      <c r="V21" s="20"/>
    </row>
    <row r="22" spans="3:22" x14ac:dyDescent="0.2">
      <c r="C22" s="239"/>
      <c r="D22" s="239"/>
      <c r="E22" s="240"/>
      <c r="F22" s="60"/>
      <c r="G22" s="14"/>
      <c r="L22" s="14"/>
      <c r="M22" s="14"/>
      <c r="N22" s="14"/>
      <c r="O22" s="14"/>
      <c r="P22" s="13"/>
      <c r="S22" s="14"/>
      <c r="V22" s="20"/>
    </row>
    <row r="23" spans="3:22" x14ac:dyDescent="0.2">
      <c r="C23" s="239"/>
      <c r="D23" s="239"/>
      <c r="E23" s="240"/>
      <c r="F23" s="240"/>
      <c r="G23" s="14"/>
      <c r="L23" s="14"/>
      <c r="M23" s="14"/>
      <c r="N23" s="14"/>
      <c r="O23" s="14"/>
      <c r="P23" s="13"/>
      <c r="S23" s="14"/>
      <c r="V23" s="20"/>
    </row>
    <row r="24" spans="3:22" x14ac:dyDescent="0.2">
      <c r="C24" s="239"/>
      <c r="D24" s="239"/>
      <c r="E24" s="240"/>
      <c r="F24" s="240"/>
      <c r="G24" s="14"/>
      <c r="L24" s="14" t="s">
        <v>170</v>
      </c>
      <c r="M24" s="14" t="s">
        <v>214</v>
      </c>
      <c r="N24" s="14" t="s">
        <v>207</v>
      </c>
      <c r="O24" s="14" t="s">
        <v>171</v>
      </c>
      <c r="S24" s="14"/>
      <c r="V24" s="20"/>
    </row>
    <row r="25" spans="3:22" x14ac:dyDescent="0.2">
      <c r="C25" s="239"/>
      <c r="D25" s="239"/>
      <c r="E25" s="240"/>
      <c r="F25" s="240"/>
      <c r="G25" s="14"/>
      <c r="L25" s="58" t="s">
        <v>172</v>
      </c>
      <c r="M25" s="58" t="s">
        <v>173</v>
      </c>
      <c r="N25" s="58" t="s">
        <v>174</v>
      </c>
      <c r="O25" s="14" t="s">
        <v>215</v>
      </c>
      <c r="P25" s="58"/>
      <c r="S25" s="14"/>
      <c r="V25" s="20"/>
    </row>
    <row r="26" spans="3:22" x14ac:dyDescent="0.2">
      <c r="C26" s="239"/>
      <c r="D26" s="239"/>
      <c r="E26" s="240"/>
      <c r="F26" s="240"/>
      <c r="G26" s="14"/>
      <c r="L26" s="14" t="s">
        <v>176</v>
      </c>
      <c r="M26" s="13" t="s">
        <v>216</v>
      </c>
      <c r="N26" s="14" t="s">
        <v>175</v>
      </c>
      <c r="O26" s="14" t="s">
        <v>217</v>
      </c>
      <c r="P26" s="58"/>
      <c r="S26" s="14"/>
      <c r="V26" s="20"/>
    </row>
    <row r="27" spans="3:22" x14ac:dyDescent="0.2">
      <c r="C27" s="239"/>
      <c r="D27" s="239"/>
      <c r="E27" s="240"/>
      <c r="F27" s="240"/>
      <c r="G27" s="14"/>
      <c r="L27" s="14" t="s">
        <v>218</v>
      </c>
      <c r="M27" s="14" t="s">
        <v>219</v>
      </c>
      <c r="N27" s="14" t="s">
        <v>178</v>
      </c>
      <c r="O27" s="14" t="s">
        <v>220</v>
      </c>
      <c r="P27" s="58"/>
      <c r="S27" s="14"/>
      <c r="V27" s="20"/>
    </row>
    <row r="28" spans="3:22" x14ac:dyDescent="0.2">
      <c r="C28" s="239"/>
      <c r="D28" s="239"/>
      <c r="E28" s="240"/>
      <c r="F28" s="240"/>
      <c r="L28" s="14"/>
      <c r="M28" s="14" t="s">
        <v>179</v>
      </c>
      <c r="N28" s="58"/>
      <c r="O28" s="14" t="s">
        <v>177</v>
      </c>
      <c r="P28" s="14"/>
      <c r="S28" s="14"/>
      <c r="V28" s="20"/>
    </row>
    <row r="29" spans="3:22" x14ac:dyDescent="0.2">
      <c r="C29" s="239"/>
      <c r="D29" s="239"/>
      <c r="E29" s="240"/>
      <c r="F29" s="240"/>
      <c r="L29" s="14"/>
      <c r="M29" s="14"/>
      <c r="N29" s="58"/>
      <c r="O29" s="14"/>
      <c r="P29" s="14"/>
      <c r="S29" s="14"/>
      <c r="V29" s="20"/>
    </row>
    <row r="30" spans="3:22" x14ac:dyDescent="0.2">
      <c r="C30" s="239"/>
      <c r="D30" s="239"/>
      <c r="E30" s="240"/>
      <c r="F30" s="240"/>
      <c r="L30" s="14"/>
      <c r="M30" s="14"/>
      <c r="N30" s="14"/>
      <c r="O30" s="14"/>
      <c r="P30" s="14"/>
      <c r="S30" s="14"/>
      <c r="V30" s="20"/>
    </row>
    <row r="31" spans="3:22" x14ac:dyDescent="0.2">
      <c r="C31" s="239"/>
      <c r="D31" s="239"/>
      <c r="E31" s="240"/>
      <c r="F31" s="240"/>
      <c r="G31" s="14"/>
      <c r="L31" s="14" t="s">
        <v>170</v>
      </c>
      <c r="M31" s="14" t="s">
        <v>214</v>
      </c>
      <c r="N31" s="14" t="s">
        <v>207</v>
      </c>
      <c r="O31" s="14" t="s">
        <v>171</v>
      </c>
      <c r="P31" s="14"/>
      <c r="S31" s="14"/>
      <c r="V31" s="20"/>
    </row>
    <row r="32" spans="3:22" x14ac:dyDescent="0.2">
      <c r="C32" s="239"/>
      <c r="D32" s="239"/>
      <c r="E32" s="240"/>
      <c r="F32" s="240"/>
      <c r="G32" s="14"/>
      <c r="L32" s="14" t="s">
        <v>215</v>
      </c>
      <c r="M32" s="58" t="s">
        <v>173</v>
      </c>
      <c r="N32" s="58" t="s">
        <v>174</v>
      </c>
      <c r="O32" s="58" t="s">
        <v>172</v>
      </c>
      <c r="P32" s="14"/>
      <c r="S32" s="14"/>
      <c r="V32" s="20"/>
    </row>
    <row r="33" spans="3:22" x14ac:dyDescent="0.2">
      <c r="C33" s="239"/>
      <c r="D33" s="241"/>
      <c r="E33" s="240"/>
      <c r="F33" s="240"/>
      <c r="G33" s="14"/>
      <c r="L33" s="14" t="s">
        <v>217</v>
      </c>
      <c r="M33" s="13" t="s">
        <v>216</v>
      </c>
      <c r="N33" s="14" t="s">
        <v>178</v>
      </c>
      <c r="O33" s="14" t="s">
        <v>175</v>
      </c>
      <c r="P33" s="14"/>
      <c r="S33" s="16"/>
      <c r="V33" s="20"/>
    </row>
    <row r="34" spans="3:22" x14ac:dyDescent="0.2">
      <c r="C34" s="239"/>
      <c r="D34" s="239"/>
      <c r="E34" s="240"/>
      <c r="F34" s="240"/>
      <c r="G34" s="14"/>
      <c r="L34" s="14" t="s">
        <v>176</v>
      </c>
      <c r="M34" s="14" t="s">
        <v>218</v>
      </c>
      <c r="N34" s="14" t="s">
        <v>177</v>
      </c>
      <c r="O34" s="14" t="s">
        <v>179</v>
      </c>
      <c r="P34" s="14"/>
      <c r="S34" s="14"/>
      <c r="V34" s="20"/>
    </row>
    <row r="35" spans="3:22" x14ac:dyDescent="0.2">
      <c r="C35" s="239"/>
      <c r="D35" s="239"/>
      <c r="E35" s="240"/>
      <c r="F35" s="240"/>
      <c r="G35" s="14"/>
      <c r="K35" s="13"/>
      <c r="M35" s="14" t="s">
        <v>219</v>
      </c>
      <c r="N35" s="14" t="s">
        <v>220</v>
      </c>
      <c r="O35" s="58"/>
      <c r="P35" s="58"/>
      <c r="S35" s="156"/>
      <c r="T35" s="18"/>
      <c r="U35" s="18"/>
      <c r="V35" s="157"/>
    </row>
    <row r="36" spans="3:22" x14ac:dyDescent="0.2">
      <c r="C36" s="150">
        <f>E36+F36+G36</f>
        <v>0</v>
      </c>
      <c r="D36" s="150" t="s">
        <v>58</v>
      </c>
      <c r="E36" s="158">
        <f>SUM(E4:E35)</f>
        <v>0</v>
      </c>
      <c r="F36" s="158">
        <f>SUM(F4:F35)</f>
        <v>0</v>
      </c>
      <c r="G36" s="14"/>
      <c r="K36" s="13"/>
      <c r="P36" s="58"/>
      <c r="V36" s="159"/>
    </row>
    <row r="37" spans="3:22" x14ac:dyDescent="0.2">
      <c r="C37" s="14"/>
      <c r="D37" s="14"/>
      <c r="E37" s="14"/>
      <c r="F37" s="14"/>
      <c r="G37" s="14"/>
      <c r="L37" s="177" t="s">
        <v>170</v>
      </c>
      <c r="M37" s="177" t="s">
        <v>214</v>
      </c>
      <c r="N37" s="177" t="s">
        <v>207</v>
      </c>
      <c r="O37" s="177" t="s">
        <v>171</v>
      </c>
      <c r="P37" s="58"/>
      <c r="V37" s="20"/>
    </row>
    <row r="38" spans="3:22" x14ac:dyDescent="0.2">
      <c r="C38" s="14"/>
      <c r="D38" s="14"/>
      <c r="E38" s="14"/>
      <c r="F38" s="14"/>
      <c r="G38" s="14"/>
      <c r="L38" s="177" t="s">
        <v>173</v>
      </c>
      <c r="M38" s="178" t="s">
        <v>172</v>
      </c>
      <c r="N38" s="177" t="s">
        <v>215</v>
      </c>
      <c r="O38" s="177" t="s">
        <v>174</v>
      </c>
      <c r="P38" s="58"/>
      <c r="V38" s="20"/>
    </row>
    <row r="39" spans="3:22" x14ac:dyDescent="0.2">
      <c r="L39" s="177" t="s">
        <v>178</v>
      </c>
      <c r="M39" s="177" t="s">
        <v>216</v>
      </c>
      <c r="N39" s="177" t="s">
        <v>218</v>
      </c>
      <c r="O39" s="177" t="s">
        <v>175</v>
      </c>
      <c r="P39" s="58"/>
      <c r="V39" s="20"/>
    </row>
    <row r="40" spans="3:22" x14ac:dyDescent="0.2">
      <c r="L40" s="177" t="s">
        <v>179</v>
      </c>
      <c r="M40" s="177" t="s">
        <v>219</v>
      </c>
      <c r="N40" s="177" t="s">
        <v>220</v>
      </c>
      <c r="O40" s="177" t="s">
        <v>177</v>
      </c>
      <c r="P40" s="58"/>
    </row>
    <row r="41" spans="3:22" x14ac:dyDescent="0.2">
      <c r="L41" s="177"/>
      <c r="M41" s="177" t="s">
        <v>176</v>
      </c>
      <c r="N41" s="177" t="s">
        <v>217</v>
      </c>
      <c r="O41" s="177"/>
      <c r="P41" s="58"/>
    </row>
    <row r="42" spans="3:22" x14ac:dyDescent="0.2">
      <c r="L42" s="14"/>
      <c r="M42" s="14"/>
      <c r="N42" s="14"/>
      <c r="O42" s="14"/>
    </row>
    <row r="43" spans="3:22" x14ac:dyDescent="0.2">
      <c r="E43" s="14"/>
      <c r="L43" s="58"/>
      <c r="M43" s="58"/>
      <c r="N43" s="58"/>
      <c r="O43" s="58"/>
    </row>
    <row r="44" spans="3:22" x14ac:dyDescent="0.2">
      <c r="L44" s="14" t="s">
        <v>170</v>
      </c>
      <c r="M44" s="14" t="s">
        <v>214</v>
      </c>
      <c r="N44" s="14" t="s">
        <v>207</v>
      </c>
      <c r="O44" s="14" t="s">
        <v>171</v>
      </c>
    </row>
    <row r="45" spans="3:22" x14ac:dyDescent="0.2">
      <c r="L45" s="14" t="s">
        <v>173</v>
      </c>
      <c r="M45" s="58" t="s">
        <v>172</v>
      </c>
      <c r="N45" s="14" t="s">
        <v>215</v>
      </c>
      <c r="O45" s="14" t="s">
        <v>174</v>
      </c>
    </row>
    <row r="46" spans="3:22" x14ac:dyDescent="0.2">
      <c r="L46" s="14" t="s">
        <v>178</v>
      </c>
      <c r="M46" s="13" t="s">
        <v>216</v>
      </c>
      <c r="N46" s="14" t="s">
        <v>218</v>
      </c>
      <c r="O46" s="14" t="s">
        <v>175</v>
      </c>
    </row>
    <row r="47" spans="3:22" x14ac:dyDescent="0.2">
      <c r="L47" s="14" t="s">
        <v>220</v>
      </c>
      <c r="M47" s="14" t="s">
        <v>219</v>
      </c>
      <c r="N47" s="14" t="s">
        <v>179</v>
      </c>
      <c r="O47" s="14" t="s">
        <v>177</v>
      </c>
    </row>
    <row r="48" spans="3:22" x14ac:dyDescent="0.2">
      <c r="L48" s="14"/>
      <c r="M48" s="14" t="s">
        <v>176</v>
      </c>
      <c r="N48" s="14" t="s">
        <v>217</v>
      </c>
      <c r="O48" s="14"/>
    </row>
    <row r="49" spans="12:15" x14ac:dyDescent="0.2">
      <c r="L49" s="58"/>
      <c r="M49" s="58"/>
      <c r="N49" s="58"/>
      <c r="O49" s="58"/>
    </row>
    <row r="50" spans="12:15" x14ac:dyDescent="0.2">
      <c r="L50" s="14" t="s">
        <v>170</v>
      </c>
      <c r="M50" s="14" t="s">
        <v>214</v>
      </c>
      <c r="N50" s="14" t="s">
        <v>207</v>
      </c>
      <c r="O50" s="14" t="s">
        <v>171</v>
      </c>
    </row>
    <row r="51" spans="12:15" x14ac:dyDescent="0.2">
      <c r="L51" s="14" t="s">
        <v>173</v>
      </c>
      <c r="M51" s="58" t="s">
        <v>172</v>
      </c>
      <c r="N51" s="14" t="s">
        <v>215</v>
      </c>
      <c r="O51" s="14" t="s">
        <v>174</v>
      </c>
    </row>
    <row r="52" spans="12:15" x14ac:dyDescent="0.2">
      <c r="L52" s="14" t="s">
        <v>178</v>
      </c>
      <c r="M52" s="13" t="s">
        <v>216</v>
      </c>
      <c r="N52" s="14" t="s">
        <v>218</v>
      </c>
      <c r="O52" s="14" t="s">
        <v>175</v>
      </c>
    </row>
    <row r="53" spans="12:15" x14ac:dyDescent="0.2">
      <c r="L53" s="14" t="s">
        <v>176</v>
      </c>
      <c r="M53" s="14" t="s">
        <v>219</v>
      </c>
      <c r="N53" s="14" t="s">
        <v>179</v>
      </c>
      <c r="O53" s="14" t="s">
        <v>177</v>
      </c>
    </row>
    <row r="54" spans="12:15" x14ac:dyDescent="0.2">
      <c r="L54" s="14"/>
      <c r="M54" s="14" t="s">
        <v>220</v>
      </c>
      <c r="N54" s="14" t="s">
        <v>217</v>
      </c>
      <c r="O54" s="14"/>
    </row>
    <row r="55" spans="12:15" x14ac:dyDescent="0.2">
      <c r="L55" s="58"/>
      <c r="M55" s="58"/>
      <c r="N55" s="58"/>
      <c r="O55" s="5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E4BFF-8719-4D31-85B9-150F305D4C34}">
  <dimension ref="A1:P120"/>
  <sheetViews>
    <sheetView showGridLines="0" workbookViewId="0">
      <selection activeCell="H117" sqref="H117"/>
    </sheetView>
  </sheetViews>
  <sheetFormatPr baseColWidth="10" defaultColWidth="8.83203125" defaultRowHeight="15" x14ac:dyDescent="0.2"/>
  <cols>
    <col min="1" max="1" width="5.83203125" customWidth="1"/>
    <col min="2" max="2" width="12.83203125" bestFit="1" customWidth="1"/>
    <col min="3" max="3" width="11.6640625" bestFit="1" customWidth="1"/>
    <col min="4" max="4" width="3" bestFit="1" customWidth="1"/>
    <col min="6" max="6" width="5.1640625" customWidth="1"/>
    <col min="7" max="8" width="18.33203125" bestFit="1" customWidth="1"/>
    <col min="9" max="9" width="4.5" customWidth="1"/>
    <col min="10" max="10" width="8.33203125" customWidth="1"/>
    <col min="12" max="12" width="10.5" bestFit="1" customWidth="1"/>
    <col min="14" max="14" width="3.33203125" customWidth="1"/>
  </cols>
  <sheetData>
    <row r="1" spans="1:16" ht="21" x14ac:dyDescent="0.25">
      <c r="A1" s="63" t="s">
        <v>227</v>
      </c>
    </row>
    <row r="3" spans="1:16" x14ac:dyDescent="0.2">
      <c r="F3" s="14"/>
      <c r="G3" s="14"/>
      <c r="H3" s="14"/>
      <c r="I3" s="14"/>
      <c r="J3" s="14"/>
    </row>
    <row r="4" spans="1:16" ht="17" thickBot="1" x14ac:dyDescent="0.25">
      <c r="A4" s="64" t="s">
        <v>224</v>
      </c>
      <c r="G4" s="1" t="s">
        <v>221</v>
      </c>
      <c r="H4" s="188" t="s">
        <v>209</v>
      </c>
      <c r="J4" s="179"/>
      <c r="K4" s="179"/>
      <c r="L4" s="179"/>
      <c r="M4" s="14"/>
      <c r="N4" s="58"/>
      <c r="O4" s="58"/>
      <c r="P4" s="58"/>
    </row>
    <row r="5" spans="1:16" x14ac:dyDescent="0.2">
      <c r="A5" s="65" t="s">
        <v>106</v>
      </c>
      <c r="B5" s="160" t="s">
        <v>107</v>
      </c>
      <c r="C5" s="161" t="s">
        <v>108</v>
      </c>
      <c r="D5" s="56"/>
      <c r="G5" s="163" t="s">
        <v>109</v>
      </c>
      <c r="H5" s="189" t="s">
        <v>24</v>
      </c>
      <c r="M5" s="14"/>
      <c r="P5" s="58"/>
    </row>
    <row r="6" spans="1:16" x14ac:dyDescent="0.2">
      <c r="A6" s="68">
        <v>0.52083333333333337</v>
      </c>
      <c r="B6" s="180" t="s">
        <v>222</v>
      </c>
      <c r="C6" s="188" t="s">
        <v>277</v>
      </c>
      <c r="D6" s="61">
        <v>1</v>
      </c>
      <c r="G6" s="163" t="s">
        <v>207</v>
      </c>
      <c r="H6" s="189" t="s">
        <v>103</v>
      </c>
      <c r="M6" s="14"/>
      <c r="P6" s="58"/>
    </row>
    <row r="7" spans="1:16" x14ac:dyDescent="0.2">
      <c r="A7" s="68">
        <v>5.2083333333333336E-2</v>
      </c>
      <c r="B7" s="180" t="s">
        <v>222</v>
      </c>
      <c r="C7" s="188" t="s">
        <v>277</v>
      </c>
      <c r="D7" s="61">
        <v>2</v>
      </c>
      <c r="G7" s="187" t="s">
        <v>88</v>
      </c>
      <c r="H7" s="190" t="s">
        <v>135</v>
      </c>
      <c r="M7" s="14"/>
      <c r="P7" s="58"/>
    </row>
    <row r="8" spans="1:16" x14ac:dyDescent="0.2">
      <c r="A8" s="68">
        <v>8.3333333333333329E-2</v>
      </c>
      <c r="B8" s="188" t="s">
        <v>277</v>
      </c>
      <c r="C8" s="180" t="s">
        <v>222</v>
      </c>
      <c r="D8" s="61">
        <v>3</v>
      </c>
      <c r="G8" s="293" t="s">
        <v>98</v>
      </c>
      <c r="H8" s="189" t="s">
        <v>100</v>
      </c>
      <c r="M8" s="14"/>
      <c r="P8" s="58"/>
    </row>
    <row r="9" spans="1:16" x14ac:dyDescent="0.2">
      <c r="A9" s="68">
        <v>0.11458333333333333</v>
      </c>
      <c r="B9" s="188" t="s">
        <v>277</v>
      </c>
      <c r="C9" s="180" t="s">
        <v>222</v>
      </c>
      <c r="D9" s="61">
        <v>4</v>
      </c>
      <c r="G9" s="163" t="s">
        <v>83</v>
      </c>
      <c r="H9" s="189" t="s">
        <v>85</v>
      </c>
      <c r="M9" s="14"/>
      <c r="P9" s="58"/>
    </row>
    <row r="10" spans="1:16" x14ac:dyDescent="0.2">
      <c r="A10" s="68">
        <v>0.14583333333333334</v>
      </c>
      <c r="B10" s="180" t="s">
        <v>222</v>
      </c>
      <c r="C10" s="188" t="s">
        <v>277</v>
      </c>
      <c r="D10" s="61">
        <v>5</v>
      </c>
      <c r="H10" s="293" t="s">
        <v>98</v>
      </c>
      <c r="M10" s="14"/>
      <c r="N10" s="58"/>
      <c r="O10" s="58"/>
      <c r="P10" s="58"/>
    </row>
    <row r="11" spans="1:16" x14ac:dyDescent="0.2">
      <c r="A11" s="69">
        <v>0.17708333333333334</v>
      </c>
      <c r="B11" s="191"/>
      <c r="C11" s="192"/>
      <c r="D11" s="61" t="s">
        <v>225</v>
      </c>
      <c r="M11" s="14"/>
      <c r="N11" s="58"/>
      <c r="O11" s="58"/>
      <c r="P11" s="58"/>
    </row>
    <row r="12" spans="1:16" x14ac:dyDescent="0.2">
      <c r="A12" s="69">
        <v>0.20833333333333334</v>
      </c>
      <c r="B12" s="191"/>
      <c r="C12" s="192"/>
      <c r="D12" s="61" t="s">
        <v>226</v>
      </c>
      <c r="G12" s="58"/>
      <c r="H12" s="162"/>
      <c r="I12" s="14"/>
      <c r="J12" s="13"/>
      <c r="K12" s="13"/>
      <c r="L12" s="13"/>
      <c r="M12" s="14"/>
    </row>
    <row r="13" spans="1:16" x14ac:dyDescent="0.2">
      <c r="A13" s="71"/>
      <c r="B13" s="162"/>
      <c r="C13" s="162"/>
      <c r="D13" s="61"/>
      <c r="F13" s="73"/>
      <c r="G13" s="58"/>
      <c r="H13" s="75"/>
      <c r="I13" s="14"/>
      <c r="J13" s="14"/>
      <c r="K13" s="13"/>
      <c r="L13" s="13"/>
      <c r="M13" s="14"/>
    </row>
    <row r="14" spans="1:16" x14ac:dyDescent="0.2">
      <c r="A14" s="184"/>
      <c r="B14" s="19"/>
      <c r="C14" s="19" t="s">
        <v>107</v>
      </c>
      <c r="D14" s="19"/>
      <c r="E14" s="235" t="s">
        <v>108</v>
      </c>
      <c r="F14" s="73"/>
      <c r="G14" s="19"/>
      <c r="H14" s="168" t="s">
        <v>107</v>
      </c>
      <c r="I14" s="19"/>
      <c r="J14" s="19" t="s">
        <v>108</v>
      </c>
      <c r="K14" s="14"/>
      <c r="L14" s="19"/>
      <c r="M14" s="235" t="s">
        <v>107</v>
      </c>
      <c r="N14" s="19"/>
      <c r="O14" s="19" t="s">
        <v>108</v>
      </c>
    </row>
    <row r="15" spans="1:16" x14ac:dyDescent="0.2">
      <c r="A15" s="71"/>
      <c r="B15" s="238" t="s">
        <v>268</v>
      </c>
      <c r="C15" s="231" t="s">
        <v>222</v>
      </c>
      <c r="D15" s="231"/>
      <c r="E15" s="237" t="s">
        <v>271</v>
      </c>
      <c r="F15" s="73"/>
      <c r="G15" s="238" t="s">
        <v>273</v>
      </c>
      <c r="H15" s="233" t="s">
        <v>222</v>
      </c>
      <c r="I15" s="231"/>
      <c r="J15" s="231" t="s">
        <v>271</v>
      </c>
      <c r="K15" s="14"/>
      <c r="L15" s="238" t="s">
        <v>274</v>
      </c>
      <c r="M15" s="237" t="s">
        <v>271</v>
      </c>
      <c r="N15" s="231"/>
      <c r="O15" s="231" t="s">
        <v>222</v>
      </c>
    </row>
    <row r="16" spans="1:16" x14ac:dyDescent="0.2">
      <c r="A16" s="71"/>
      <c r="B16" s="230" t="s">
        <v>269</v>
      </c>
      <c r="C16" s="19">
        <v>7</v>
      </c>
      <c r="D16" s="15"/>
      <c r="E16" s="235">
        <v>14</v>
      </c>
      <c r="F16" s="73"/>
      <c r="G16" s="230" t="s">
        <v>269</v>
      </c>
      <c r="H16" s="168">
        <v>17</v>
      </c>
      <c r="I16" s="15"/>
      <c r="J16" s="19">
        <v>15</v>
      </c>
      <c r="K16" s="14"/>
      <c r="L16" s="230" t="s">
        <v>269</v>
      </c>
      <c r="M16" s="235">
        <v>24</v>
      </c>
      <c r="N16" s="15"/>
      <c r="O16" s="19">
        <v>19</v>
      </c>
    </row>
    <row r="17" spans="1:15" x14ac:dyDescent="0.2">
      <c r="A17" s="71"/>
      <c r="B17" s="230" t="s">
        <v>270</v>
      </c>
      <c r="C17" s="19">
        <v>13</v>
      </c>
      <c r="D17" s="15"/>
      <c r="E17" s="235">
        <v>19</v>
      </c>
      <c r="F17" s="73"/>
      <c r="G17" s="230" t="s">
        <v>270</v>
      </c>
      <c r="H17" s="168">
        <v>16</v>
      </c>
      <c r="I17" s="15"/>
      <c r="J17" s="19">
        <v>12</v>
      </c>
      <c r="K17" s="14"/>
      <c r="L17" s="230" t="s">
        <v>270</v>
      </c>
      <c r="M17" s="235">
        <v>24</v>
      </c>
      <c r="N17" s="15"/>
      <c r="O17" s="19">
        <v>15</v>
      </c>
    </row>
    <row r="18" spans="1:15" x14ac:dyDescent="0.2">
      <c r="A18" s="71"/>
      <c r="B18" s="62" t="s">
        <v>272</v>
      </c>
      <c r="C18" s="62">
        <f>SUM(C16:C17)</f>
        <v>20</v>
      </c>
      <c r="D18" s="232"/>
      <c r="E18" s="236">
        <f>SUM(E16:E17)</f>
        <v>33</v>
      </c>
      <c r="F18" s="73"/>
      <c r="G18" s="62" t="s">
        <v>272</v>
      </c>
      <c r="H18" s="234">
        <f>SUM(H16:H17)</f>
        <v>33</v>
      </c>
      <c r="I18" s="232"/>
      <c r="J18" s="62">
        <f>SUM(J16:J17)</f>
        <v>27</v>
      </c>
      <c r="K18" s="14"/>
      <c r="L18" s="62" t="s">
        <v>272</v>
      </c>
      <c r="M18" s="236">
        <f>SUM(M16:M17)</f>
        <v>48</v>
      </c>
      <c r="N18" s="232"/>
      <c r="O18" s="62">
        <f>SUM(O16:O17)</f>
        <v>34</v>
      </c>
    </row>
    <row r="19" spans="1:15" x14ac:dyDescent="0.2">
      <c r="A19" s="71"/>
      <c r="B19" s="19"/>
      <c r="C19" s="19"/>
      <c r="D19" s="15"/>
      <c r="E19" s="14"/>
      <c r="F19" s="73"/>
      <c r="G19" s="14"/>
      <c r="H19" s="14"/>
      <c r="I19" s="14"/>
      <c r="J19" s="185"/>
      <c r="K19" s="14"/>
      <c r="L19" s="13"/>
      <c r="M19" s="14"/>
    </row>
    <row r="20" spans="1:15" x14ac:dyDescent="0.2">
      <c r="A20" s="71"/>
      <c r="B20" s="19"/>
      <c r="C20" s="235" t="s">
        <v>107</v>
      </c>
      <c r="D20" s="19"/>
      <c r="E20" s="19" t="s">
        <v>108</v>
      </c>
      <c r="F20" s="73"/>
      <c r="G20" s="19"/>
      <c r="H20" s="19" t="s">
        <v>107</v>
      </c>
      <c r="I20" s="19"/>
      <c r="J20" s="235" t="s">
        <v>108</v>
      </c>
      <c r="K20" s="14"/>
      <c r="L20" s="13"/>
      <c r="M20" s="14"/>
    </row>
    <row r="21" spans="1:15" x14ac:dyDescent="0.2">
      <c r="A21" s="71"/>
      <c r="B21" s="238" t="s">
        <v>275</v>
      </c>
      <c r="C21" s="237" t="s">
        <v>271</v>
      </c>
      <c r="D21" s="231"/>
      <c r="E21" s="231" t="s">
        <v>222</v>
      </c>
      <c r="F21" s="15"/>
      <c r="G21" s="238" t="s">
        <v>276</v>
      </c>
      <c r="H21" s="231" t="s">
        <v>222</v>
      </c>
      <c r="I21" s="231"/>
      <c r="J21" s="237" t="s">
        <v>271</v>
      </c>
      <c r="K21" s="14"/>
      <c r="L21" s="13"/>
      <c r="M21" s="14"/>
    </row>
    <row r="22" spans="1:15" x14ac:dyDescent="0.2">
      <c r="A22" s="71"/>
      <c r="B22" s="230" t="s">
        <v>269</v>
      </c>
      <c r="C22" s="235">
        <v>16</v>
      </c>
      <c r="D22" s="15"/>
      <c r="E22" s="19">
        <v>22</v>
      </c>
      <c r="F22" s="15"/>
      <c r="G22" s="230" t="s">
        <v>269</v>
      </c>
      <c r="H22" s="19">
        <v>17</v>
      </c>
      <c r="I22" s="15"/>
      <c r="J22" s="235">
        <v>23</v>
      </c>
      <c r="K22" s="14"/>
      <c r="L22" s="13"/>
      <c r="M22" s="14"/>
    </row>
    <row r="23" spans="1:15" x14ac:dyDescent="0.2">
      <c r="A23" s="71"/>
      <c r="B23" s="230" t="s">
        <v>270</v>
      </c>
      <c r="C23" s="235">
        <v>34</v>
      </c>
      <c r="D23" s="15"/>
      <c r="E23" s="19">
        <v>19</v>
      </c>
      <c r="F23" s="14"/>
      <c r="G23" s="230" t="s">
        <v>270</v>
      </c>
      <c r="H23" s="19">
        <v>13</v>
      </c>
      <c r="I23" s="15"/>
      <c r="J23" s="235">
        <v>20</v>
      </c>
      <c r="K23" s="14"/>
      <c r="L23" s="13"/>
      <c r="M23" s="14"/>
    </row>
    <row r="24" spans="1:15" x14ac:dyDescent="0.2">
      <c r="A24" s="14"/>
      <c r="B24" s="62" t="s">
        <v>272</v>
      </c>
      <c r="C24" s="236">
        <f>SUM(C22:C23)</f>
        <v>50</v>
      </c>
      <c r="D24" s="232"/>
      <c r="E24" s="62">
        <f>SUM(E22:E23)</f>
        <v>41</v>
      </c>
      <c r="F24" s="14"/>
      <c r="G24" s="62" t="s">
        <v>272</v>
      </c>
      <c r="H24" s="62">
        <f>SUM(H22:H23)</f>
        <v>30</v>
      </c>
      <c r="I24" s="232"/>
      <c r="J24" s="236">
        <f>SUM(J22:J23)</f>
        <v>43</v>
      </c>
      <c r="K24" s="16"/>
      <c r="L24" s="13"/>
    </row>
    <row r="25" spans="1:15" x14ac:dyDescent="0.2">
      <c r="A25" s="14"/>
      <c r="B25" s="14"/>
      <c r="C25" s="14"/>
      <c r="D25" s="14"/>
      <c r="E25" s="14"/>
      <c r="F25" s="14"/>
      <c r="G25" s="58"/>
      <c r="H25" s="11"/>
      <c r="I25" s="186"/>
      <c r="J25" s="14"/>
      <c r="K25" s="14"/>
      <c r="L25" s="13"/>
    </row>
    <row r="26" spans="1:15" x14ac:dyDescent="0.2">
      <c r="F26" s="57"/>
      <c r="H26" s="186"/>
      <c r="I26" s="13"/>
      <c r="J26" s="13"/>
      <c r="K26" s="14"/>
      <c r="L26" s="13"/>
    </row>
    <row r="27" spans="1:15" ht="15" hidden="1" customHeight="1" x14ac:dyDescent="0.2">
      <c r="H27" s="13"/>
      <c r="I27" s="13"/>
      <c r="J27" s="16"/>
      <c r="K27" s="14"/>
      <c r="L27" s="13"/>
    </row>
    <row r="28" spans="1:15" ht="15" hidden="1" customHeight="1" x14ac:dyDescent="0.2">
      <c r="A28" s="18"/>
      <c r="B28" s="18"/>
      <c r="C28" s="18"/>
      <c r="D28" s="18"/>
      <c r="E28" s="18"/>
      <c r="F28" s="18"/>
      <c r="G28" s="18"/>
      <c r="H28" s="13"/>
      <c r="I28" s="13"/>
      <c r="J28" s="13"/>
      <c r="K28" s="14"/>
      <c r="L28" s="13"/>
    </row>
    <row r="29" spans="1:15" ht="15.75" hidden="1" customHeight="1" x14ac:dyDescent="0.2">
      <c r="H29" s="13"/>
      <c r="I29" s="13"/>
      <c r="J29" s="13"/>
      <c r="K29" s="14"/>
      <c r="L29" s="13"/>
    </row>
    <row r="30" spans="1:15" hidden="1" x14ac:dyDescent="0.2">
      <c r="A30" s="65" t="s">
        <v>106</v>
      </c>
      <c r="B30" s="66" t="s">
        <v>107</v>
      </c>
      <c r="C30" s="67" t="s">
        <v>108</v>
      </c>
      <c r="D30" s="56"/>
      <c r="H30" s="13"/>
      <c r="I30" s="13"/>
      <c r="J30" s="13"/>
      <c r="K30" s="14"/>
      <c r="L30" s="13"/>
    </row>
    <row r="31" spans="1:15" hidden="1" x14ac:dyDescent="0.2">
      <c r="A31" s="68">
        <v>0.52083333333333337</v>
      </c>
      <c r="B31" s="60"/>
      <c r="C31" s="181"/>
      <c r="D31" s="61">
        <v>1</v>
      </c>
      <c r="H31" s="13"/>
      <c r="I31" s="13"/>
      <c r="J31" s="13"/>
      <c r="K31" s="14"/>
      <c r="L31" s="13"/>
    </row>
    <row r="32" spans="1:15" hidden="1" x14ac:dyDescent="0.2">
      <c r="A32" s="68">
        <v>0.53125</v>
      </c>
      <c r="B32" s="182"/>
      <c r="C32" s="60"/>
      <c r="D32" s="61">
        <v>2</v>
      </c>
      <c r="H32" s="13"/>
      <c r="I32" s="13"/>
      <c r="J32" s="13"/>
      <c r="K32" s="16"/>
      <c r="L32" s="13"/>
    </row>
    <row r="33" spans="1:12" hidden="1" x14ac:dyDescent="0.2">
      <c r="A33" s="68">
        <v>4.1666666666666664E-2</v>
      </c>
      <c r="B33" s="181"/>
      <c r="C33" s="76"/>
      <c r="D33" s="61">
        <v>3</v>
      </c>
      <c r="H33" s="16"/>
      <c r="I33" s="13"/>
      <c r="J33" s="16"/>
      <c r="K33" s="13"/>
      <c r="L33" s="13"/>
    </row>
    <row r="34" spans="1:12" hidden="1" x14ac:dyDescent="0.2">
      <c r="A34" s="68">
        <v>5.2083333333333336E-2</v>
      </c>
      <c r="B34" s="183"/>
      <c r="C34" s="60"/>
      <c r="D34" s="61">
        <v>4</v>
      </c>
      <c r="H34" s="14"/>
      <c r="I34" s="13"/>
      <c r="J34" s="13"/>
      <c r="K34" s="13"/>
      <c r="L34" s="13"/>
    </row>
    <row r="35" spans="1:12" hidden="1" x14ac:dyDescent="0.2">
      <c r="A35" s="68">
        <v>6.25E-2</v>
      </c>
      <c r="B35" s="76"/>
      <c r="C35" s="60"/>
      <c r="D35" s="61">
        <v>5</v>
      </c>
      <c r="H35" s="13"/>
      <c r="I35" s="13"/>
      <c r="J35" s="13"/>
      <c r="K35" s="13"/>
      <c r="L35" s="13"/>
    </row>
    <row r="36" spans="1:12" hidden="1" x14ac:dyDescent="0.2">
      <c r="A36" s="68">
        <v>7.2916666666666671E-2</v>
      </c>
      <c r="B36" s="182"/>
      <c r="C36" s="183"/>
      <c r="D36" s="61">
        <v>6</v>
      </c>
      <c r="H36" s="13"/>
      <c r="I36" s="13"/>
      <c r="J36" s="13"/>
      <c r="K36" s="13"/>
      <c r="L36" s="13"/>
    </row>
    <row r="37" spans="1:12" hidden="1" x14ac:dyDescent="0.2">
      <c r="A37" s="68">
        <v>8.3333333333333329E-2</v>
      </c>
      <c r="B37" s="60"/>
      <c r="C37" s="181"/>
      <c r="D37" s="61">
        <v>7</v>
      </c>
      <c r="H37" s="13"/>
      <c r="I37" s="13"/>
      <c r="J37" s="13"/>
      <c r="K37" s="13"/>
      <c r="L37" s="13"/>
    </row>
    <row r="38" spans="1:12" hidden="1" x14ac:dyDescent="0.2">
      <c r="A38" s="68">
        <v>9.375E-2</v>
      </c>
      <c r="B38" s="60"/>
      <c r="C38" s="182"/>
      <c r="D38" s="61">
        <v>8</v>
      </c>
      <c r="H38" s="13"/>
      <c r="I38" s="13"/>
      <c r="J38" s="13"/>
      <c r="K38" s="13"/>
      <c r="L38" s="13"/>
    </row>
    <row r="39" spans="1:12" hidden="1" x14ac:dyDescent="0.2">
      <c r="A39" s="68">
        <v>0.10416666666666667</v>
      </c>
      <c r="B39" s="76"/>
      <c r="C39" s="183"/>
      <c r="D39" s="61">
        <v>9</v>
      </c>
      <c r="H39" s="13"/>
      <c r="I39" s="13"/>
      <c r="J39" s="13"/>
      <c r="K39" s="13"/>
      <c r="L39" s="13"/>
    </row>
    <row r="40" spans="1:12" hidden="1" x14ac:dyDescent="0.2">
      <c r="A40" s="68">
        <v>0.11458333333333333</v>
      </c>
      <c r="B40" s="60"/>
      <c r="C40" s="60"/>
      <c r="D40" s="61">
        <v>10</v>
      </c>
      <c r="H40" s="13"/>
      <c r="I40" s="13"/>
      <c r="J40" s="13"/>
      <c r="K40" s="13"/>
      <c r="L40" s="13"/>
    </row>
    <row r="41" spans="1:12" hidden="1" x14ac:dyDescent="0.2">
      <c r="A41" s="68">
        <v>0.125</v>
      </c>
      <c r="B41" s="182"/>
      <c r="C41" s="181"/>
      <c r="D41" s="61">
        <v>11</v>
      </c>
      <c r="H41" s="13"/>
      <c r="I41" s="13"/>
      <c r="J41" s="13"/>
      <c r="K41" s="13"/>
      <c r="L41" s="13"/>
    </row>
    <row r="42" spans="1:12" hidden="1" x14ac:dyDescent="0.2">
      <c r="A42" s="68">
        <v>0.13541666666666666</v>
      </c>
      <c r="B42" s="183"/>
      <c r="C42" s="60"/>
      <c r="D42" s="61">
        <v>12</v>
      </c>
      <c r="H42" s="13"/>
      <c r="I42" s="13"/>
      <c r="J42" s="13"/>
      <c r="K42" s="13"/>
      <c r="L42" s="13"/>
    </row>
    <row r="43" spans="1:12" hidden="1" x14ac:dyDescent="0.2">
      <c r="A43" s="68">
        <v>0.14583333333333334</v>
      </c>
      <c r="B43" s="60"/>
      <c r="C43" s="76"/>
      <c r="D43" s="61">
        <v>13</v>
      </c>
      <c r="H43" s="13"/>
      <c r="I43" s="13"/>
      <c r="J43" s="13"/>
      <c r="K43" s="13"/>
      <c r="L43" s="13"/>
    </row>
    <row r="44" spans="1:12" hidden="1" x14ac:dyDescent="0.2">
      <c r="A44" s="68">
        <v>0.15625</v>
      </c>
      <c r="B44" s="181"/>
      <c r="C44" s="183"/>
      <c r="D44" s="61">
        <v>14</v>
      </c>
      <c r="H44" s="13"/>
      <c r="I44" s="13"/>
      <c r="J44" s="13"/>
      <c r="K44" s="13"/>
      <c r="L44" s="13"/>
    </row>
    <row r="45" spans="1:12" ht="15.75" hidden="1" customHeight="1" x14ac:dyDescent="0.2">
      <c r="A45" s="77">
        <v>0.16666666666666666</v>
      </c>
      <c r="B45" s="76"/>
      <c r="C45" s="182"/>
      <c r="D45" s="61">
        <v>15</v>
      </c>
      <c r="H45" s="13"/>
      <c r="I45" s="13"/>
      <c r="J45" s="13"/>
      <c r="K45" s="13"/>
      <c r="L45" s="13"/>
    </row>
    <row r="46" spans="1:12" ht="15.75" hidden="1" customHeight="1" x14ac:dyDescent="0.2">
      <c r="D46" s="70"/>
      <c r="H46" s="13"/>
      <c r="I46" s="13"/>
      <c r="J46" s="13"/>
      <c r="K46" s="13"/>
      <c r="L46" s="13"/>
    </row>
    <row r="47" spans="1:12" hidden="1" x14ac:dyDescent="0.2">
      <c r="A47" s="72">
        <v>0.1875</v>
      </c>
      <c r="B47" s="27" t="s">
        <v>129</v>
      </c>
      <c r="C47" s="27" t="s">
        <v>110</v>
      </c>
      <c r="D47" s="61">
        <v>16</v>
      </c>
      <c r="H47" s="13"/>
      <c r="I47" s="13"/>
      <c r="J47" s="13"/>
      <c r="K47" s="13"/>
      <c r="L47" s="13"/>
    </row>
    <row r="48" spans="1:12" hidden="1" x14ac:dyDescent="0.2">
      <c r="A48" s="68">
        <v>0.19791666666666666</v>
      </c>
      <c r="B48" s="27" t="s">
        <v>130</v>
      </c>
      <c r="C48" s="27" t="s">
        <v>113</v>
      </c>
      <c r="D48" s="61">
        <v>17</v>
      </c>
      <c r="H48" s="13"/>
      <c r="I48" s="13"/>
      <c r="J48" s="13"/>
      <c r="K48" s="13"/>
      <c r="L48" s="13"/>
    </row>
    <row r="49" spans="1:12" hidden="1" x14ac:dyDescent="0.2">
      <c r="A49" s="68">
        <v>0.20833333333333334</v>
      </c>
      <c r="B49" s="27" t="s">
        <v>111</v>
      </c>
      <c r="C49" s="27" t="s">
        <v>114</v>
      </c>
      <c r="D49" s="57">
        <v>18</v>
      </c>
      <c r="H49" s="13"/>
      <c r="I49" s="13"/>
      <c r="J49" s="13"/>
      <c r="K49" s="13"/>
      <c r="L49" s="13"/>
    </row>
    <row r="50" spans="1:12" hidden="1" x14ac:dyDescent="0.2">
      <c r="A50" s="68">
        <v>0.21875</v>
      </c>
      <c r="B50" s="27" t="s">
        <v>131</v>
      </c>
      <c r="C50" s="27" t="s">
        <v>115</v>
      </c>
      <c r="D50" s="57">
        <v>19</v>
      </c>
      <c r="H50" s="13"/>
      <c r="I50" s="13"/>
      <c r="J50" s="13"/>
      <c r="K50" s="13"/>
      <c r="L50" s="13"/>
    </row>
    <row r="51" spans="1:12" ht="15.75" hidden="1" customHeight="1" x14ac:dyDescent="0.2">
      <c r="A51" s="77">
        <v>0.23263888888888887</v>
      </c>
      <c r="B51" s="27" t="s">
        <v>116</v>
      </c>
      <c r="C51" s="27" t="s">
        <v>117</v>
      </c>
      <c r="D51" s="57">
        <v>20</v>
      </c>
      <c r="H51" s="13"/>
      <c r="I51" s="13"/>
      <c r="J51" s="13"/>
      <c r="K51" s="13"/>
      <c r="L51" s="13"/>
    </row>
    <row r="52" spans="1:12" hidden="1" x14ac:dyDescent="0.2">
      <c r="H52" s="13"/>
      <c r="I52" s="13"/>
      <c r="J52" s="13"/>
      <c r="K52" s="13"/>
      <c r="L52" s="13"/>
    </row>
    <row r="53" spans="1:12" hidden="1" x14ac:dyDescent="0.2">
      <c r="A53" s="18"/>
      <c r="B53" s="18"/>
      <c r="C53" s="18"/>
      <c r="D53" s="18"/>
      <c r="E53" s="18"/>
      <c r="F53" s="18"/>
      <c r="G53" s="18"/>
      <c r="H53" s="13"/>
      <c r="I53" s="13"/>
      <c r="J53" s="13"/>
      <c r="K53" s="13"/>
      <c r="L53" s="13"/>
    </row>
    <row r="54" spans="1:12" ht="15.75" hidden="1" customHeight="1" x14ac:dyDescent="0.2">
      <c r="A54" t="s">
        <v>223</v>
      </c>
      <c r="H54" s="13"/>
      <c r="I54" s="13"/>
      <c r="J54" s="13"/>
      <c r="K54" s="13"/>
      <c r="L54" s="13"/>
    </row>
    <row r="55" spans="1:12" hidden="1" x14ac:dyDescent="0.2">
      <c r="A55" s="65" t="s">
        <v>106</v>
      </c>
      <c r="B55" s="66" t="s">
        <v>107</v>
      </c>
      <c r="C55" s="67" t="s">
        <v>108</v>
      </c>
      <c r="D55" s="56"/>
      <c r="H55" s="13"/>
      <c r="I55" s="13"/>
      <c r="J55" s="13"/>
      <c r="K55" s="13"/>
      <c r="L55" s="13"/>
    </row>
    <row r="56" spans="1:12" hidden="1" x14ac:dyDescent="0.2">
      <c r="A56" s="68">
        <v>0.52083333333333337</v>
      </c>
      <c r="B56" s="27" t="s">
        <v>118</v>
      </c>
      <c r="C56" s="27" t="s">
        <v>119</v>
      </c>
      <c r="D56" s="61">
        <v>1</v>
      </c>
      <c r="H56" s="13"/>
      <c r="I56" s="13"/>
      <c r="J56" s="13"/>
      <c r="K56" s="13"/>
      <c r="L56" s="13"/>
    </row>
    <row r="57" spans="1:12" hidden="1" x14ac:dyDescent="0.2">
      <c r="A57" s="68">
        <v>0.53125</v>
      </c>
      <c r="B57" s="27" t="s">
        <v>120</v>
      </c>
      <c r="C57" s="27" t="s">
        <v>121</v>
      </c>
      <c r="D57" s="61">
        <v>2</v>
      </c>
      <c r="H57" s="13"/>
      <c r="I57" s="13"/>
      <c r="J57" s="13"/>
      <c r="K57" s="13"/>
      <c r="L57" s="13"/>
    </row>
    <row r="58" spans="1:12" hidden="1" x14ac:dyDescent="0.2">
      <c r="A58" s="68">
        <v>4.1666666666666664E-2</v>
      </c>
      <c r="B58" s="27" t="s">
        <v>118</v>
      </c>
      <c r="C58" s="27" t="s">
        <v>122</v>
      </c>
      <c r="D58" s="61">
        <v>3</v>
      </c>
      <c r="H58" s="13"/>
      <c r="I58" s="13"/>
      <c r="J58" s="13"/>
      <c r="K58" s="13"/>
      <c r="L58" s="13"/>
    </row>
    <row r="59" spans="1:12" hidden="1" x14ac:dyDescent="0.2">
      <c r="A59" s="68">
        <v>5.2083333333333336E-2</v>
      </c>
      <c r="B59" s="27" t="s">
        <v>119</v>
      </c>
      <c r="C59" s="27" t="s">
        <v>120</v>
      </c>
      <c r="D59" s="61">
        <v>4</v>
      </c>
      <c r="H59" s="13"/>
      <c r="I59" s="13"/>
      <c r="J59" s="13"/>
      <c r="K59" s="13"/>
      <c r="L59" s="13"/>
    </row>
    <row r="60" spans="1:12" hidden="1" x14ac:dyDescent="0.2">
      <c r="A60" s="68">
        <v>6.25E-2</v>
      </c>
      <c r="B60" s="27" t="s">
        <v>121</v>
      </c>
      <c r="C60" s="27" t="s">
        <v>122</v>
      </c>
      <c r="D60" s="61">
        <v>5</v>
      </c>
      <c r="H60" s="13"/>
      <c r="I60" s="13"/>
      <c r="J60" s="13"/>
      <c r="K60" s="13"/>
      <c r="L60" s="13"/>
    </row>
    <row r="61" spans="1:12" hidden="1" x14ac:dyDescent="0.2">
      <c r="A61" s="68">
        <v>7.2916666666666671E-2</v>
      </c>
      <c r="B61" s="27" t="s">
        <v>118</v>
      </c>
      <c r="C61" s="27" t="s">
        <v>120</v>
      </c>
      <c r="D61" s="61">
        <v>6</v>
      </c>
      <c r="H61" s="13"/>
      <c r="I61" s="13"/>
      <c r="J61" s="13"/>
      <c r="K61" s="13"/>
      <c r="L61" s="13"/>
    </row>
    <row r="62" spans="1:12" hidden="1" x14ac:dyDescent="0.2">
      <c r="A62" s="68">
        <v>8.3333333333333329E-2</v>
      </c>
      <c r="B62" s="27" t="s">
        <v>119</v>
      </c>
      <c r="C62" s="27" t="s">
        <v>121</v>
      </c>
      <c r="D62" s="61">
        <v>7</v>
      </c>
      <c r="H62" s="13"/>
      <c r="I62" s="13"/>
      <c r="J62" s="13"/>
      <c r="K62" s="13"/>
      <c r="L62" s="13"/>
    </row>
    <row r="63" spans="1:12" hidden="1" x14ac:dyDescent="0.2">
      <c r="A63" s="68">
        <v>9.375E-2</v>
      </c>
      <c r="B63" s="27" t="s">
        <v>120</v>
      </c>
      <c r="C63" s="27" t="s">
        <v>122</v>
      </c>
      <c r="D63" s="61">
        <v>8</v>
      </c>
      <c r="H63" s="13"/>
      <c r="I63" s="13"/>
      <c r="J63" s="13"/>
      <c r="K63" s="13"/>
      <c r="L63" s="13"/>
    </row>
    <row r="64" spans="1:12" hidden="1" x14ac:dyDescent="0.2">
      <c r="A64" s="68">
        <v>0.10416666666666667</v>
      </c>
      <c r="B64" s="27" t="s">
        <v>118</v>
      </c>
      <c r="C64" s="27" t="s">
        <v>121</v>
      </c>
      <c r="D64" s="61">
        <v>9</v>
      </c>
      <c r="H64" s="13"/>
      <c r="I64" s="13"/>
      <c r="J64" s="13"/>
      <c r="K64" s="13"/>
      <c r="L64" s="13"/>
    </row>
    <row r="65" spans="1:12" hidden="1" x14ac:dyDescent="0.2">
      <c r="A65" s="68">
        <v>0.11458333333333333</v>
      </c>
      <c r="B65" s="27" t="s">
        <v>119</v>
      </c>
      <c r="C65" s="27" t="s">
        <v>122</v>
      </c>
      <c r="D65" s="61">
        <v>10</v>
      </c>
      <c r="H65" s="13"/>
      <c r="I65" s="13"/>
      <c r="J65" s="13"/>
      <c r="K65" s="13"/>
      <c r="L65" s="13"/>
    </row>
    <row r="66" spans="1:12" hidden="1" x14ac:dyDescent="0.2">
      <c r="A66" s="68"/>
      <c r="B66" s="60"/>
      <c r="C66" s="60"/>
      <c r="D66" s="61">
        <v>11</v>
      </c>
      <c r="H66" s="13"/>
      <c r="I66" s="13"/>
      <c r="J66" s="13"/>
      <c r="K66" s="13"/>
      <c r="L66" s="13"/>
    </row>
    <row r="67" spans="1:12" hidden="1" x14ac:dyDescent="0.2">
      <c r="A67" s="68"/>
      <c r="B67" s="60"/>
      <c r="C67" s="60"/>
      <c r="D67" s="61">
        <v>12</v>
      </c>
      <c r="H67" s="13"/>
      <c r="I67" s="13"/>
      <c r="J67" s="13"/>
      <c r="K67" s="13"/>
      <c r="L67" s="13"/>
    </row>
    <row r="68" spans="1:12" ht="15" hidden="1" customHeight="1" thickBot="1" x14ac:dyDescent="0.25">
      <c r="A68" s="68"/>
      <c r="B68" s="60"/>
      <c r="C68" s="60"/>
      <c r="D68" s="61">
        <v>13</v>
      </c>
      <c r="H68" s="13"/>
      <c r="I68" s="13"/>
      <c r="J68" s="13"/>
      <c r="K68" s="13"/>
      <c r="L68" s="13"/>
    </row>
    <row r="69" spans="1:12" hidden="1" x14ac:dyDescent="0.2">
      <c r="A69" s="68"/>
      <c r="B69" s="60"/>
      <c r="C69" s="60"/>
      <c r="D69" s="61">
        <v>14</v>
      </c>
      <c r="H69" s="13"/>
      <c r="I69" s="13"/>
      <c r="J69" s="13"/>
      <c r="K69" s="13"/>
      <c r="L69" s="13"/>
    </row>
    <row r="70" spans="1:12" ht="15.75" hidden="1" customHeight="1" x14ac:dyDescent="0.2">
      <c r="A70" s="77"/>
      <c r="B70" s="60"/>
      <c r="C70" s="60"/>
      <c r="D70" s="61">
        <v>15</v>
      </c>
      <c r="H70" s="13"/>
      <c r="I70" s="13"/>
      <c r="J70" s="13"/>
      <c r="K70" s="13"/>
      <c r="L70" s="13"/>
    </row>
    <row r="71" spans="1:12" ht="15.75" hidden="1" customHeight="1" x14ac:dyDescent="0.2">
      <c r="B71" s="78" t="s">
        <v>123</v>
      </c>
      <c r="D71" s="70"/>
      <c r="H71" s="13"/>
      <c r="I71" s="13"/>
      <c r="J71" s="13"/>
      <c r="K71" s="13"/>
      <c r="L71" s="13"/>
    </row>
    <row r="72" spans="1:12" hidden="1" x14ac:dyDescent="0.2">
      <c r="A72" s="72"/>
      <c r="B72" s="279" t="s">
        <v>124</v>
      </c>
      <c r="C72" s="280"/>
      <c r="D72" s="61"/>
      <c r="H72" s="13"/>
      <c r="I72" s="13"/>
      <c r="J72" s="13"/>
      <c r="K72" s="13"/>
      <c r="L72" s="13"/>
    </row>
    <row r="73" spans="1:12" hidden="1" x14ac:dyDescent="0.2">
      <c r="A73" s="79">
        <v>0.13194444444444445</v>
      </c>
      <c r="B73" s="60" t="s">
        <v>110</v>
      </c>
      <c r="C73" s="60" t="s">
        <v>111</v>
      </c>
      <c r="D73" s="61">
        <v>11</v>
      </c>
      <c r="H73" s="13"/>
      <c r="I73" s="13"/>
      <c r="J73" s="13"/>
      <c r="K73" s="13"/>
      <c r="L73" s="13"/>
    </row>
    <row r="74" spans="1:12" hidden="1" x14ac:dyDescent="0.2">
      <c r="A74" s="79">
        <v>0.1423611111111111</v>
      </c>
      <c r="B74" s="60" t="s">
        <v>110</v>
      </c>
      <c r="C74" s="60" t="s">
        <v>111</v>
      </c>
      <c r="D74" s="61">
        <v>12</v>
      </c>
      <c r="H74" s="13"/>
      <c r="I74" s="13"/>
      <c r="J74" s="13"/>
      <c r="K74" s="13"/>
      <c r="L74" s="13"/>
    </row>
    <row r="75" spans="1:12" hidden="1" x14ac:dyDescent="0.2">
      <c r="A75" s="79">
        <v>0.15277777777777776</v>
      </c>
      <c r="B75" s="60" t="s">
        <v>110</v>
      </c>
      <c r="C75" s="60" t="s">
        <v>111</v>
      </c>
      <c r="D75" s="61" t="s">
        <v>125</v>
      </c>
      <c r="H75" s="13"/>
      <c r="I75" s="13"/>
      <c r="J75" s="13"/>
      <c r="K75" s="13"/>
      <c r="L75" s="13"/>
    </row>
    <row r="76" spans="1:12" hidden="1" x14ac:dyDescent="0.2">
      <c r="A76" s="68"/>
      <c r="B76" s="279" t="s">
        <v>126</v>
      </c>
      <c r="C76" s="280"/>
      <c r="D76" s="61"/>
      <c r="H76" s="13"/>
      <c r="I76" s="13"/>
      <c r="J76" s="13"/>
      <c r="K76" s="13"/>
      <c r="L76" s="13"/>
    </row>
    <row r="77" spans="1:12" hidden="1" x14ac:dyDescent="0.2">
      <c r="A77" s="68">
        <v>0.16319444444444445</v>
      </c>
      <c r="B77" s="60" t="s">
        <v>114</v>
      </c>
      <c r="C77" s="60" t="s">
        <v>115</v>
      </c>
      <c r="D77" s="61">
        <v>13</v>
      </c>
      <c r="H77" s="13"/>
      <c r="I77" s="13"/>
      <c r="J77" s="13"/>
      <c r="K77" s="13"/>
      <c r="L77" s="13"/>
    </row>
    <row r="78" spans="1:12" hidden="1" x14ac:dyDescent="0.2">
      <c r="A78" s="68">
        <v>0.17361111111111113</v>
      </c>
      <c r="B78" s="60" t="s">
        <v>112</v>
      </c>
      <c r="C78" s="60" t="s">
        <v>113</v>
      </c>
      <c r="D78" s="61">
        <v>14</v>
      </c>
      <c r="H78" s="13"/>
      <c r="I78" s="13"/>
      <c r="J78" s="13"/>
      <c r="K78" s="13"/>
      <c r="L78" s="13"/>
    </row>
    <row r="79" spans="1:12" hidden="1" x14ac:dyDescent="0.2">
      <c r="A79" s="68">
        <v>0.18402777777777779</v>
      </c>
      <c r="B79" s="60" t="s">
        <v>114</v>
      </c>
      <c r="C79" s="60" t="s">
        <v>115</v>
      </c>
      <c r="D79" s="61">
        <v>15</v>
      </c>
      <c r="H79" s="13"/>
      <c r="I79" s="13"/>
      <c r="J79" s="13"/>
      <c r="K79" s="13"/>
      <c r="L79" s="13"/>
    </row>
    <row r="80" spans="1:12" hidden="1" x14ac:dyDescent="0.2">
      <c r="A80" s="68">
        <v>0.19444444444444445</v>
      </c>
      <c r="B80" s="60" t="s">
        <v>112</v>
      </c>
      <c r="C80" s="60" t="s">
        <v>113</v>
      </c>
      <c r="D80" s="61">
        <v>16</v>
      </c>
      <c r="H80" s="13"/>
      <c r="I80" s="13"/>
      <c r="J80" s="13"/>
      <c r="K80" s="13"/>
      <c r="L80" s="13"/>
    </row>
    <row r="81" spans="1:12" ht="15" hidden="1" customHeight="1" thickBot="1" x14ac:dyDescent="0.25">
      <c r="A81" s="68">
        <v>0.20486111111111113</v>
      </c>
      <c r="B81" s="60" t="s">
        <v>114</v>
      </c>
      <c r="C81" s="60" t="s">
        <v>115</v>
      </c>
      <c r="D81" s="61" t="s">
        <v>125</v>
      </c>
      <c r="H81" s="13"/>
      <c r="I81" s="13"/>
      <c r="J81" s="13"/>
      <c r="K81" s="13"/>
      <c r="L81" s="13"/>
    </row>
    <row r="82" spans="1:12" hidden="1" x14ac:dyDescent="0.2">
      <c r="A82" s="68">
        <v>0.21527777777777779</v>
      </c>
      <c r="B82" s="60" t="s">
        <v>112</v>
      </c>
      <c r="C82" s="60" t="s">
        <v>113</v>
      </c>
      <c r="D82" s="61" t="s">
        <v>125</v>
      </c>
      <c r="H82" s="13"/>
      <c r="I82" s="13"/>
      <c r="J82" s="13"/>
      <c r="K82" s="13"/>
      <c r="L82" s="13"/>
    </row>
    <row r="83" spans="1:12" ht="15.75" hidden="1" customHeight="1" x14ac:dyDescent="0.2">
      <c r="A83" s="77"/>
      <c r="B83" s="279" t="s">
        <v>127</v>
      </c>
      <c r="C83" s="280"/>
      <c r="D83" s="61"/>
      <c r="H83" s="13"/>
      <c r="I83" s="13"/>
      <c r="J83" s="13"/>
      <c r="K83" s="13"/>
      <c r="L83" s="13"/>
    </row>
    <row r="84" spans="1:12" hidden="1" x14ac:dyDescent="0.2">
      <c r="A84" s="68">
        <v>0.22569444444444445</v>
      </c>
      <c r="B84" s="60" t="s">
        <v>116</v>
      </c>
      <c r="C84" s="60" t="s">
        <v>117</v>
      </c>
      <c r="D84">
        <v>17</v>
      </c>
      <c r="H84" s="13"/>
      <c r="I84" s="13"/>
      <c r="J84" s="13"/>
      <c r="K84" s="13"/>
      <c r="L84" s="13"/>
    </row>
    <row r="85" spans="1:12" hidden="1" x14ac:dyDescent="0.2">
      <c r="A85" s="68">
        <v>0.23611111111111113</v>
      </c>
      <c r="B85" s="60" t="s">
        <v>116</v>
      </c>
      <c r="C85" s="60" t="s">
        <v>117</v>
      </c>
      <c r="D85">
        <v>18</v>
      </c>
      <c r="H85" s="13"/>
      <c r="I85" s="13"/>
      <c r="J85" s="13"/>
      <c r="K85" s="13"/>
      <c r="L85" s="13"/>
    </row>
    <row r="86" spans="1:12" hidden="1" x14ac:dyDescent="0.2">
      <c r="A86" s="68">
        <v>0.24652777777777779</v>
      </c>
      <c r="B86" s="60" t="s">
        <v>116</v>
      </c>
      <c r="C86" s="60" t="s">
        <v>117</v>
      </c>
      <c r="D86" s="61" t="s">
        <v>125</v>
      </c>
      <c r="H86" s="13"/>
      <c r="I86" s="13"/>
      <c r="J86" s="13"/>
      <c r="K86" s="13"/>
      <c r="L86" s="13"/>
    </row>
    <row r="87" spans="1:12" hidden="1" x14ac:dyDescent="0.2">
      <c r="A87" s="80"/>
      <c r="B87" s="81" t="s">
        <v>128</v>
      </c>
      <c r="H87" s="13"/>
      <c r="I87" s="13"/>
      <c r="J87" s="13"/>
      <c r="K87" s="13"/>
      <c r="L87" s="13"/>
    </row>
    <row r="88" spans="1:12" hidden="1" x14ac:dyDescent="0.2">
      <c r="A88" s="79">
        <v>0.13194444444444445</v>
      </c>
      <c r="B88" s="27" t="s">
        <v>110</v>
      </c>
      <c r="C88" s="27" t="s">
        <v>111</v>
      </c>
      <c r="D88" s="61">
        <v>11</v>
      </c>
      <c r="H88" s="13"/>
      <c r="I88" s="13"/>
      <c r="J88" s="13"/>
      <c r="K88" s="13"/>
      <c r="L88" s="13"/>
    </row>
    <row r="89" spans="1:12" hidden="1" x14ac:dyDescent="0.2">
      <c r="A89" s="68">
        <v>0.14930555555555555</v>
      </c>
      <c r="B89" s="27" t="s">
        <v>112</v>
      </c>
      <c r="C89" s="27" t="s">
        <v>113</v>
      </c>
      <c r="D89" s="61">
        <v>12</v>
      </c>
      <c r="H89" s="13"/>
      <c r="I89" s="13"/>
      <c r="J89" s="13"/>
      <c r="K89" s="13"/>
      <c r="L89" s="13"/>
    </row>
    <row r="90" spans="1:12" hidden="1" x14ac:dyDescent="0.2">
      <c r="A90" s="68">
        <v>0.16666666666666666</v>
      </c>
      <c r="B90" s="27" t="s">
        <v>114</v>
      </c>
      <c r="C90" s="27" t="s">
        <v>115</v>
      </c>
      <c r="D90" s="61">
        <v>13</v>
      </c>
      <c r="H90" s="13"/>
      <c r="I90" s="13"/>
      <c r="J90" s="13"/>
      <c r="K90" s="13"/>
      <c r="L90" s="13"/>
    </row>
    <row r="91" spans="1:12" hidden="1" x14ac:dyDescent="0.2">
      <c r="A91" s="68">
        <v>0.1875</v>
      </c>
      <c r="B91" s="27" t="s">
        <v>116</v>
      </c>
      <c r="C91" s="27" t="s">
        <v>117</v>
      </c>
      <c r="D91" s="61">
        <v>14</v>
      </c>
      <c r="H91" s="13"/>
      <c r="I91" s="13"/>
      <c r="J91" s="13"/>
      <c r="K91" s="13"/>
      <c r="L91" s="13"/>
    </row>
    <row r="92" spans="1:12" hidden="1" x14ac:dyDescent="0.2">
      <c r="A92" s="68"/>
      <c r="B92" s="27"/>
      <c r="C92" s="27"/>
      <c r="D92" s="61"/>
      <c r="H92" s="13"/>
      <c r="I92" s="13"/>
      <c r="J92" s="13"/>
      <c r="K92" s="13"/>
      <c r="L92" s="13"/>
    </row>
    <row r="93" spans="1:12" hidden="1" x14ac:dyDescent="0.2">
      <c r="A93" s="68"/>
      <c r="B93" s="27"/>
      <c r="C93" s="27"/>
      <c r="D93" s="61"/>
      <c r="H93" s="13"/>
      <c r="I93" s="13"/>
      <c r="J93" s="13"/>
      <c r="K93" s="13"/>
      <c r="L93" s="13"/>
    </row>
    <row r="94" spans="1:12" hidden="1" x14ac:dyDescent="0.2">
      <c r="H94" s="13"/>
      <c r="I94" s="13"/>
      <c r="J94" s="13"/>
      <c r="K94" s="13"/>
      <c r="L94" s="13"/>
    </row>
    <row r="95" spans="1:12" hidden="1" x14ac:dyDescent="0.2">
      <c r="H95" s="13"/>
      <c r="I95" s="13"/>
      <c r="J95" s="13"/>
      <c r="K95" s="13"/>
      <c r="L95" s="13"/>
    </row>
    <row r="96" spans="1:12" ht="15" hidden="1" customHeight="1" x14ac:dyDescent="0.2">
      <c r="H96" s="13"/>
      <c r="I96" s="13"/>
      <c r="J96" s="13"/>
      <c r="K96" s="13"/>
      <c r="L96" s="13"/>
    </row>
    <row r="97" spans="6:12" ht="15" hidden="1" customHeight="1" x14ac:dyDescent="0.2">
      <c r="H97" s="13"/>
      <c r="I97" s="13"/>
      <c r="J97" s="13"/>
      <c r="K97" s="13"/>
      <c r="L97" s="13"/>
    </row>
    <row r="98" spans="6:12" ht="15" hidden="1" customHeight="1" x14ac:dyDescent="0.2">
      <c r="H98" s="13"/>
      <c r="I98" s="13"/>
      <c r="J98" s="13"/>
      <c r="K98" s="13"/>
      <c r="L98" s="13"/>
    </row>
    <row r="99" spans="6:12" ht="15" hidden="1" customHeight="1" x14ac:dyDescent="0.2">
      <c r="H99" s="13"/>
      <c r="I99" s="13"/>
      <c r="J99" s="13"/>
      <c r="K99" s="13"/>
      <c r="L99" s="13"/>
    </row>
    <row r="100" spans="6:12" ht="15" hidden="1" customHeight="1" x14ac:dyDescent="0.2">
      <c r="H100" s="13"/>
      <c r="I100" s="13"/>
      <c r="J100" s="13"/>
      <c r="K100" s="13"/>
      <c r="L100" s="13"/>
    </row>
    <row r="101" spans="6:12" ht="15" hidden="1" customHeight="1" x14ac:dyDescent="0.2">
      <c r="H101" s="13"/>
      <c r="I101" s="13"/>
      <c r="J101" s="13"/>
      <c r="K101" s="13"/>
      <c r="L101" s="13"/>
    </row>
    <row r="102" spans="6:12" ht="15" hidden="1" customHeight="1" x14ac:dyDescent="0.2">
      <c r="H102" s="13"/>
      <c r="I102" s="13"/>
      <c r="J102" s="13"/>
      <c r="K102" s="13"/>
      <c r="L102" s="13"/>
    </row>
    <row r="103" spans="6:12" ht="15" hidden="1" customHeight="1" x14ac:dyDescent="0.2">
      <c r="H103" s="13"/>
      <c r="I103" s="13"/>
      <c r="J103" s="13"/>
      <c r="K103" s="13"/>
      <c r="L103" s="13"/>
    </row>
    <row r="104" spans="6:12" ht="15" hidden="1" customHeight="1" x14ac:dyDescent="0.2">
      <c r="H104" s="13"/>
      <c r="I104" s="13"/>
      <c r="J104" s="13"/>
      <c r="K104" s="13"/>
      <c r="L104" s="13"/>
    </row>
    <row r="105" spans="6:12" ht="15" hidden="1" customHeight="1" x14ac:dyDescent="0.2">
      <c r="H105" s="13"/>
      <c r="I105" s="13"/>
      <c r="J105" s="13"/>
      <c r="K105" s="13"/>
      <c r="L105" s="13"/>
    </row>
    <row r="106" spans="6:12" ht="15" hidden="1" customHeight="1" x14ac:dyDescent="0.2">
      <c r="H106" s="13"/>
      <c r="I106" s="13"/>
      <c r="J106" s="13"/>
      <c r="K106" s="13"/>
      <c r="L106" s="13"/>
    </row>
    <row r="107" spans="6:12" ht="15" hidden="1" customHeight="1" x14ac:dyDescent="0.2">
      <c r="H107" s="13"/>
      <c r="I107" s="13"/>
      <c r="J107" s="13"/>
      <c r="K107" s="13"/>
      <c r="L107" s="13"/>
    </row>
    <row r="108" spans="6:12" ht="15" hidden="1" customHeight="1" thickBot="1" x14ac:dyDescent="0.25">
      <c r="F108" s="14"/>
      <c r="G108" s="14"/>
      <c r="H108" s="14"/>
      <c r="I108" s="14"/>
      <c r="J108" s="13"/>
      <c r="K108" s="13"/>
      <c r="L108" s="13"/>
    </row>
    <row r="109" spans="6:12" ht="15" hidden="1" customHeight="1" x14ac:dyDescent="0.2">
      <c r="F109" s="14"/>
      <c r="G109" s="14"/>
      <c r="H109" s="14"/>
      <c r="I109" s="14"/>
      <c r="J109" s="13"/>
      <c r="K109" s="13"/>
      <c r="L109" s="13"/>
    </row>
    <row r="110" spans="6:12" ht="15" hidden="1" customHeight="1" x14ac:dyDescent="0.2">
      <c r="F110" s="14"/>
      <c r="G110" s="14"/>
      <c r="H110" s="14"/>
      <c r="I110" s="14"/>
      <c r="J110" s="13"/>
      <c r="K110" s="13"/>
      <c r="L110" s="13"/>
    </row>
    <row r="111" spans="6:12" ht="15" hidden="1" customHeight="1" x14ac:dyDescent="0.2">
      <c r="F111" s="14"/>
      <c r="G111" s="14"/>
      <c r="H111" s="14"/>
      <c r="I111" s="14"/>
      <c r="J111" s="13"/>
      <c r="K111" s="13"/>
      <c r="L111" s="13"/>
    </row>
    <row r="112" spans="6:12" ht="15" hidden="1" customHeight="1" x14ac:dyDescent="0.2">
      <c r="H112" s="13"/>
      <c r="I112" s="13"/>
      <c r="J112" s="13"/>
      <c r="K112" s="13"/>
      <c r="L112" s="13"/>
    </row>
    <row r="113" spans="8:12" ht="15" hidden="1" customHeight="1" x14ac:dyDescent="0.2">
      <c r="H113" s="13"/>
      <c r="I113" s="13"/>
      <c r="J113" s="13"/>
      <c r="K113" s="13"/>
      <c r="L113" s="13"/>
    </row>
    <row r="114" spans="8:12" ht="15" hidden="1" customHeight="1" thickBot="1" x14ac:dyDescent="0.25">
      <c r="H114" s="13"/>
      <c r="I114" s="13"/>
      <c r="J114" s="13"/>
      <c r="K114" s="13"/>
      <c r="L114" s="13"/>
    </row>
    <row r="115" spans="8:12" ht="15" hidden="1" customHeight="1" x14ac:dyDescent="0.2">
      <c r="H115" s="13"/>
      <c r="I115" s="13"/>
      <c r="J115" s="13"/>
      <c r="K115" s="13"/>
      <c r="L115" s="13"/>
    </row>
    <row r="116" spans="8:12" ht="15" hidden="1" customHeight="1" x14ac:dyDescent="0.2">
      <c r="H116" s="13"/>
      <c r="I116" s="13"/>
      <c r="J116" s="13"/>
      <c r="K116" s="13"/>
      <c r="L116" s="13"/>
    </row>
    <row r="117" spans="8:12" x14ac:dyDescent="0.2">
      <c r="H117" s="13"/>
      <c r="I117" s="13"/>
      <c r="J117" s="13"/>
      <c r="K117" s="13"/>
      <c r="L117" s="13"/>
    </row>
    <row r="118" spans="8:12" x14ac:dyDescent="0.2">
      <c r="H118" s="13"/>
      <c r="I118" s="13"/>
      <c r="J118" s="13"/>
      <c r="K118" s="13"/>
      <c r="L118" s="13"/>
    </row>
    <row r="119" spans="8:12" x14ac:dyDescent="0.2">
      <c r="H119" s="13"/>
      <c r="I119" s="13"/>
      <c r="J119" s="13"/>
      <c r="K119" s="13"/>
      <c r="L119" s="13"/>
    </row>
    <row r="120" spans="8:12" x14ac:dyDescent="0.2">
      <c r="H120" s="13"/>
      <c r="I120" s="13"/>
      <c r="J120" s="13"/>
      <c r="K120" s="13"/>
      <c r="L120" s="13"/>
    </row>
  </sheetData>
  <mergeCells count="3">
    <mergeCell ref="B83:C83"/>
    <mergeCell ref="B72:C72"/>
    <mergeCell ref="B76:C76"/>
  </mergeCells>
  <hyperlinks>
    <hyperlink ref="B30" r:id="rId1" display="sjglauber@gmail.com" xr:uid="{B36B4CD5-B54D-43A1-8679-2BB14FD93040}"/>
    <hyperlink ref="B5" r:id="rId2" display="sjglauber@gmail.com" xr:uid="{31CC9967-FEF9-47F7-8968-9FCF5FFDA050}"/>
    <hyperlink ref="B55" r:id="rId3" display="sjglauber@gmail.com" xr:uid="{9E167249-A171-441C-8866-3D16FE98BEEC}"/>
  </hyperlinks>
  <pageMargins left="0.7" right="0.7" top="0.75" bottom="0.75" header="0.3" footer="0.3"/>
  <pageSetup orientation="portrait" verticalDpi="0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F75CB-37A3-40DC-A96A-BBF077CBCF89}">
  <dimension ref="A1:H33"/>
  <sheetViews>
    <sheetView showGridLines="0" tabSelected="1" workbookViewId="0">
      <selection activeCell="C37" sqref="C37"/>
    </sheetView>
  </sheetViews>
  <sheetFormatPr baseColWidth="10" defaultColWidth="8.83203125" defaultRowHeight="15" x14ac:dyDescent="0.2"/>
  <cols>
    <col min="1" max="1" width="10.83203125" customWidth="1"/>
    <col min="2" max="2" width="9.5" customWidth="1"/>
    <col min="5" max="5" width="12" customWidth="1"/>
    <col min="8" max="8" width="15.1640625" customWidth="1"/>
  </cols>
  <sheetData>
    <row r="1" spans="1:8" ht="19" x14ac:dyDescent="0.25">
      <c r="A1" s="147" t="s">
        <v>228</v>
      </c>
      <c r="B1" s="18"/>
      <c r="C1" s="18"/>
      <c r="D1" s="18"/>
      <c r="E1" s="18"/>
      <c r="F1" s="18"/>
      <c r="G1" s="18"/>
      <c r="H1" s="18"/>
    </row>
    <row r="3" spans="1:8" x14ac:dyDescent="0.2">
      <c r="A3" s="286" t="s">
        <v>154</v>
      </c>
      <c r="B3" s="287"/>
      <c r="D3" s="290" t="s">
        <v>155</v>
      </c>
      <c r="E3" s="291"/>
      <c r="G3" s="286" t="s">
        <v>156</v>
      </c>
      <c r="H3" s="287"/>
    </row>
    <row r="4" spans="1:8" x14ac:dyDescent="0.2">
      <c r="A4" s="283" t="s">
        <v>100</v>
      </c>
      <c r="B4" s="284"/>
      <c r="C4" s="58"/>
      <c r="D4" s="283" t="s">
        <v>100</v>
      </c>
      <c r="E4" s="284"/>
      <c r="F4" s="58"/>
      <c r="G4" s="281" t="s">
        <v>88</v>
      </c>
      <c r="H4" s="282"/>
    </row>
    <row r="5" spans="1:8" x14ac:dyDescent="0.2">
      <c r="D5" s="283" t="s">
        <v>24</v>
      </c>
      <c r="E5" s="284"/>
      <c r="F5" s="58"/>
      <c r="G5" s="281" t="s">
        <v>207</v>
      </c>
      <c r="H5" s="282"/>
    </row>
    <row r="6" spans="1:8" x14ac:dyDescent="0.2">
      <c r="D6" s="283" t="s">
        <v>135</v>
      </c>
      <c r="E6" s="284"/>
      <c r="F6" s="58"/>
      <c r="G6" s="281" t="s">
        <v>83</v>
      </c>
      <c r="H6" s="282"/>
    </row>
    <row r="7" spans="1:8" x14ac:dyDescent="0.2">
      <c r="A7" s="286" t="s">
        <v>157</v>
      </c>
      <c r="B7" s="287"/>
      <c r="D7" s="281" t="s">
        <v>109</v>
      </c>
      <c r="E7" s="282"/>
      <c r="F7" s="58"/>
      <c r="G7" s="288" t="s">
        <v>98</v>
      </c>
      <c r="H7" s="289"/>
    </row>
    <row r="8" spans="1:8" x14ac:dyDescent="0.2">
      <c r="A8" s="283" t="s">
        <v>24</v>
      </c>
      <c r="B8" s="284"/>
      <c r="D8" s="283" t="s">
        <v>103</v>
      </c>
      <c r="E8" s="284"/>
      <c r="G8" s="283" t="s">
        <v>85</v>
      </c>
      <c r="H8" s="284"/>
    </row>
    <row r="10" spans="1:8" x14ac:dyDescent="0.2">
      <c r="A10" s="286" t="s">
        <v>158</v>
      </c>
      <c r="B10" s="287"/>
      <c r="D10" s="286" t="s">
        <v>159</v>
      </c>
      <c r="E10" s="287"/>
      <c r="G10" s="286" t="s">
        <v>160</v>
      </c>
      <c r="H10" s="287"/>
    </row>
    <row r="11" spans="1:8" x14ac:dyDescent="0.2">
      <c r="A11" s="283" t="s">
        <v>279</v>
      </c>
      <c r="B11" s="285"/>
      <c r="C11" s="58"/>
      <c r="D11" s="283" t="s">
        <v>24</v>
      </c>
      <c r="E11" s="284"/>
      <c r="F11" s="58"/>
      <c r="G11" s="283" t="s">
        <v>100</v>
      </c>
      <c r="H11" s="284"/>
    </row>
    <row r="12" spans="1:8" x14ac:dyDescent="0.2">
      <c r="D12" s="281" t="s">
        <v>88</v>
      </c>
      <c r="E12" s="282"/>
      <c r="F12" s="58"/>
      <c r="G12" s="281" t="s">
        <v>83</v>
      </c>
      <c r="H12" s="282"/>
    </row>
    <row r="13" spans="1:8" x14ac:dyDescent="0.2">
      <c r="D13" s="283" t="s">
        <v>135</v>
      </c>
      <c r="E13" s="284"/>
      <c r="F13" s="58"/>
      <c r="G13" s="281" t="s">
        <v>207</v>
      </c>
      <c r="H13" s="282"/>
    </row>
    <row r="14" spans="1:8" x14ac:dyDescent="0.2">
      <c r="A14" s="286" t="s">
        <v>161</v>
      </c>
      <c r="B14" s="287"/>
      <c r="C14" s="58"/>
      <c r="D14" s="281" t="s">
        <v>109</v>
      </c>
      <c r="E14" s="282"/>
      <c r="F14" s="58"/>
      <c r="G14" s="288" t="s">
        <v>98</v>
      </c>
      <c r="H14" s="289"/>
    </row>
    <row r="15" spans="1:8" x14ac:dyDescent="0.2">
      <c r="A15" s="281" t="s">
        <v>207</v>
      </c>
      <c r="B15" s="282"/>
      <c r="C15" s="58"/>
      <c r="D15" s="283" t="s">
        <v>103</v>
      </c>
      <c r="E15" s="284"/>
      <c r="F15" s="58"/>
      <c r="G15" s="283" t="s">
        <v>85</v>
      </c>
      <c r="H15" s="285"/>
    </row>
    <row r="17" spans="1:8" x14ac:dyDescent="0.2">
      <c r="A17" s="148" t="s">
        <v>162</v>
      </c>
      <c r="B17" s="18"/>
      <c r="C17" s="18"/>
      <c r="D17" s="18"/>
      <c r="E17" s="18"/>
      <c r="F17" s="18"/>
      <c r="G17" s="18"/>
      <c r="H17" s="18"/>
    </row>
    <row r="18" spans="1:8" x14ac:dyDescent="0.2">
      <c r="A18" t="s">
        <v>283</v>
      </c>
    </row>
    <row r="19" spans="1:8" x14ac:dyDescent="0.2">
      <c r="A19" t="s">
        <v>284</v>
      </c>
    </row>
    <row r="20" spans="1:8" x14ac:dyDescent="0.2">
      <c r="A20" t="s">
        <v>285</v>
      </c>
    </row>
    <row r="21" spans="1:8" x14ac:dyDescent="0.2">
      <c r="A21" t="s">
        <v>286</v>
      </c>
    </row>
    <row r="22" spans="1:8" x14ac:dyDescent="0.2">
      <c r="A22" t="s">
        <v>287</v>
      </c>
    </row>
    <row r="24" spans="1:8" x14ac:dyDescent="0.2">
      <c r="A24" s="148" t="s">
        <v>163</v>
      </c>
      <c r="B24" s="18"/>
      <c r="C24" s="18"/>
      <c r="D24" s="18"/>
      <c r="E24" s="18"/>
      <c r="F24" s="18"/>
      <c r="G24" s="18"/>
      <c r="H24" s="18"/>
    </row>
    <row r="25" spans="1:8" x14ac:dyDescent="0.2">
      <c r="A25" t="s">
        <v>281</v>
      </c>
    </row>
    <row r="26" spans="1:8" hidden="1" x14ac:dyDescent="0.2"/>
    <row r="27" spans="1:8" hidden="1" x14ac:dyDescent="0.2">
      <c r="B27" s="149"/>
    </row>
    <row r="29" spans="1:8" x14ac:dyDescent="0.2">
      <c r="A29" s="148" t="s">
        <v>229</v>
      </c>
      <c r="B29" s="18"/>
      <c r="C29" s="18"/>
      <c r="D29" s="18"/>
      <c r="E29" s="18"/>
      <c r="F29" s="18"/>
      <c r="G29" s="18"/>
      <c r="H29" s="18"/>
    </row>
    <row r="30" spans="1:8" x14ac:dyDescent="0.2">
      <c r="A30" t="s">
        <v>267</v>
      </c>
    </row>
    <row r="31" spans="1:8" x14ac:dyDescent="0.2">
      <c r="A31" t="s">
        <v>280</v>
      </c>
    </row>
    <row r="32" spans="1:8" x14ac:dyDescent="0.2">
      <c r="A32" t="s">
        <v>288</v>
      </c>
      <c r="B32" s="149"/>
      <c r="C32" s="149"/>
      <c r="D32" s="149"/>
      <c r="E32" s="149"/>
    </row>
    <row r="33" spans="1:5" x14ac:dyDescent="0.2">
      <c r="A33" t="s">
        <v>282</v>
      </c>
      <c r="B33" s="149"/>
      <c r="C33" s="149"/>
      <c r="D33" s="149"/>
      <c r="E33" s="149"/>
    </row>
  </sheetData>
  <mergeCells count="32">
    <mergeCell ref="A8:B8"/>
    <mergeCell ref="D7:E7"/>
    <mergeCell ref="G7:H7"/>
    <mergeCell ref="A10:B10"/>
    <mergeCell ref="D5:E5"/>
    <mergeCell ref="G5:H5"/>
    <mergeCell ref="A7:B7"/>
    <mergeCell ref="D6:E6"/>
    <mergeCell ref="G6:H6"/>
    <mergeCell ref="D10:E10"/>
    <mergeCell ref="G10:H10"/>
    <mergeCell ref="D8:E8"/>
    <mergeCell ref="G8:H8"/>
    <mergeCell ref="A3:B3"/>
    <mergeCell ref="D3:E3"/>
    <mergeCell ref="G3:H3"/>
    <mergeCell ref="A4:B4"/>
    <mergeCell ref="D4:E4"/>
    <mergeCell ref="G4:H4"/>
    <mergeCell ref="A15:B15"/>
    <mergeCell ref="D15:E15"/>
    <mergeCell ref="G15:H15"/>
    <mergeCell ref="A11:B11"/>
    <mergeCell ref="D11:E11"/>
    <mergeCell ref="G11:H11"/>
    <mergeCell ref="D12:E12"/>
    <mergeCell ref="G12:H12"/>
    <mergeCell ref="A14:B14"/>
    <mergeCell ref="D14:E14"/>
    <mergeCell ref="G14:H14"/>
    <mergeCell ref="D13:E13"/>
    <mergeCell ref="G13:H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9052B-0927-490B-8487-55F6C52FC355}">
  <dimension ref="A1:Z74"/>
  <sheetViews>
    <sheetView showGridLines="0" zoomScale="85" zoomScaleNormal="85" workbookViewId="0">
      <selection activeCell="V40" sqref="V40"/>
    </sheetView>
  </sheetViews>
  <sheetFormatPr baseColWidth="10" defaultColWidth="8.83203125" defaultRowHeight="15" x14ac:dyDescent="0.2"/>
  <cols>
    <col min="1" max="1" width="18.33203125" bestFit="1" customWidth="1"/>
    <col min="2" max="2" width="21.5" customWidth="1"/>
    <col min="3" max="3" width="16.5" bestFit="1" customWidth="1"/>
    <col min="4" max="4" width="10.5" customWidth="1"/>
    <col min="5" max="5" width="13.6640625" customWidth="1"/>
    <col min="6" max="6" width="14" style="87" customWidth="1"/>
    <col min="7" max="7" width="11" customWidth="1"/>
    <col min="8" max="8" width="10.5" customWidth="1"/>
    <col min="9" max="9" width="10.6640625" style="87" customWidth="1"/>
    <col min="10" max="10" width="11" customWidth="1"/>
    <col min="11" max="11" width="10.5" customWidth="1"/>
    <col min="12" max="12" width="10.6640625" style="87" customWidth="1"/>
    <col min="15" max="15" width="9.1640625" style="87"/>
    <col min="16" max="16" width="15.6640625" customWidth="1"/>
    <col min="18" max="18" width="11.6640625" bestFit="1" customWidth="1"/>
    <col min="19" max="19" width="13" customWidth="1"/>
    <col min="20" max="20" width="14" customWidth="1"/>
    <col min="21" max="21" width="11.6640625" bestFit="1" customWidth="1"/>
    <col min="22" max="22" width="10.1640625" customWidth="1"/>
    <col min="23" max="23" width="10.6640625" bestFit="1" customWidth="1"/>
    <col min="24" max="24" width="12" customWidth="1"/>
    <col min="25" max="25" width="11.6640625" style="87" customWidth="1"/>
  </cols>
  <sheetData>
    <row r="1" spans="1:26" x14ac:dyDescent="0.2">
      <c r="A1" t="s">
        <v>142</v>
      </c>
    </row>
    <row r="2" spans="1:26" ht="16" thickBot="1" x14ac:dyDescent="0.25">
      <c r="A2" s="118" t="s">
        <v>75</v>
      </c>
      <c r="B2" s="118"/>
      <c r="C2" s="118"/>
      <c r="D2" s="118"/>
      <c r="E2" s="118"/>
      <c r="F2" s="119"/>
      <c r="G2" s="118"/>
      <c r="H2" s="118"/>
      <c r="I2" s="119"/>
      <c r="J2" s="118"/>
      <c r="K2" s="118"/>
      <c r="L2" s="119"/>
      <c r="M2" s="118"/>
      <c r="N2" s="118"/>
      <c r="O2" s="119"/>
      <c r="P2" s="118"/>
      <c r="Q2" s="118"/>
      <c r="R2" s="118"/>
      <c r="S2" s="118"/>
      <c r="T2" s="118"/>
      <c r="U2" s="118"/>
      <c r="V2" s="118"/>
      <c r="W2" s="118"/>
      <c r="X2" s="118"/>
      <c r="Y2" s="119"/>
      <c r="Z2" s="118"/>
    </row>
    <row r="3" spans="1:26" ht="30" customHeight="1" x14ac:dyDescent="0.2">
      <c r="A3" s="55" t="s">
        <v>25</v>
      </c>
      <c r="B3" s="55" t="s">
        <v>22</v>
      </c>
      <c r="C3" s="55" t="s">
        <v>23</v>
      </c>
      <c r="D3" s="55" t="s">
        <v>138</v>
      </c>
      <c r="E3" s="54" t="s">
        <v>0</v>
      </c>
      <c r="F3" s="54" t="s">
        <v>1</v>
      </c>
      <c r="G3" s="88" t="s">
        <v>2</v>
      </c>
      <c r="H3" s="110" t="s">
        <v>3</v>
      </c>
      <c r="I3" s="111" t="s">
        <v>4</v>
      </c>
      <c r="J3" s="112" t="s">
        <v>5</v>
      </c>
      <c r="K3" s="111" t="s">
        <v>6</v>
      </c>
      <c r="L3" s="111" t="s">
        <v>7</v>
      </c>
      <c r="M3" s="112" t="s">
        <v>8</v>
      </c>
      <c r="N3" s="111" t="s">
        <v>9</v>
      </c>
      <c r="O3" s="111" t="s">
        <v>10</v>
      </c>
      <c r="P3" s="113" t="s">
        <v>11</v>
      </c>
      <c r="Q3" s="54" t="s">
        <v>12</v>
      </c>
      <c r="R3" s="54" t="s">
        <v>13</v>
      </c>
      <c r="S3" s="54" t="s">
        <v>14</v>
      </c>
      <c r="T3" s="54" t="s">
        <v>15</v>
      </c>
      <c r="U3" s="54" t="s">
        <v>16</v>
      </c>
      <c r="V3" s="54" t="s">
        <v>17</v>
      </c>
      <c r="W3" s="54" t="s">
        <v>18</v>
      </c>
      <c r="X3" s="54" t="s">
        <v>19</v>
      </c>
      <c r="Y3" s="54" t="s">
        <v>20</v>
      </c>
      <c r="Z3" s="88" t="s">
        <v>21</v>
      </c>
    </row>
    <row r="4" spans="1:26" x14ac:dyDescent="0.2">
      <c r="A4" s="14" t="s">
        <v>33</v>
      </c>
      <c r="B4" t="s">
        <v>135</v>
      </c>
      <c r="C4" t="s">
        <v>209</v>
      </c>
      <c r="D4" s="86">
        <v>5</v>
      </c>
      <c r="E4" s="205">
        <f>SUMIF(Playoff_Games_Full!$A:$A,$B:$B,Playoff_Games_Full!B:B)</f>
        <v>21</v>
      </c>
      <c r="F4" s="74">
        <f>SUMIF(Playoff_Games_Full!$A:$A,$B:$B,Playoff_Games_Full!C:C)</f>
        <v>29</v>
      </c>
      <c r="G4" s="264">
        <f>PO_TOT[[#This Row],[Total FGM]]/PO_TOT[[#This Row],[Total FGA]]</f>
        <v>0.72413793103448276</v>
      </c>
      <c r="H4" s="265">
        <f>SUMIF(Playoff_Games_Full!$A:$A,$B:$B,Playoff_Games_Full!E:E)</f>
        <v>21</v>
      </c>
      <c r="I4" s="208">
        <f>SUMIF(Playoff_Games_Full!$A:$A,$B:$B,Playoff_Games_Full!F:F)</f>
        <v>28</v>
      </c>
      <c r="J4" s="266">
        <f>PO_TOT[[#This Row],[2PT FGM]]/PO_TOT[[#This Row],[2PT FGA]]</f>
        <v>0.75</v>
      </c>
      <c r="K4" s="208">
        <f>SUMIF(Playoff_Games_Full!$A:$A,$B:$B,Playoff_Games_Full!H:H)</f>
        <v>0</v>
      </c>
      <c r="L4" s="208">
        <f>SUMIF(Playoff_Games_Full!$A:$A,$B:$B,Playoff_Games_Full!I:I)</f>
        <v>1</v>
      </c>
      <c r="M4" s="209">
        <f>PO_TOT[[#This Row],[3PT FGM]]/PO_TOT[[#This Row],[3PT FGA]]</f>
        <v>0</v>
      </c>
      <c r="N4" s="208">
        <f>SUMIF(Playoff_Games_Full!$A:$A,$B:$B,Playoff_Games_Full!K:K)</f>
        <v>0</v>
      </c>
      <c r="O4" s="208">
        <f>SUMIF(Playoff_Games_Full!$A:$A,$B:$B,Playoff_Games_Full!L:L)</f>
        <v>1</v>
      </c>
      <c r="P4" s="210">
        <f>PO_TOT[[#This Row],[FTM]]/PO_TOT[[#This Row],[FTA]]</f>
        <v>0</v>
      </c>
      <c r="Q4" s="205">
        <f>SUMIF(Playoff_Games_Full!$A:$A,$B:$B,Playoff_Games_Full!N:N)</f>
        <v>42</v>
      </c>
      <c r="R4" s="270">
        <f>SUMIF(Playoff_Games_Full!$A:$A,$B:$B,Playoff_Games_Full!O:O)</f>
        <v>18</v>
      </c>
      <c r="S4" s="205">
        <f>SUMIF(Playoff_Games_Full!$A:$A,$B:$B,Playoff_Games_Full!P:P)</f>
        <v>22</v>
      </c>
      <c r="T4" s="270">
        <f>SUMIF(Playoff_Games_Full!$A:$A,$B:$B,Playoff_Games_Full!Q:Q)</f>
        <v>12</v>
      </c>
      <c r="U4" s="270">
        <f>SUMIF(Playoff_Games_Full!$A:$A,$B:$B,Playoff_Games_Full!R:R)</f>
        <v>34</v>
      </c>
      <c r="V4" s="205">
        <f>SUMIF(Playoff_Games_Full!$A:$A,$B:$B,Playoff_Games_Full!S:S)</f>
        <v>6</v>
      </c>
      <c r="W4" s="205">
        <f>SUMIF(Playoff_Games_Full!$A:$A,$B:$B,Playoff_Games_Full!T:T)</f>
        <v>6</v>
      </c>
      <c r="X4" s="270">
        <f>SUMIF(Playoff_Games_Full!$A:$A,$B:$B,Playoff_Games_Full!U:U)</f>
        <v>4</v>
      </c>
      <c r="Y4" s="205">
        <f>SUMIF(Playoff_Games_Full!$A:$A,$B:$B,Playoff_Games_Full!V:V)</f>
        <v>10</v>
      </c>
      <c r="Z4" s="204">
        <f>PO_TOT[[#This Row],[Dimes]]/PO_TOT[[#This Row],[Turnovers]]</f>
        <v>0.6</v>
      </c>
    </row>
    <row r="5" spans="1:26" x14ac:dyDescent="0.2">
      <c r="A5" s="14" t="s">
        <v>29</v>
      </c>
      <c r="B5" t="s">
        <v>24</v>
      </c>
      <c r="C5" t="s">
        <v>209</v>
      </c>
      <c r="D5" s="86">
        <v>4</v>
      </c>
      <c r="E5" s="74">
        <f>SUMIF(Playoff_Games_Full!$A:$A,$B:$B,Playoff_Games_Full!B:B)</f>
        <v>19</v>
      </c>
      <c r="F5" s="74">
        <f>SUMIF(Playoff_Games_Full!$A:$A,$B:$B,Playoff_Games_Full!C:C)</f>
        <v>33</v>
      </c>
      <c r="G5" s="203">
        <f>PO_TOT[[#This Row],[Total FGM]]/PO_TOT[[#This Row],[Total FGA]]</f>
        <v>0.5757575757575758</v>
      </c>
      <c r="H5" s="98">
        <f>SUMIF(Playoff_Games_Full!$A:$A,$B:$B,Playoff_Games_Full!E:E)</f>
        <v>13</v>
      </c>
      <c r="I5" s="19">
        <f>SUMIF(Playoff_Games_Full!$A:$A,$B:$B,Playoff_Games_Full!F:F)</f>
        <v>18</v>
      </c>
      <c r="J5" s="91">
        <f>PO_TOT[[#This Row],[2PT FGM]]/PO_TOT[[#This Row],[2PT FGA]]</f>
        <v>0.72222222222222221</v>
      </c>
      <c r="K5" s="19">
        <f>SUMIF(Playoff_Games_Full!$A:$A,$B:$B,Playoff_Games_Full!H:H)</f>
        <v>6</v>
      </c>
      <c r="L5" s="19">
        <f>SUMIF(Playoff_Games_Full!$A:$A,$B:$B,Playoff_Games_Full!I:I)</f>
        <v>15</v>
      </c>
      <c r="M5" s="91">
        <f>PO_TOT[[#This Row],[3PT FGM]]/PO_TOT[[#This Row],[3PT FGA]]</f>
        <v>0.4</v>
      </c>
      <c r="N5" s="19">
        <f>SUMIF(Playoff_Games_Full!$A:$A,$B:$B,Playoff_Games_Full!K:K)</f>
        <v>1</v>
      </c>
      <c r="O5" s="19">
        <f>SUMIF(Playoff_Games_Full!$A:$A,$B:$B,Playoff_Games_Full!L:L)</f>
        <v>1</v>
      </c>
      <c r="P5" s="251">
        <f>PO_TOT[[#This Row],[FTM]]/PO_TOT[[#This Row],[FTA]]</f>
        <v>1</v>
      </c>
      <c r="Q5" s="74">
        <f>SUMIF(Playoff_Games_Full!$A:$A,$B:$B,Playoff_Games_Full!N:N)</f>
        <v>45</v>
      </c>
      <c r="R5" s="74">
        <f>SUMIF(Playoff_Games_Full!$A:$A,$B:$B,Playoff_Games_Full!O:O)</f>
        <v>2</v>
      </c>
      <c r="S5" s="263">
        <f>SUMIF(Playoff_Games_Full!$A:$A,$B:$B,Playoff_Games_Full!P:P)</f>
        <v>24</v>
      </c>
      <c r="T5" s="74">
        <f>SUMIF(Playoff_Games_Full!$A:$A,$B:$B,Playoff_Games_Full!Q:Q)</f>
        <v>3</v>
      </c>
      <c r="U5" s="74">
        <f>SUMIF(Playoff_Games_Full!$A:$A,$B:$B,Playoff_Games_Full!R:R)</f>
        <v>27</v>
      </c>
      <c r="V5" s="74">
        <f>SUMIF(Playoff_Games_Full!$A:$A,$B:$B,Playoff_Games_Full!S:S)</f>
        <v>19</v>
      </c>
      <c r="W5" s="74">
        <f>SUMIF(Playoff_Games_Full!$A:$A,$B:$B,Playoff_Games_Full!T:T)</f>
        <v>7</v>
      </c>
      <c r="X5" s="74">
        <f>SUMIF(Playoff_Games_Full!$A:$A,$B:$B,Playoff_Games_Full!U:U)</f>
        <v>1</v>
      </c>
      <c r="Y5" s="263">
        <f>SUMIF(Playoff_Games_Full!$A:$A,$B:$B,Playoff_Games_Full!V:V)</f>
        <v>2</v>
      </c>
      <c r="Z5" s="271">
        <f>PO_TOT[[#This Row],[Dimes]]/PO_TOT[[#This Row],[Turnovers]]</f>
        <v>9.5</v>
      </c>
    </row>
    <row r="6" spans="1:26" x14ac:dyDescent="0.2">
      <c r="A6" s="14" t="s">
        <v>35</v>
      </c>
      <c r="B6" t="s">
        <v>266</v>
      </c>
      <c r="C6" t="s">
        <v>209</v>
      </c>
      <c r="D6" s="86">
        <v>1</v>
      </c>
      <c r="E6" s="205">
        <f>SUMIF(Playoff_Games_Full!$A:$A,$B:$B,Playoff_Games_Full!B:B)</f>
        <v>4</v>
      </c>
      <c r="F6" s="74">
        <f>SUMIF(Playoff_Games_Full!$A:$A,$B:$B,Playoff_Games_Full!C:C)</f>
        <v>7</v>
      </c>
      <c r="G6" s="206">
        <f>PO_TOT[[#This Row],[Total FGM]]/PO_TOT[[#This Row],[Total FGA]]</f>
        <v>0.5714285714285714</v>
      </c>
      <c r="H6" s="207">
        <f>SUMIF(Playoff_Games_Full!$A:$A,$B:$B,Playoff_Games_Full!E:E)</f>
        <v>3</v>
      </c>
      <c r="I6" s="208">
        <f>SUMIF(Playoff_Games_Full!$A:$A,$B:$B,Playoff_Games_Full!F:F)</f>
        <v>5</v>
      </c>
      <c r="J6" s="209">
        <f>PO_TOT[[#This Row],[2PT FGM]]/PO_TOT[[#This Row],[2PT FGA]]</f>
        <v>0.6</v>
      </c>
      <c r="K6" s="208">
        <f>SUMIF(Playoff_Games_Full!$A:$A,$B:$B,Playoff_Games_Full!H:H)</f>
        <v>1</v>
      </c>
      <c r="L6" s="208">
        <f>SUMIF(Playoff_Games_Full!$A:$A,$B:$B,Playoff_Games_Full!I:I)</f>
        <v>2</v>
      </c>
      <c r="M6" s="209">
        <f>PO_TOT[[#This Row],[3PT FGM]]/PO_TOT[[#This Row],[3PT FGA]]</f>
        <v>0.5</v>
      </c>
      <c r="N6" s="208">
        <f>SUMIF(Playoff_Games_Full!$A:$A,$B:$B,Playoff_Games_Full!K:K)</f>
        <v>0</v>
      </c>
      <c r="O6" s="208">
        <f>SUMIF(Playoff_Games_Full!$A:$A,$B:$B,Playoff_Games_Full!L:L)</f>
        <v>0</v>
      </c>
      <c r="P6" s="210" t="e">
        <f>PO_TOT[[#This Row],[FTM]]/PO_TOT[[#This Row],[FTA]]</f>
        <v>#DIV/0!</v>
      </c>
      <c r="Q6" s="205">
        <f>SUMIF(Playoff_Games_Full!$A:$A,$B:$B,Playoff_Games_Full!N:N)</f>
        <v>9</v>
      </c>
      <c r="R6" s="205">
        <f>SUMIF(Playoff_Games_Full!$A:$A,$B:$B,Playoff_Games_Full!O:O)</f>
        <v>0</v>
      </c>
      <c r="S6" s="205">
        <f>SUMIF(Playoff_Games_Full!$A:$A,$B:$B,Playoff_Games_Full!P:P)</f>
        <v>1</v>
      </c>
      <c r="T6" s="205">
        <f>SUMIF(Playoff_Games_Full!$A:$A,$B:$B,Playoff_Games_Full!Q:Q)</f>
        <v>3</v>
      </c>
      <c r="U6" s="205">
        <f>SUMIF(Playoff_Games_Full!$A:$A,$B:$B,Playoff_Games_Full!R:R)</f>
        <v>4</v>
      </c>
      <c r="V6" s="205">
        <f>SUMIF(Playoff_Games_Full!$A:$A,$B:$B,Playoff_Games_Full!S:S)</f>
        <v>0</v>
      </c>
      <c r="W6" s="205">
        <f>SUMIF(Playoff_Games_Full!$A:$A,$B:$B,Playoff_Games_Full!T:T)</f>
        <v>1</v>
      </c>
      <c r="X6" s="205">
        <f>SUMIF(Playoff_Games_Full!$A:$A,$B:$B,Playoff_Games_Full!U:U)</f>
        <v>0</v>
      </c>
      <c r="Y6" s="205">
        <f>SUMIF(Playoff_Games_Full!$A:$A,$B:$B,Playoff_Games_Full!V:V)</f>
        <v>2</v>
      </c>
      <c r="Z6" s="204">
        <f>PO_TOT[[#This Row],[Dimes]]/PO_TOT[[#This Row],[Turnovers]]</f>
        <v>0</v>
      </c>
    </row>
    <row r="7" spans="1:26" x14ac:dyDescent="0.2">
      <c r="A7" s="14" t="s">
        <v>40</v>
      </c>
      <c r="B7" t="s">
        <v>83</v>
      </c>
      <c r="C7" t="s">
        <v>208</v>
      </c>
      <c r="D7" s="86">
        <v>5</v>
      </c>
      <c r="E7" s="74">
        <f>SUMIF(Playoff_Games_Full!$A:$A,$B:$B,Playoff_Games_Full!B:B)</f>
        <v>12</v>
      </c>
      <c r="F7" s="74">
        <f>SUMIF(Playoff_Games_Full!$A:$A,$B:$B,Playoff_Games_Full!C:C)</f>
        <v>25</v>
      </c>
      <c r="G7" s="203">
        <f>PO_TOT[[#This Row],[Total FGM]]/PO_TOT[[#This Row],[Total FGA]]</f>
        <v>0.48</v>
      </c>
      <c r="H7" s="98">
        <f>SUMIF(Playoff_Games_Full!$A:$A,$B:$B,Playoff_Games_Full!E:E)</f>
        <v>4</v>
      </c>
      <c r="I7" s="19">
        <f>SUMIF(Playoff_Games_Full!$A:$A,$B:$B,Playoff_Games_Full!F:F)</f>
        <v>9</v>
      </c>
      <c r="J7" s="91">
        <f>PO_TOT[[#This Row],[2PT FGM]]/PO_TOT[[#This Row],[2PT FGA]]</f>
        <v>0.44444444444444442</v>
      </c>
      <c r="K7" s="19">
        <f>SUMIF(Playoff_Games_Full!$A:$A,$B:$B,Playoff_Games_Full!H:H)</f>
        <v>8</v>
      </c>
      <c r="L7" s="19">
        <f>SUMIF(Playoff_Games_Full!$A:$A,$B:$B,Playoff_Games_Full!I:I)</f>
        <v>16</v>
      </c>
      <c r="M7" s="244">
        <f>PO_TOT[[#This Row],[3PT FGM]]/PO_TOT[[#This Row],[3PT FGA]]</f>
        <v>0.5</v>
      </c>
      <c r="N7" s="19">
        <f>SUMIF(Playoff_Games_Full!$A:$A,$B:$B,Playoff_Games_Full!K:K)</f>
        <v>0</v>
      </c>
      <c r="O7" s="19">
        <f>SUMIF(Playoff_Games_Full!$A:$A,$B:$B,Playoff_Games_Full!L:L)</f>
        <v>0</v>
      </c>
      <c r="P7" s="99" t="e">
        <f>PO_TOT[[#This Row],[FTM]]/PO_TOT[[#This Row],[FTA]]</f>
        <v>#DIV/0!</v>
      </c>
      <c r="Q7" s="74">
        <f>SUMIF(Playoff_Games_Full!$A:$A,$B:$B,Playoff_Games_Full!N:N)</f>
        <v>32</v>
      </c>
      <c r="R7" s="74">
        <f>SUMIF(Playoff_Games_Full!$A:$A,$B:$B,Playoff_Games_Full!O:O)</f>
        <v>0</v>
      </c>
      <c r="S7" s="74">
        <f>SUMIF(Playoff_Games_Full!$A:$A,$B:$B,Playoff_Games_Full!P:P)</f>
        <v>3</v>
      </c>
      <c r="T7" s="74">
        <f>SUMIF(Playoff_Games_Full!$A:$A,$B:$B,Playoff_Games_Full!Q:Q)</f>
        <v>1</v>
      </c>
      <c r="U7" s="74">
        <f>SUMIF(Playoff_Games_Full!$A:$A,$B:$B,Playoff_Games_Full!R:R)</f>
        <v>4</v>
      </c>
      <c r="V7" s="74">
        <f>SUMIF(Playoff_Games_Full!$A:$A,$B:$B,Playoff_Games_Full!S:S)</f>
        <v>3</v>
      </c>
      <c r="W7" s="74">
        <f>SUMIF(Playoff_Games_Full!$A:$A,$B:$B,Playoff_Games_Full!T:T)</f>
        <v>3</v>
      </c>
      <c r="X7" s="74">
        <f>SUMIF(Playoff_Games_Full!$A:$A,$B:$B,Playoff_Games_Full!U:U)</f>
        <v>0</v>
      </c>
      <c r="Y7" s="263">
        <f>SUMIF(Playoff_Games_Full!$A:$A,$B:$B,Playoff_Games_Full!V:V)</f>
        <v>2</v>
      </c>
      <c r="Z7" s="204">
        <f>PO_TOT[[#This Row],[Dimes]]/PO_TOT[[#This Row],[Turnovers]]</f>
        <v>1.5</v>
      </c>
    </row>
    <row r="8" spans="1:26" x14ac:dyDescent="0.2">
      <c r="A8" s="14" t="s">
        <v>206</v>
      </c>
      <c r="B8" t="s">
        <v>207</v>
      </c>
      <c r="C8" t="s">
        <v>208</v>
      </c>
      <c r="D8" s="86">
        <v>5</v>
      </c>
      <c r="E8" s="74">
        <f>SUMIF(Playoff_Games_Full!$A:$A,$B:$B,Playoff_Games_Full!B:B)</f>
        <v>18</v>
      </c>
      <c r="F8" s="74">
        <f>SUMIF(Playoff_Games_Full!$A:$A,$B:$B,Playoff_Games_Full!C:C)</f>
        <v>38</v>
      </c>
      <c r="G8" s="203">
        <f>PO_TOT[[#This Row],[Total FGM]]/PO_TOT[[#This Row],[Total FGA]]</f>
        <v>0.47368421052631576</v>
      </c>
      <c r="H8" s="98">
        <f>SUMIF(Playoff_Games_Full!$A:$A,$B:$B,Playoff_Games_Full!E:E)</f>
        <v>14</v>
      </c>
      <c r="I8" s="19">
        <f>SUMIF(Playoff_Games_Full!$A:$A,$B:$B,Playoff_Games_Full!F:F)</f>
        <v>22</v>
      </c>
      <c r="J8" s="91">
        <f>PO_TOT[[#This Row],[2PT FGM]]/PO_TOT[[#This Row],[2PT FGA]]</f>
        <v>0.63636363636363635</v>
      </c>
      <c r="K8" s="19">
        <f>SUMIF(Playoff_Games_Full!$A:$A,$B:$B,Playoff_Games_Full!H:H)</f>
        <v>4</v>
      </c>
      <c r="L8" s="19">
        <f>SUMIF(Playoff_Games_Full!$A:$A,$B:$B,Playoff_Games_Full!I:I)</f>
        <v>16</v>
      </c>
      <c r="M8" s="91">
        <f>PO_TOT[[#This Row],[3PT FGM]]/PO_TOT[[#This Row],[3PT FGA]]</f>
        <v>0.25</v>
      </c>
      <c r="N8" s="19">
        <f>SUMIF(Playoff_Games_Full!$A:$A,$B:$B,Playoff_Games_Full!K:K)</f>
        <v>0</v>
      </c>
      <c r="O8" s="19">
        <f>SUMIF(Playoff_Games_Full!$A:$A,$B:$B,Playoff_Games_Full!L:L)</f>
        <v>0</v>
      </c>
      <c r="P8" s="99" t="e">
        <f>PO_TOT[[#This Row],[FTM]]/PO_TOT[[#This Row],[FTA]]</f>
        <v>#DIV/0!</v>
      </c>
      <c r="Q8" s="74">
        <f>SUMIF(Playoff_Games_Full!$A:$A,$B:$B,Playoff_Games_Full!N:N)</f>
        <v>40</v>
      </c>
      <c r="R8" s="74">
        <f>SUMIF(Playoff_Games_Full!$A:$A,$B:$B,Playoff_Games_Full!O:O)</f>
        <v>10</v>
      </c>
      <c r="S8" s="74">
        <f>SUMIF(Playoff_Games_Full!$A:$A,$B:$B,Playoff_Games_Full!P:P)</f>
        <v>12</v>
      </c>
      <c r="T8" s="74">
        <f>SUMIF(Playoff_Games_Full!$A:$A,$B:$B,Playoff_Games_Full!Q:Q)</f>
        <v>9</v>
      </c>
      <c r="U8" s="74">
        <f>SUMIF(Playoff_Games_Full!$A:$A,$B:$B,Playoff_Games_Full!R:R)</f>
        <v>21</v>
      </c>
      <c r="V8" s="74">
        <f>SUMIF(Playoff_Games_Full!$A:$A,$B:$B,Playoff_Games_Full!S:S)</f>
        <v>3</v>
      </c>
      <c r="W8" s="74">
        <f>SUMIF(Playoff_Games_Full!$A:$A,$B:$B,Playoff_Games_Full!T:T)</f>
        <v>2</v>
      </c>
      <c r="X8" s="74">
        <f>SUMIF(Playoff_Games_Full!$A:$A,$B:$B,Playoff_Games_Full!U:U)</f>
        <v>1</v>
      </c>
      <c r="Y8" s="74">
        <f>SUMIF(Playoff_Games_Full!$A:$A,$B:$B,Playoff_Games_Full!V:V)</f>
        <v>5</v>
      </c>
      <c r="Z8" s="204">
        <f>PO_TOT[[#This Row],[Dimes]]/PO_TOT[[#This Row],[Turnovers]]</f>
        <v>0.6</v>
      </c>
    </row>
    <row r="9" spans="1:26" x14ac:dyDescent="0.2">
      <c r="A9" s="14" t="s">
        <v>55</v>
      </c>
      <c r="B9" t="s">
        <v>85</v>
      </c>
      <c r="C9" t="s">
        <v>209</v>
      </c>
      <c r="D9" s="86">
        <v>2</v>
      </c>
      <c r="E9" s="74">
        <f>SUMIF(Playoff_Games_Full!$A:$A,$B:$B,Playoff_Games_Full!B:B)</f>
        <v>4</v>
      </c>
      <c r="F9" s="74">
        <f>SUMIF(Playoff_Games_Full!$A:$A,$B:$B,Playoff_Games_Full!C:C)</f>
        <v>9</v>
      </c>
      <c r="G9" s="203">
        <f>PO_TOT[[#This Row],[Total FGM]]/PO_TOT[[#This Row],[Total FGA]]</f>
        <v>0.44444444444444442</v>
      </c>
      <c r="H9" s="98">
        <f>SUMIF(Playoff_Games_Full!$A:$A,$B:$B,Playoff_Games_Full!E:E)</f>
        <v>1</v>
      </c>
      <c r="I9" s="19">
        <f>SUMIF(Playoff_Games_Full!$A:$A,$B:$B,Playoff_Games_Full!F:F)</f>
        <v>3</v>
      </c>
      <c r="J9" s="91">
        <f>PO_TOT[[#This Row],[2PT FGM]]/PO_TOT[[#This Row],[2PT FGA]]</f>
        <v>0.33333333333333331</v>
      </c>
      <c r="K9" s="19">
        <f>SUMIF(Playoff_Games_Full!$A:$A,$B:$B,Playoff_Games_Full!H:H)</f>
        <v>3</v>
      </c>
      <c r="L9" s="19">
        <f>SUMIF(Playoff_Games_Full!$A:$A,$B:$B,Playoff_Games_Full!I:I)</f>
        <v>6</v>
      </c>
      <c r="M9" s="244">
        <f>PO_TOT[[#This Row],[3PT FGM]]/PO_TOT[[#This Row],[3PT FGA]]</f>
        <v>0.5</v>
      </c>
      <c r="N9" s="19">
        <f>SUMIF(Playoff_Games_Full!$A:$A,$B:$B,Playoff_Games_Full!K:K)</f>
        <v>0</v>
      </c>
      <c r="O9" s="19">
        <f>SUMIF(Playoff_Games_Full!$A:$A,$B:$B,Playoff_Games_Full!L:L)</f>
        <v>0</v>
      </c>
      <c r="P9" s="99" t="e">
        <f>PO_TOT[[#This Row],[FTM]]/PO_TOT[[#This Row],[FTA]]</f>
        <v>#DIV/0!</v>
      </c>
      <c r="Q9" s="74">
        <f>SUMIF(Playoff_Games_Full!$A:$A,$B:$B,Playoff_Games_Full!N:N)</f>
        <v>11</v>
      </c>
      <c r="R9" s="74">
        <f>SUMIF(Playoff_Games_Full!$A:$A,$B:$B,Playoff_Games_Full!O:O)</f>
        <v>0</v>
      </c>
      <c r="S9" s="74">
        <f>SUMIF(Playoff_Games_Full!$A:$A,$B:$B,Playoff_Games_Full!P:P)</f>
        <v>1</v>
      </c>
      <c r="T9" s="74">
        <f>SUMIF(Playoff_Games_Full!$A:$A,$B:$B,Playoff_Games_Full!Q:Q)</f>
        <v>1</v>
      </c>
      <c r="U9" s="74">
        <f>SUMIF(Playoff_Games_Full!$A:$A,$B:$B,Playoff_Games_Full!R:R)</f>
        <v>2</v>
      </c>
      <c r="V9" s="74">
        <f>SUMIF(Playoff_Games_Full!$A:$A,$B:$B,Playoff_Games_Full!S:S)</f>
        <v>0</v>
      </c>
      <c r="W9" s="74">
        <f>SUMIF(Playoff_Games_Full!$A:$A,$B:$B,Playoff_Games_Full!T:T)</f>
        <v>1</v>
      </c>
      <c r="X9" s="74">
        <f>SUMIF(Playoff_Games_Full!$A:$A,$B:$B,Playoff_Games_Full!U:U)</f>
        <v>0</v>
      </c>
      <c r="Y9" s="263">
        <f>SUMIF(Playoff_Games_Full!$A:$A,$B:$B,Playoff_Games_Full!V:V)</f>
        <v>2</v>
      </c>
      <c r="Z9" s="272">
        <f>PO_TOT[[#This Row],[Dimes]]/PO_TOT[[#This Row],[Turnovers]]</f>
        <v>0</v>
      </c>
    </row>
    <row r="10" spans="1:26" hidden="1" x14ac:dyDescent="0.2">
      <c r="A10" s="14" t="s">
        <v>44</v>
      </c>
      <c r="B10" t="s">
        <v>80</v>
      </c>
      <c r="C10" t="s">
        <v>132</v>
      </c>
      <c r="D10" s="86"/>
      <c r="E10" s="74">
        <f>SUMIF(Playoff_Games_Full!$A:$A,$B:$B,Playoff_Games_Full!B:B)</f>
        <v>0</v>
      </c>
      <c r="F10" s="74">
        <f>SUMIF(Playoff_Games_Full!$A:$A,$B:$B,Playoff_Games_Full!C:C)</f>
        <v>0</v>
      </c>
      <c r="G10" s="203" t="e">
        <f>PO_TOT[[#This Row],[Total FGM]]/PO_TOT[[#This Row],[Total FGA]]</f>
        <v>#DIV/0!</v>
      </c>
      <c r="H10" s="98">
        <f>SUMIF(Playoff_Games_Full!$A:$A,$B:$B,Playoff_Games_Full!E:E)</f>
        <v>0</v>
      </c>
      <c r="I10" s="19">
        <f>SUMIF(Playoff_Games_Full!$A:$A,$B:$B,Playoff_Games_Full!F:F)</f>
        <v>0</v>
      </c>
      <c r="J10" s="91" t="e">
        <f>PO_TOT[[#This Row],[2PT FGM]]/PO_TOT[[#This Row],[2PT FGA]]</f>
        <v>#DIV/0!</v>
      </c>
      <c r="K10" s="19">
        <f>SUMIF(Playoff_Games_Full!$A:$A,$B:$B,Playoff_Games_Full!H:H)</f>
        <v>0</v>
      </c>
      <c r="L10" s="19">
        <f>SUMIF(Playoff_Games_Full!$A:$A,$B:$B,Playoff_Games_Full!I:I)</f>
        <v>0</v>
      </c>
      <c r="M10" s="91" t="e">
        <f>PO_TOT[[#This Row],[3PT FGM]]/PO_TOT[[#This Row],[3PT FGA]]</f>
        <v>#DIV/0!</v>
      </c>
      <c r="N10" s="19">
        <f>SUMIF(Playoff_Games_Full!$A:$A,$B:$B,Playoff_Games_Full!K:K)</f>
        <v>0</v>
      </c>
      <c r="O10" s="19">
        <f>SUMIF(Playoff_Games_Full!$A:$A,$B:$B,Playoff_Games_Full!L:L)</f>
        <v>0</v>
      </c>
      <c r="P10" s="99" t="e">
        <f>PO_TOT[[#This Row],[FTM]]/PO_TOT[[#This Row],[FTA]]</f>
        <v>#DIV/0!</v>
      </c>
      <c r="Q10" s="74">
        <f>SUMIF(Playoff_Games_Full!$A:$A,$B:$B,Playoff_Games_Full!N:N)</f>
        <v>0</v>
      </c>
      <c r="R10" s="74">
        <f>SUMIF(Playoff_Games_Full!$A:$A,$B:$B,Playoff_Games_Full!O:O)</f>
        <v>0</v>
      </c>
      <c r="S10" s="74">
        <f>SUMIF(Playoff_Games_Full!$A:$A,$B:$B,Playoff_Games_Full!P:P)</f>
        <v>0</v>
      </c>
      <c r="T10" s="74">
        <f>SUMIF(Playoff_Games_Full!$A:$A,$B:$B,Playoff_Games_Full!Q:Q)</f>
        <v>0</v>
      </c>
      <c r="U10" s="74">
        <f>SUMIF(Playoff_Games_Full!$A:$A,$B:$B,Playoff_Games_Full!R:R)</f>
        <v>0</v>
      </c>
      <c r="V10" s="74">
        <f>SUMIF(Playoff_Games_Full!$A:$A,$B:$B,Playoff_Games_Full!S:S)</f>
        <v>0</v>
      </c>
      <c r="W10" s="74">
        <f>SUMIF(Playoff_Games_Full!$A:$A,$B:$B,Playoff_Games_Full!T:T)</f>
        <v>0</v>
      </c>
      <c r="X10" s="74">
        <f>SUMIF(Playoff_Games_Full!$A:$A,$B:$B,Playoff_Games_Full!U:U)</f>
        <v>0</v>
      </c>
      <c r="Y10" s="74">
        <f>SUMIF(Playoff_Games_Full!$A:$A,$B:$B,Playoff_Games_Full!V:V)</f>
        <v>0</v>
      </c>
      <c r="Z10" s="204" t="e">
        <f>PO_TOT[[#This Row],[Dimes]]/PO_TOT[[#This Row],[Turnovers]]</f>
        <v>#DIV/0!</v>
      </c>
    </row>
    <row r="11" spans="1:26" hidden="1" x14ac:dyDescent="0.2">
      <c r="A11" s="14" t="s">
        <v>52</v>
      </c>
      <c r="B11" t="s">
        <v>91</v>
      </c>
      <c r="C11" t="s">
        <v>132</v>
      </c>
      <c r="D11" s="86"/>
      <c r="E11" s="74">
        <f>SUMIF(Playoff_Games_Full!$A:$A,$B:$B,Playoff_Games_Full!B:B)</f>
        <v>0</v>
      </c>
      <c r="F11" s="74">
        <f>SUMIF(Playoff_Games_Full!$A:$A,$B:$B,Playoff_Games_Full!C:C)</f>
        <v>0</v>
      </c>
      <c r="G11" s="203" t="e">
        <f>PO_TOT[[#This Row],[Total FGM]]/PO_TOT[[#This Row],[Total FGA]]</f>
        <v>#DIV/0!</v>
      </c>
      <c r="H11" s="98">
        <f>SUMIF(Playoff_Games_Full!$A:$A,$B:$B,Playoff_Games_Full!E:E)</f>
        <v>0</v>
      </c>
      <c r="I11" s="19">
        <f>SUMIF(Playoff_Games_Full!$A:$A,$B:$B,Playoff_Games_Full!F:F)</f>
        <v>0</v>
      </c>
      <c r="J11" s="91" t="e">
        <f>PO_TOT[[#This Row],[2PT FGM]]/PO_TOT[[#This Row],[2PT FGA]]</f>
        <v>#DIV/0!</v>
      </c>
      <c r="K11" s="19">
        <f>SUMIF(Playoff_Games_Full!$A:$A,$B:$B,Playoff_Games_Full!H:H)</f>
        <v>0</v>
      </c>
      <c r="L11" s="19">
        <f>SUMIF(Playoff_Games_Full!$A:$A,$B:$B,Playoff_Games_Full!I:I)</f>
        <v>0</v>
      </c>
      <c r="M11" s="91" t="e">
        <f>PO_TOT[[#This Row],[3PT FGM]]/PO_TOT[[#This Row],[3PT FGA]]</f>
        <v>#DIV/0!</v>
      </c>
      <c r="N11" s="19">
        <f>SUMIF(Playoff_Games_Full!$A:$A,$B:$B,Playoff_Games_Full!K:K)</f>
        <v>0</v>
      </c>
      <c r="O11" s="19">
        <f>SUMIF(Playoff_Games_Full!$A:$A,$B:$B,Playoff_Games_Full!L:L)</f>
        <v>0</v>
      </c>
      <c r="P11" s="99" t="e">
        <f>PO_TOT[[#This Row],[FTM]]/PO_TOT[[#This Row],[FTA]]</f>
        <v>#DIV/0!</v>
      </c>
      <c r="Q11" s="74">
        <f>SUMIF(Playoff_Games_Full!$A:$A,$B:$B,Playoff_Games_Full!N:N)</f>
        <v>0</v>
      </c>
      <c r="R11" s="74">
        <f>SUMIF(Playoff_Games_Full!$A:$A,$B:$B,Playoff_Games_Full!O:O)</f>
        <v>0</v>
      </c>
      <c r="S11" s="74">
        <f>SUMIF(Playoff_Games_Full!$A:$A,$B:$B,Playoff_Games_Full!P:P)</f>
        <v>0</v>
      </c>
      <c r="T11" s="74">
        <f>SUMIF(Playoff_Games_Full!$A:$A,$B:$B,Playoff_Games_Full!Q:Q)</f>
        <v>0</v>
      </c>
      <c r="U11" s="74">
        <f>SUMIF(Playoff_Games_Full!$A:$A,$B:$B,Playoff_Games_Full!R:R)</f>
        <v>0</v>
      </c>
      <c r="V11" s="74">
        <f>SUMIF(Playoff_Games_Full!$A:$A,$B:$B,Playoff_Games_Full!S:S)</f>
        <v>0</v>
      </c>
      <c r="W11" s="74">
        <f>SUMIF(Playoff_Games_Full!$A:$A,$B:$B,Playoff_Games_Full!T:T)</f>
        <v>0</v>
      </c>
      <c r="X11" s="74">
        <f>SUMIF(Playoff_Games_Full!$A:$A,$B:$B,Playoff_Games_Full!U:U)</f>
        <v>0</v>
      </c>
      <c r="Y11" s="74">
        <f>SUMIF(Playoff_Games_Full!$A:$A,$B:$B,Playoff_Games_Full!V:V)</f>
        <v>0</v>
      </c>
      <c r="Z11" s="204" t="e">
        <f>PO_TOT[[#This Row],[Dimes]]/PO_TOT[[#This Row],[Turnovers]]</f>
        <v>#DIV/0!</v>
      </c>
    </row>
    <row r="12" spans="1:26" hidden="1" x14ac:dyDescent="0.2">
      <c r="A12" s="14" t="s">
        <v>53</v>
      </c>
      <c r="B12" t="s">
        <v>77</v>
      </c>
      <c r="C12" t="s">
        <v>132</v>
      </c>
      <c r="D12" s="86"/>
      <c r="E12" s="74">
        <f>SUMIF(Playoff_Games_Full!$A:$A,$B:$B,Playoff_Games_Full!B:B)</f>
        <v>0</v>
      </c>
      <c r="F12" s="74">
        <f>SUMIF(Playoff_Games_Full!$A:$A,$B:$B,Playoff_Games_Full!C:C)</f>
        <v>0</v>
      </c>
      <c r="G12" s="203" t="e">
        <f>PO_TOT[[#This Row],[Total FGM]]/PO_TOT[[#This Row],[Total FGA]]</f>
        <v>#DIV/0!</v>
      </c>
      <c r="H12" s="98">
        <f>SUMIF(Playoff_Games_Full!$A:$A,$B:$B,Playoff_Games_Full!E:E)</f>
        <v>0</v>
      </c>
      <c r="I12" s="19">
        <f>SUMIF(Playoff_Games_Full!$A:$A,$B:$B,Playoff_Games_Full!F:F)</f>
        <v>0</v>
      </c>
      <c r="J12" s="91" t="e">
        <f>PO_TOT[[#This Row],[2PT FGM]]/PO_TOT[[#This Row],[2PT FGA]]</f>
        <v>#DIV/0!</v>
      </c>
      <c r="K12" s="19">
        <f>SUMIF(Playoff_Games_Full!$A:$A,$B:$B,Playoff_Games_Full!H:H)</f>
        <v>0</v>
      </c>
      <c r="L12" s="19">
        <f>SUMIF(Playoff_Games_Full!$A:$A,$B:$B,Playoff_Games_Full!I:I)</f>
        <v>0</v>
      </c>
      <c r="M12" s="91" t="e">
        <f>PO_TOT[[#This Row],[3PT FGM]]/PO_TOT[[#This Row],[3PT FGA]]</f>
        <v>#DIV/0!</v>
      </c>
      <c r="N12" s="19">
        <f>SUMIF(Playoff_Games_Full!$A:$A,$B:$B,Playoff_Games_Full!K:K)</f>
        <v>0</v>
      </c>
      <c r="O12" s="19">
        <f>SUMIF(Playoff_Games_Full!$A:$A,$B:$B,Playoff_Games_Full!L:L)</f>
        <v>0</v>
      </c>
      <c r="P12" s="99" t="e">
        <f>PO_TOT[[#This Row],[FTM]]/PO_TOT[[#This Row],[FTA]]</f>
        <v>#DIV/0!</v>
      </c>
      <c r="Q12" s="74">
        <f>SUMIF(Playoff_Games_Full!$A:$A,$B:$B,Playoff_Games_Full!N:N)</f>
        <v>0</v>
      </c>
      <c r="R12" s="74">
        <f>SUMIF(Playoff_Games_Full!$A:$A,$B:$B,Playoff_Games_Full!O:O)</f>
        <v>0</v>
      </c>
      <c r="S12" s="74">
        <f>SUMIF(Playoff_Games_Full!$A:$A,$B:$B,Playoff_Games_Full!P:P)</f>
        <v>0</v>
      </c>
      <c r="T12" s="74">
        <f>SUMIF(Playoff_Games_Full!$A:$A,$B:$B,Playoff_Games_Full!Q:Q)</f>
        <v>0</v>
      </c>
      <c r="U12" s="74">
        <f>SUMIF(Playoff_Games_Full!$A:$A,$B:$B,Playoff_Games_Full!R:R)</f>
        <v>0</v>
      </c>
      <c r="V12" s="74">
        <f>SUMIF(Playoff_Games_Full!$A:$A,$B:$B,Playoff_Games_Full!S:S)</f>
        <v>0</v>
      </c>
      <c r="W12" s="74">
        <f>SUMIF(Playoff_Games_Full!$A:$A,$B:$B,Playoff_Games_Full!T:T)</f>
        <v>0</v>
      </c>
      <c r="X12" s="74">
        <f>SUMIF(Playoff_Games_Full!$A:$A,$B:$B,Playoff_Games_Full!U:U)</f>
        <v>0</v>
      </c>
      <c r="Y12" s="74">
        <f>SUMIF(Playoff_Games_Full!$A:$A,$B:$B,Playoff_Games_Full!V:V)</f>
        <v>0</v>
      </c>
      <c r="Z12" s="204" t="e">
        <f>PO_TOT[[#This Row],[Dimes]]/PO_TOT[[#This Row],[Turnovers]]</f>
        <v>#DIV/0!</v>
      </c>
    </row>
    <row r="13" spans="1:26" hidden="1" x14ac:dyDescent="0.2">
      <c r="A13" s="16" t="s">
        <v>56</v>
      </c>
      <c r="B13" t="s">
        <v>95</v>
      </c>
      <c r="C13" t="s">
        <v>132</v>
      </c>
      <c r="D13" s="86"/>
      <c r="E13" s="74">
        <f>SUMIF(Playoff_Games_Full!$A:$A,$B:$B,Playoff_Games_Full!B:B)</f>
        <v>0</v>
      </c>
      <c r="F13" s="74">
        <f>SUMIF(Playoff_Games_Full!$A:$A,$B:$B,Playoff_Games_Full!C:C)</f>
        <v>0</v>
      </c>
      <c r="G13" s="203" t="e">
        <f>PO_TOT[[#This Row],[Total FGM]]/PO_TOT[[#This Row],[Total FGA]]</f>
        <v>#DIV/0!</v>
      </c>
      <c r="H13" s="98">
        <f>SUMIF(Playoff_Games_Full!$A:$A,$B:$B,Playoff_Games_Full!E:E)</f>
        <v>0</v>
      </c>
      <c r="I13" s="19">
        <f>SUMIF(Playoff_Games_Full!$A:$A,$B:$B,Playoff_Games_Full!F:F)</f>
        <v>0</v>
      </c>
      <c r="J13" s="91" t="e">
        <f>PO_TOT[[#This Row],[2PT FGM]]/PO_TOT[[#This Row],[2PT FGA]]</f>
        <v>#DIV/0!</v>
      </c>
      <c r="K13" s="19">
        <f>SUMIF(Playoff_Games_Full!$A:$A,$B:$B,Playoff_Games_Full!H:H)</f>
        <v>0</v>
      </c>
      <c r="L13" s="19">
        <f>SUMIF(Playoff_Games_Full!$A:$A,$B:$B,Playoff_Games_Full!I:I)</f>
        <v>0</v>
      </c>
      <c r="M13" s="91" t="e">
        <f>PO_TOT[[#This Row],[3PT FGM]]/PO_TOT[[#This Row],[3PT FGA]]</f>
        <v>#DIV/0!</v>
      </c>
      <c r="N13" s="19">
        <f>SUMIF(Playoff_Games_Full!$A:$A,$B:$B,Playoff_Games_Full!K:K)</f>
        <v>0</v>
      </c>
      <c r="O13" s="19">
        <f>SUMIF(Playoff_Games_Full!$A:$A,$B:$B,Playoff_Games_Full!L:L)</f>
        <v>0</v>
      </c>
      <c r="P13" s="99" t="e">
        <f>PO_TOT[[#This Row],[FTM]]/PO_TOT[[#This Row],[FTA]]</f>
        <v>#DIV/0!</v>
      </c>
      <c r="Q13" s="74">
        <f>SUMIF(Playoff_Games_Full!$A:$A,$B:$B,Playoff_Games_Full!N:N)</f>
        <v>0</v>
      </c>
      <c r="R13" s="74">
        <f>SUMIF(Playoff_Games_Full!$A:$A,$B:$B,Playoff_Games_Full!O:O)</f>
        <v>0</v>
      </c>
      <c r="S13" s="74">
        <f>SUMIF(Playoff_Games_Full!$A:$A,$B:$B,Playoff_Games_Full!P:P)</f>
        <v>0</v>
      </c>
      <c r="T13" s="74">
        <f>SUMIF(Playoff_Games_Full!$A:$A,$B:$B,Playoff_Games_Full!Q:Q)</f>
        <v>0</v>
      </c>
      <c r="U13" s="74">
        <f>SUMIF(Playoff_Games_Full!$A:$A,$B:$B,Playoff_Games_Full!R:R)</f>
        <v>0</v>
      </c>
      <c r="V13" s="74">
        <f>SUMIF(Playoff_Games_Full!$A:$A,$B:$B,Playoff_Games_Full!S:S)</f>
        <v>0</v>
      </c>
      <c r="W13" s="74">
        <f>SUMIF(Playoff_Games_Full!$A:$A,$B:$B,Playoff_Games_Full!T:T)</f>
        <v>0</v>
      </c>
      <c r="X13" s="74">
        <f>SUMIF(Playoff_Games_Full!$A:$A,$B:$B,Playoff_Games_Full!U:U)</f>
        <v>0</v>
      </c>
      <c r="Y13" s="74">
        <f>SUMIF(Playoff_Games_Full!$A:$A,$B:$B,Playoff_Games_Full!V:V)</f>
        <v>0</v>
      </c>
      <c r="Z13" s="204" t="e">
        <f>PO_TOT[[#This Row],[Dimes]]/PO_TOT[[#This Row],[Turnovers]]</f>
        <v>#DIV/0!</v>
      </c>
    </row>
    <row r="14" spans="1:26" hidden="1" x14ac:dyDescent="0.2">
      <c r="A14" s="14" t="s">
        <v>34</v>
      </c>
      <c r="B14" t="s">
        <v>78</v>
      </c>
      <c r="C14" t="s">
        <v>132</v>
      </c>
      <c r="D14" s="86"/>
      <c r="E14" s="74">
        <f>SUMIF(Playoff_Games_Full!$A:$A,$B:$B,Playoff_Games_Full!B:B)</f>
        <v>0</v>
      </c>
      <c r="F14" s="74">
        <f>SUMIF(Playoff_Games_Full!$A:$A,$B:$B,Playoff_Games_Full!C:C)</f>
        <v>0</v>
      </c>
      <c r="G14" s="203" t="e">
        <f>PO_TOT[[#This Row],[Total FGM]]/PO_TOT[[#This Row],[Total FGA]]</f>
        <v>#DIV/0!</v>
      </c>
      <c r="H14" s="98">
        <f>SUMIF(Playoff_Games_Full!$A:$A,$B:$B,Playoff_Games_Full!E:E)</f>
        <v>0</v>
      </c>
      <c r="I14" s="19">
        <f>SUMIF(Playoff_Games_Full!$A:$A,$B:$B,Playoff_Games_Full!F:F)</f>
        <v>0</v>
      </c>
      <c r="J14" s="91" t="e">
        <f>PO_TOT[[#This Row],[2PT FGM]]/PO_TOT[[#This Row],[2PT FGA]]</f>
        <v>#DIV/0!</v>
      </c>
      <c r="K14" s="19">
        <f>SUMIF(Playoff_Games_Full!$A:$A,$B:$B,Playoff_Games_Full!H:H)</f>
        <v>0</v>
      </c>
      <c r="L14" s="19">
        <f>SUMIF(Playoff_Games_Full!$A:$A,$B:$B,Playoff_Games_Full!I:I)</f>
        <v>0</v>
      </c>
      <c r="M14" s="91" t="e">
        <f>PO_TOT[[#This Row],[3PT FGM]]/PO_TOT[[#This Row],[3PT FGA]]</f>
        <v>#DIV/0!</v>
      </c>
      <c r="N14" s="19">
        <f>SUMIF(Playoff_Games_Full!$A:$A,$B:$B,Playoff_Games_Full!K:K)</f>
        <v>0</v>
      </c>
      <c r="O14" s="19">
        <f>SUMIF(Playoff_Games_Full!$A:$A,$B:$B,Playoff_Games_Full!L:L)</f>
        <v>0</v>
      </c>
      <c r="P14" s="99" t="e">
        <f>PO_TOT[[#This Row],[FTM]]/PO_TOT[[#This Row],[FTA]]</f>
        <v>#DIV/0!</v>
      </c>
      <c r="Q14" s="74">
        <f>SUMIF(Playoff_Games_Full!$A:$A,$B:$B,Playoff_Games_Full!N:N)</f>
        <v>0</v>
      </c>
      <c r="R14" s="74">
        <f>SUMIF(Playoff_Games_Full!$A:$A,$B:$B,Playoff_Games_Full!O:O)</f>
        <v>0</v>
      </c>
      <c r="S14" s="74">
        <f>SUMIF(Playoff_Games_Full!$A:$A,$B:$B,Playoff_Games_Full!P:P)</f>
        <v>0</v>
      </c>
      <c r="T14" s="74">
        <f>SUMIF(Playoff_Games_Full!$A:$A,$B:$B,Playoff_Games_Full!Q:Q)</f>
        <v>0</v>
      </c>
      <c r="U14" s="74">
        <f>SUMIF(Playoff_Games_Full!$A:$A,$B:$B,Playoff_Games_Full!R:R)</f>
        <v>0</v>
      </c>
      <c r="V14" s="74">
        <f>SUMIF(Playoff_Games_Full!$A:$A,$B:$B,Playoff_Games_Full!S:S)</f>
        <v>0</v>
      </c>
      <c r="W14" s="74">
        <f>SUMIF(Playoff_Games_Full!$A:$A,$B:$B,Playoff_Games_Full!T:T)</f>
        <v>0</v>
      </c>
      <c r="X14" s="74">
        <f>SUMIF(Playoff_Games_Full!$A:$A,$B:$B,Playoff_Games_Full!U:U)</f>
        <v>0</v>
      </c>
      <c r="Y14" s="74">
        <f>SUMIF(Playoff_Games_Full!$A:$A,$B:$B,Playoff_Games_Full!V:V)</f>
        <v>0</v>
      </c>
      <c r="Z14" s="204" t="e">
        <f>PO_TOT[[#This Row],[Dimes]]/PO_TOT[[#This Row],[Turnovers]]</f>
        <v>#DIV/0!</v>
      </c>
    </row>
    <row r="15" spans="1:26" hidden="1" x14ac:dyDescent="0.2">
      <c r="A15" s="14" t="s">
        <v>41</v>
      </c>
      <c r="B15" t="s">
        <v>79</v>
      </c>
      <c r="C15" t="s">
        <v>132</v>
      </c>
      <c r="D15" s="86"/>
      <c r="E15" s="74">
        <f>SUMIF(Playoff_Games_Full!$A:$A,$B:$B,Playoff_Games_Full!B:B)</f>
        <v>0</v>
      </c>
      <c r="F15" s="74">
        <f>SUMIF(Playoff_Games_Full!$A:$A,$B:$B,Playoff_Games_Full!C:C)</f>
        <v>0</v>
      </c>
      <c r="G15" s="203" t="e">
        <f>PO_TOT[[#This Row],[Total FGM]]/PO_TOT[[#This Row],[Total FGA]]</f>
        <v>#DIV/0!</v>
      </c>
      <c r="H15" s="98">
        <f>SUMIF(Playoff_Games_Full!$A:$A,$B:$B,Playoff_Games_Full!E:E)</f>
        <v>0</v>
      </c>
      <c r="I15" s="19">
        <f>SUMIF(Playoff_Games_Full!$A:$A,$B:$B,Playoff_Games_Full!F:F)</f>
        <v>0</v>
      </c>
      <c r="J15" s="91" t="e">
        <f>PO_TOT[[#This Row],[2PT FGM]]/PO_TOT[[#This Row],[2PT FGA]]</f>
        <v>#DIV/0!</v>
      </c>
      <c r="K15" s="19">
        <f>SUMIF(Playoff_Games_Full!$A:$A,$B:$B,Playoff_Games_Full!H:H)</f>
        <v>0</v>
      </c>
      <c r="L15" s="19">
        <f>SUMIF(Playoff_Games_Full!$A:$A,$B:$B,Playoff_Games_Full!I:I)</f>
        <v>0</v>
      </c>
      <c r="M15" s="91" t="e">
        <f>PO_TOT[[#This Row],[3PT FGM]]/PO_TOT[[#This Row],[3PT FGA]]</f>
        <v>#DIV/0!</v>
      </c>
      <c r="N15" s="19">
        <f>SUMIF(Playoff_Games_Full!$A:$A,$B:$B,Playoff_Games_Full!K:K)</f>
        <v>0</v>
      </c>
      <c r="O15" s="19">
        <f>SUMIF(Playoff_Games_Full!$A:$A,$B:$B,Playoff_Games_Full!L:L)</f>
        <v>0</v>
      </c>
      <c r="P15" s="99" t="e">
        <f>PO_TOT[[#This Row],[FTM]]/PO_TOT[[#This Row],[FTA]]</f>
        <v>#DIV/0!</v>
      </c>
      <c r="Q15" s="74">
        <f>SUMIF(Playoff_Games_Full!$A:$A,$B:$B,Playoff_Games_Full!N:N)</f>
        <v>0</v>
      </c>
      <c r="R15" s="74">
        <f>SUMIF(Playoff_Games_Full!$A:$A,$B:$B,Playoff_Games_Full!O:O)</f>
        <v>0</v>
      </c>
      <c r="S15" s="74">
        <f>SUMIF(Playoff_Games_Full!$A:$A,$B:$B,Playoff_Games_Full!P:P)</f>
        <v>0</v>
      </c>
      <c r="T15" s="74">
        <f>SUMIF(Playoff_Games_Full!$A:$A,$B:$B,Playoff_Games_Full!Q:Q)</f>
        <v>0</v>
      </c>
      <c r="U15" s="74">
        <f>SUMIF(Playoff_Games_Full!$A:$A,$B:$B,Playoff_Games_Full!R:R)</f>
        <v>0</v>
      </c>
      <c r="V15" s="74">
        <f>SUMIF(Playoff_Games_Full!$A:$A,$B:$B,Playoff_Games_Full!S:S)</f>
        <v>0</v>
      </c>
      <c r="W15" s="74">
        <f>SUMIF(Playoff_Games_Full!$A:$A,$B:$B,Playoff_Games_Full!T:T)</f>
        <v>0</v>
      </c>
      <c r="X15" s="74">
        <f>SUMIF(Playoff_Games_Full!$A:$A,$B:$B,Playoff_Games_Full!U:U)</f>
        <v>0</v>
      </c>
      <c r="Y15" s="74">
        <f>SUMIF(Playoff_Games_Full!$A:$A,$B:$B,Playoff_Games_Full!V:V)</f>
        <v>0</v>
      </c>
      <c r="Z15" s="204" t="e">
        <f>PO_TOT[[#This Row],[Dimes]]/PO_TOT[[#This Row],[Turnovers]]</f>
        <v>#DIV/0!</v>
      </c>
    </row>
    <row r="16" spans="1:26" hidden="1" x14ac:dyDescent="0.2">
      <c r="A16" s="14" t="s">
        <v>46</v>
      </c>
      <c r="B16" t="s">
        <v>81</v>
      </c>
      <c r="C16" t="s">
        <v>132</v>
      </c>
      <c r="D16" s="86"/>
      <c r="E16" s="74">
        <f>SUMIF(Playoff_Games_Full!$A:$A,$B:$B,Playoff_Games_Full!B:B)</f>
        <v>0</v>
      </c>
      <c r="F16" s="74">
        <f>SUMIF(Playoff_Games_Full!$A:$A,$B:$B,Playoff_Games_Full!C:C)</f>
        <v>0</v>
      </c>
      <c r="G16" s="203" t="e">
        <f>PO_TOT[[#This Row],[Total FGM]]/PO_TOT[[#This Row],[Total FGA]]</f>
        <v>#DIV/0!</v>
      </c>
      <c r="H16" s="98">
        <f>SUMIF(Playoff_Games_Full!$A:$A,$B:$B,Playoff_Games_Full!E:E)</f>
        <v>0</v>
      </c>
      <c r="I16" s="19">
        <f>SUMIF(Playoff_Games_Full!$A:$A,$B:$B,Playoff_Games_Full!F:F)</f>
        <v>0</v>
      </c>
      <c r="J16" s="91" t="e">
        <f>PO_TOT[[#This Row],[2PT FGM]]/PO_TOT[[#This Row],[2PT FGA]]</f>
        <v>#DIV/0!</v>
      </c>
      <c r="K16" s="19">
        <f>SUMIF(Playoff_Games_Full!$A:$A,$B:$B,Playoff_Games_Full!H:H)</f>
        <v>0</v>
      </c>
      <c r="L16" s="19">
        <f>SUMIF(Playoff_Games_Full!$A:$A,$B:$B,Playoff_Games_Full!I:I)</f>
        <v>0</v>
      </c>
      <c r="M16" s="91" t="e">
        <f>PO_TOT[[#This Row],[3PT FGM]]/PO_TOT[[#This Row],[3PT FGA]]</f>
        <v>#DIV/0!</v>
      </c>
      <c r="N16" s="19">
        <f>SUMIF(Playoff_Games_Full!$A:$A,$B:$B,Playoff_Games_Full!K:K)</f>
        <v>0</v>
      </c>
      <c r="O16" s="19">
        <f>SUMIF(Playoff_Games_Full!$A:$A,$B:$B,Playoff_Games_Full!L:L)</f>
        <v>0</v>
      </c>
      <c r="P16" s="99" t="e">
        <f>PO_TOT[[#This Row],[FTM]]/PO_TOT[[#This Row],[FTA]]</f>
        <v>#DIV/0!</v>
      </c>
      <c r="Q16" s="74">
        <f>SUMIF(Playoff_Games_Full!$A:$A,$B:$B,Playoff_Games_Full!N:N)</f>
        <v>0</v>
      </c>
      <c r="R16" s="74">
        <f>SUMIF(Playoff_Games_Full!$A:$A,$B:$B,Playoff_Games_Full!O:O)</f>
        <v>0</v>
      </c>
      <c r="S16" s="74">
        <f>SUMIF(Playoff_Games_Full!$A:$A,$B:$B,Playoff_Games_Full!P:P)</f>
        <v>0</v>
      </c>
      <c r="T16" s="74">
        <f>SUMIF(Playoff_Games_Full!$A:$A,$B:$B,Playoff_Games_Full!Q:Q)</f>
        <v>0</v>
      </c>
      <c r="U16" s="74">
        <f>SUMIF(Playoff_Games_Full!$A:$A,$B:$B,Playoff_Games_Full!R:R)</f>
        <v>0</v>
      </c>
      <c r="V16" s="74">
        <f>SUMIF(Playoff_Games_Full!$A:$A,$B:$B,Playoff_Games_Full!S:S)</f>
        <v>0</v>
      </c>
      <c r="W16" s="74">
        <f>SUMIF(Playoff_Games_Full!$A:$A,$B:$B,Playoff_Games_Full!T:T)</f>
        <v>0</v>
      </c>
      <c r="X16" s="74">
        <f>SUMIF(Playoff_Games_Full!$A:$A,$B:$B,Playoff_Games_Full!U:U)</f>
        <v>0</v>
      </c>
      <c r="Y16" s="74">
        <f>SUMIF(Playoff_Games_Full!$A:$A,$B:$B,Playoff_Games_Full!V:V)</f>
        <v>0</v>
      </c>
      <c r="Z16" s="204" t="e">
        <f>PO_TOT[[#This Row],[Dimes]]/PO_TOT[[#This Row],[Turnovers]]</f>
        <v>#DIV/0!</v>
      </c>
    </row>
    <row r="17" spans="1:26" hidden="1" x14ac:dyDescent="0.2">
      <c r="A17" s="16" t="s">
        <v>38</v>
      </c>
      <c r="B17" t="s">
        <v>82</v>
      </c>
      <c r="C17" t="s">
        <v>132</v>
      </c>
      <c r="D17" s="86"/>
      <c r="E17" s="74">
        <f>SUMIF(Playoff_Games_Full!$A:$A,$B:$B,Playoff_Games_Full!B:B)</f>
        <v>0</v>
      </c>
      <c r="F17" s="74">
        <f>SUMIF(Playoff_Games_Full!$A:$A,$B:$B,Playoff_Games_Full!C:C)</f>
        <v>0</v>
      </c>
      <c r="G17" s="203" t="e">
        <f>PO_TOT[[#This Row],[Total FGM]]/PO_TOT[[#This Row],[Total FGA]]</f>
        <v>#DIV/0!</v>
      </c>
      <c r="H17" s="98">
        <f>SUMIF(Playoff_Games_Full!$A:$A,$B:$B,Playoff_Games_Full!E:E)</f>
        <v>0</v>
      </c>
      <c r="I17" s="19">
        <f>SUMIF(Playoff_Games_Full!$A:$A,$B:$B,Playoff_Games_Full!F:F)</f>
        <v>0</v>
      </c>
      <c r="J17" s="91" t="e">
        <f>PO_TOT[[#This Row],[2PT FGM]]/PO_TOT[[#This Row],[2PT FGA]]</f>
        <v>#DIV/0!</v>
      </c>
      <c r="K17" s="19">
        <f>SUMIF(Playoff_Games_Full!$A:$A,$B:$B,Playoff_Games_Full!H:H)</f>
        <v>0</v>
      </c>
      <c r="L17" s="19">
        <f>SUMIF(Playoff_Games_Full!$A:$A,$B:$B,Playoff_Games_Full!I:I)</f>
        <v>0</v>
      </c>
      <c r="M17" s="91" t="e">
        <f>PO_TOT[[#This Row],[3PT FGM]]/PO_TOT[[#This Row],[3PT FGA]]</f>
        <v>#DIV/0!</v>
      </c>
      <c r="N17" s="19">
        <f>SUMIF(Playoff_Games_Full!$A:$A,$B:$B,Playoff_Games_Full!K:K)</f>
        <v>0</v>
      </c>
      <c r="O17" s="19">
        <f>SUMIF(Playoff_Games_Full!$A:$A,$B:$B,Playoff_Games_Full!L:L)</f>
        <v>0</v>
      </c>
      <c r="P17" s="99" t="e">
        <f>PO_TOT[[#This Row],[FTM]]/PO_TOT[[#This Row],[FTA]]</f>
        <v>#DIV/0!</v>
      </c>
      <c r="Q17" s="74">
        <f>SUMIF(Playoff_Games_Full!$A:$A,$B:$B,Playoff_Games_Full!N:N)</f>
        <v>0</v>
      </c>
      <c r="R17" s="74">
        <f>SUMIF(Playoff_Games_Full!$A:$A,$B:$B,Playoff_Games_Full!O:O)</f>
        <v>0</v>
      </c>
      <c r="S17" s="74">
        <f>SUMIF(Playoff_Games_Full!$A:$A,$B:$B,Playoff_Games_Full!P:P)</f>
        <v>0</v>
      </c>
      <c r="T17" s="74">
        <f>SUMIF(Playoff_Games_Full!$A:$A,$B:$B,Playoff_Games_Full!Q:Q)</f>
        <v>0</v>
      </c>
      <c r="U17" s="74">
        <f>SUMIF(Playoff_Games_Full!$A:$A,$B:$B,Playoff_Games_Full!R:R)</f>
        <v>0</v>
      </c>
      <c r="V17" s="74">
        <f>SUMIF(Playoff_Games_Full!$A:$A,$B:$B,Playoff_Games_Full!S:S)</f>
        <v>0</v>
      </c>
      <c r="W17" s="74">
        <f>SUMIF(Playoff_Games_Full!$A:$A,$B:$B,Playoff_Games_Full!T:T)</f>
        <v>0</v>
      </c>
      <c r="X17" s="74">
        <f>SUMIF(Playoff_Games_Full!$A:$A,$B:$B,Playoff_Games_Full!U:U)</f>
        <v>0</v>
      </c>
      <c r="Y17" s="74">
        <f>SUMIF(Playoff_Games_Full!$A:$A,$B:$B,Playoff_Games_Full!V:V)</f>
        <v>0</v>
      </c>
      <c r="Z17" s="204" t="e">
        <f>PO_TOT[[#This Row],[Dimes]]/PO_TOT[[#This Row],[Turnovers]]</f>
        <v>#DIV/0!</v>
      </c>
    </row>
    <row r="18" spans="1:26" hidden="1" x14ac:dyDescent="0.2">
      <c r="A18" s="14" t="s">
        <v>31</v>
      </c>
      <c r="B18" t="s">
        <v>84</v>
      </c>
      <c r="C18" t="s">
        <v>132</v>
      </c>
      <c r="D18" s="86"/>
      <c r="E18" s="74">
        <f>SUMIF(Playoff_Games_Full!$A:$A,$B:$B,Playoff_Games_Full!B:B)</f>
        <v>0</v>
      </c>
      <c r="F18" s="74">
        <f>SUMIF(Playoff_Games_Full!$A:$A,$B:$B,Playoff_Games_Full!C:C)</f>
        <v>0</v>
      </c>
      <c r="G18" s="203" t="e">
        <f>PO_TOT[[#This Row],[Total FGM]]/PO_TOT[[#This Row],[Total FGA]]</f>
        <v>#DIV/0!</v>
      </c>
      <c r="H18" s="98">
        <f>SUMIF(Playoff_Games_Full!$A:$A,$B:$B,Playoff_Games_Full!E:E)</f>
        <v>0</v>
      </c>
      <c r="I18" s="19">
        <f>SUMIF(Playoff_Games_Full!$A:$A,$B:$B,Playoff_Games_Full!F:F)</f>
        <v>0</v>
      </c>
      <c r="J18" s="91" t="e">
        <f>PO_TOT[[#This Row],[2PT FGM]]/PO_TOT[[#This Row],[2PT FGA]]</f>
        <v>#DIV/0!</v>
      </c>
      <c r="K18" s="19">
        <f>SUMIF(Playoff_Games_Full!$A:$A,$B:$B,Playoff_Games_Full!H:H)</f>
        <v>0</v>
      </c>
      <c r="L18" s="19">
        <f>SUMIF(Playoff_Games_Full!$A:$A,$B:$B,Playoff_Games_Full!I:I)</f>
        <v>0</v>
      </c>
      <c r="M18" s="91" t="e">
        <f>PO_TOT[[#This Row],[3PT FGM]]/PO_TOT[[#This Row],[3PT FGA]]</f>
        <v>#DIV/0!</v>
      </c>
      <c r="N18" s="19">
        <f>SUMIF(Playoff_Games_Full!$A:$A,$B:$B,Playoff_Games_Full!K:K)</f>
        <v>0</v>
      </c>
      <c r="O18" s="19">
        <f>SUMIF(Playoff_Games_Full!$A:$A,$B:$B,Playoff_Games_Full!L:L)</f>
        <v>0</v>
      </c>
      <c r="P18" s="99" t="e">
        <f>PO_TOT[[#This Row],[FTM]]/PO_TOT[[#This Row],[FTA]]</f>
        <v>#DIV/0!</v>
      </c>
      <c r="Q18" s="74">
        <f>SUMIF(Playoff_Games_Full!$A:$A,$B:$B,Playoff_Games_Full!N:N)</f>
        <v>0</v>
      </c>
      <c r="R18" s="74">
        <f>SUMIF(Playoff_Games_Full!$A:$A,$B:$B,Playoff_Games_Full!O:O)</f>
        <v>0</v>
      </c>
      <c r="S18" s="74">
        <f>SUMIF(Playoff_Games_Full!$A:$A,$B:$B,Playoff_Games_Full!P:P)</f>
        <v>0</v>
      </c>
      <c r="T18" s="74">
        <f>SUMIF(Playoff_Games_Full!$A:$A,$B:$B,Playoff_Games_Full!Q:Q)</f>
        <v>0</v>
      </c>
      <c r="U18" s="74">
        <f>SUMIF(Playoff_Games_Full!$A:$A,$B:$B,Playoff_Games_Full!R:R)</f>
        <v>0</v>
      </c>
      <c r="V18" s="74">
        <f>SUMIF(Playoff_Games_Full!$A:$A,$B:$B,Playoff_Games_Full!S:S)</f>
        <v>0</v>
      </c>
      <c r="W18" s="74">
        <f>SUMIF(Playoff_Games_Full!$A:$A,$B:$B,Playoff_Games_Full!T:T)</f>
        <v>0</v>
      </c>
      <c r="X18" s="74">
        <f>SUMIF(Playoff_Games_Full!$A:$A,$B:$B,Playoff_Games_Full!U:U)</f>
        <v>0</v>
      </c>
      <c r="Y18" s="74">
        <f>SUMIF(Playoff_Games_Full!$A:$A,$B:$B,Playoff_Games_Full!V:V)</f>
        <v>0</v>
      </c>
      <c r="Z18" s="204" t="e">
        <f>PO_TOT[[#This Row],[Dimes]]/PO_TOT[[#This Row],[Turnovers]]</f>
        <v>#DIV/0!</v>
      </c>
    </row>
    <row r="19" spans="1:26" hidden="1" x14ac:dyDescent="0.2">
      <c r="A19" s="14" t="s">
        <v>57</v>
      </c>
      <c r="B19" t="s">
        <v>86</v>
      </c>
      <c r="C19" t="s">
        <v>132</v>
      </c>
      <c r="D19" s="86"/>
      <c r="E19" s="74">
        <f>SUMIF(Playoff_Games_Full!$A:$A,$B:$B,Playoff_Games_Full!B:B)</f>
        <v>0</v>
      </c>
      <c r="F19" s="74">
        <f>SUMIF(Playoff_Games_Full!$A:$A,$B:$B,Playoff_Games_Full!C:C)</f>
        <v>0</v>
      </c>
      <c r="G19" s="203" t="e">
        <f>PO_TOT[[#This Row],[Total FGM]]/PO_TOT[[#This Row],[Total FGA]]</f>
        <v>#DIV/0!</v>
      </c>
      <c r="H19" s="98">
        <f>SUMIF(Playoff_Games_Full!$A:$A,$B:$B,Playoff_Games_Full!E:E)</f>
        <v>0</v>
      </c>
      <c r="I19" s="19">
        <f>SUMIF(Playoff_Games_Full!$A:$A,$B:$B,Playoff_Games_Full!F:F)</f>
        <v>0</v>
      </c>
      <c r="J19" s="91" t="e">
        <f>PO_TOT[[#This Row],[2PT FGM]]/PO_TOT[[#This Row],[2PT FGA]]</f>
        <v>#DIV/0!</v>
      </c>
      <c r="K19" s="19">
        <f>SUMIF(Playoff_Games_Full!$A:$A,$B:$B,Playoff_Games_Full!H:H)</f>
        <v>0</v>
      </c>
      <c r="L19" s="19">
        <f>SUMIF(Playoff_Games_Full!$A:$A,$B:$B,Playoff_Games_Full!I:I)</f>
        <v>0</v>
      </c>
      <c r="M19" s="91" t="e">
        <f>PO_TOT[[#This Row],[3PT FGM]]/PO_TOT[[#This Row],[3PT FGA]]</f>
        <v>#DIV/0!</v>
      </c>
      <c r="N19" s="19">
        <f>SUMIF(Playoff_Games_Full!$A:$A,$B:$B,Playoff_Games_Full!K:K)</f>
        <v>0</v>
      </c>
      <c r="O19" s="19">
        <f>SUMIF(Playoff_Games_Full!$A:$A,$B:$B,Playoff_Games_Full!L:L)</f>
        <v>0</v>
      </c>
      <c r="P19" s="99" t="e">
        <f>PO_TOT[[#This Row],[FTM]]/PO_TOT[[#This Row],[FTA]]</f>
        <v>#DIV/0!</v>
      </c>
      <c r="Q19" s="74">
        <f>SUMIF(Playoff_Games_Full!$A:$A,$B:$B,Playoff_Games_Full!N:N)</f>
        <v>0</v>
      </c>
      <c r="R19" s="74">
        <f>SUMIF(Playoff_Games_Full!$A:$A,$B:$B,Playoff_Games_Full!O:O)</f>
        <v>0</v>
      </c>
      <c r="S19" s="74">
        <f>SUMIF(Playoff_Games_Full!$A:$A,$B:$B,Playoff_Games_Full!P:P)</f>
        <v>0</v>
      </c>
      <c r="T19" s="74">
        <f>SUMIF(Playoff_Games_Full!$A:$A,$B:$B,Playoff_Games_Full!Q:Q)</f>
        <v>0</v>
      </c>
      <c r="U19" s="74">
        <f>SUMIF(Playoff_Games_Full!$A:$A,$B:$B,Playoff_Games_Full!R:R)</f>
        <v>0</v>
      </c>
      <c r="V19" s="74">
        <f>SUMIF(Playoff_Games_Full!$A:$A,$B:$B,Playoff_Games_Full!S:S)</f>
        <v>0</v>
      </c>
      <c r="W19" s="74">
        <f>SUMIF(Playoff_Games_Full!$A:$A,$B:$B,Playoff_Games_Full!T:T)</f>
        <v>0</v>
      </c>
      <c r="X19" s="74">
        <f>SUMIF(Playoff_Games_Full!$A:$A,$B:$B,Playoff_Games_Full!U:U)</f>
        <v>0</v>
      </c>
      <c r="Y19" s="74">
        <f>SUMIF(Playoff_Games_Full!$A:$A,$B:$B,Playoff_Games_Full!V:V)</f>
        <v>0</v>
      </c>
      <c r="Z19" s="204" t="e">
        <f>PO_TOT[[#This Row],[Dimes]]/PO_TOT[[#This Row],[Turnovers]]</f>
        <v>#DIV/0!</v>
      </c>
    </row>
    <row r="20" spans="1:26" hidden="1" x14ac:dyDescent="0.2">
      <c r="A20" s="14" t="s">
        <v>54</v>
      </c>
      <c r="B20" t="s">
        <v>87</v>
      </c>
      <c r="C20" t="s">
        <v>132</v>
      </c>
      <c r="D20" s="86"/>
      <c r="E20" s="74">
        <f>SUMIF(Playoff_Games_Full!$A:$A,$B:$B,Playoff_Games_Full!B:B)</f>
        <v>0</v>
      </c>
      <c r="F20" s="74">
        <f>SUMIF(Playoff_Games_Full!$A:$A,$B:$B,Playoff_Games_Full!C:C)</f>
        <v>0</v>
      </c>
      <c r="G20" s="203" t="e">
        <f>PO_TOT[[#This Row],[Total FGM]]/PO_TOT[[#This Row],[Total FGA]]</f>
        <v>#DIV/0!</v>
      </c>
      <c r="H20" s="98">
        <f>SUMIF(Playoff_Games_Full!$A:$A,$B:$B,Playoff_Games_Full!E:E)</f>
        <v>0</v>
      </c>
      <c r="I20" s="19">
        <f>SUMIF(Playoff_Games_Full!$A:$A,$B:$B,Playoff_Games_Full!F:F)</f>
        <v>0</v>
      </c>
      <c r="J20" s="91" t="e">
        <f>PO_TOT[[#This Row],[2PT FGM]]/PO_TOT[[#This Row],[2PT FGA]]</f>
        <v>#DIV/0!</v>
      </c>
      <c r="K20" s="19">
        <f>SUMIF(Playoff_Games_Full!$A:$A,$B:$B,Playoff_Games_Full!H:H)</f>
        <v>0</v>
      </c>
      <c r="L20" s="19">
        <f>SUMIF(Playoff_Games_Full!$A:$A,$B:$B,Playoff_Games_Full!I:I)</f>
        <v>0</v>
      </c>
      <c r="M20" s="91" t="e">
        <f>PO_TOT[[#This Row],[3PT FGM]]/PO_TOT[[#This Row],[3PT FGA]]</f>
        <v>#DIV/0!</v>
      </c>
      <c r="N20" s="19">
        <f>SUMIF(Playoff_Games_Full!$A:$A,$B:$B,Playoff_Games_Full!K:K)</f>
        <v>0</v>
      </c>
      <c r="O20" s="19">
        <f>SUMIF(Playoff_Games_Full!$A:$A,$B:$B,Playoff_Games_Full!L:L)</f>
        <v>0</v>
      </c>
      <c r="P20" s="99" t="e">
        <f>PO_TOT[[#This Row],[FTM]]/PO_TOT[[#This Row],[FTA]]</f>
        <v>#DIV/0!</v>
      </c>
      <c r="Q20" s="74">
        <f>SUMIF(Playoff_Games_Full!$A:$A,$B:$B,Playoff_Games_Full!N:N)</f>
        <v>0</v>
      </c>
      <c r="R20" s="74">
        <f>SUMIF(Playoff_Games_Full!$A:$A,$B:$B,Playoff_Games_Full!O:O)</f>
        <v>0</v>
      </c>
      <c r="S20" s="74">
        <f>SUMIF(Playoff_Games_Full!$A:$A,$B:$B,Playoff_Games_Full!P:P)</f>
        <v>0</v>
      </c>
      <c r="T20" s="74">
        <f>SUMIF(Playoff_Games_Full!$A:$A,$B:$B,Playoff_Games_Full!Q:Q)</f>
        <v>0</v>
      </c>
      <c r="U20" s="74">
        <f>SUMIF(Playoff_Games_Full!$A:$A,$B:$B,Playoff_Games_Full!R:R)</f>
        <v>0</v>
      </c>
      <c r="V20" s="74">
        <f>SUMIF(Playoff_Games_Full!$A:$A,$B:$B,Playoff_Games_Full!S:S)</f>
        <v>0</v>
      </c>
      <c r="W20" s="74">
        <f>SUMIF(Playoff_Games_Full!$A:$A,$B:$B,Playoff_Games_Full!T:T)</f>
        <v>0</v>
      </c>
      <c r="X20" s="74">
        <f>SUMIF(Playoff_Games_Full!$A:$A,$B:$B,Playoff_Games_Full!U:U)</f>
        <v>0</v>
      </c>
      <c r="Y20" s="74">
        <f>SUMIF(Playoff_Games_Full!$A:$A,$B:$B,Playoff_Games_Full!V:V)</f>
        <v>0</v>
      </c>
      <c r="Z20" s="204" t="e">
        <f>PO_TOT[[#This Row],[Dimes]]/PO_TOT[[#This Row],[Turnovers]]</f>
        <v>#DIV/0!</v>
      </c>
    </row>
    <row r="21" spans="1:26" hidden="1" x14ac:dyDescent="0.2">
      <c r="A21" s="14" t="s">
        <v>39</v>
      </c>
      <c r="B21" t="s">
        <v>89</v>
      </c>
      <c r="C21" t="s">
        <v>132</v>
      </c>
      <c r="D21" s="86"/>
      <c r="E21" s="74">
        <f>SUMIF(Playoff_Games_Full!$A:$A,$B:$B,Playoff_Games_Full!B:B)</f>
        <v>0</v>
      </c>
      <c r="F21" s="74">
        <f>SUMIF(Playoff_Games_Full!$A:$A,$B:$B,Playoff_Games_Full!C:C)</f>
        <v>0</v>
      </c>
      <c r="G21" s="203" t="e">
        <f>PO_TOT[[#This Row],[Total FGM]]/PO_TOT[[#This Row],[Total FGA]]</f>
        <v>#DIV/0!</v>
      </c>
      <c r="H21" s="98">
        <f>SUMIF(Playoff_Games_Full!$A:$A,$B:$B,Playoff_Games_Full!E:E)</f>
        <v>0</v>
      </c>
      <c r="I21" s="19">
        <f>SUMIF(Playoff_Games_Full!$A:$A,$B:$B,Playoff_Games_Full!F:F)</f>
        <v>0</v>
      </c>
      <c r="J21" s="91" t="e">
        <f>PO_TOT[[#This Row],[2PT FGM]]/PO_TOT[[#This Row],[2PT FGA]]</f>
        <v>#DIV/0!</v>
      </c>
      <c r="K21" s="19">
        <f>SUMIF(Playoff_Games_Full!$A:$A,$B:$B,Playoff_Games_Full!H:H)</f>
        <v>0</v>
      </c>
      <c r="L21" s="19">
        <f>SUMIF(Playoff_Games_Full!$A:$A,$B:$B,Playoff_Games_Full!I:I)</f>
        <v>0</v>
      </c>
      <c r="M21" s="91" t="e">
        <f>PO_TOT[[#This Row],[3PT FGM]]/PO_TOT[[#This Row],[3PT FGA]]</f>
        <v>#DIV/0!</v>
      </c>
      <c r="N21" s="19">
        <f>SUMIF(Playoff_Games_Full!$A:$A,$B:$B,Playoff_Games_Full!K:K)</f>
        <v>0</v>
      </c>
      <c r="O21" s="19">
        <f>SUMIF(Playoff_Games_Full!$A:$A,$B:$B,Playoff_Games_Full!L:L)</f>
        <v>0</v>
      </c>
      <c r="P21" s="99" t="e">
        <f>PO_TOT[[#This Row],[FTM]]/PO_TOT[[#This Row],[FTA]]</f>
        <v>#DIV/0!</v>
      </c>
      <c r="Q21" s="74">
        <f>SUMIF(Playoff_Games_Full!$A:$A,$B:$B,Playoff_Games_Full!N:N)</f>
        <v>0</v>
      </c>
      <c r="R21" s="74">
        <f>SUMIF(Playoff_Games_Full!$A:$A,$B:$B,Playoff_Games_Full!O:O)</f>
        <v>0</v>
      </c>
      <c r="S21" s="74">
        <f>SUMIF(Playoff_Games_Full!$A:$A,$B:$B,Playoff_Games_Full!P:P)</f>
        <v>0</v>
      </c>
      <c r="T21" s="74">
        <f>SUMIF(Playoff_Games_Full!$A:$A,$B:$B,Playoff_Games_Full!Q:Q)</f>
        <v>0</v>
      </c>
      <c r="U21" s="74">
        <f>SUMIF(Playoff_Games_Full!$A:$A,$B:$B,Playoff_Games_Full!R:R)</f>
        <v>0</v>
      </c>
      <c r="V21" s="74">
        <f>SUMIF(Playoff_Games_Full!$A:$A,$B:$B,Playoff_Games_Full!S:S)</f>
        <v>0</v>
      </c>
      <c r="W21" s="74">
        <f>SUMIF(Playoff_Games_Full!$A:$A,$B:$B,Playoff_Games_Full!T:T)</f>
        <v>0</v>
      </c>
      <c r="X21" s="74">
        <f>SUMIF(Playoff_Games_Full!$A:$A,$B:$B,Playoff_Games_Full!U:U)</f>
        <v>0</v>
      </c>
      <c r="Y21" s="74">
        <f>SUMIF(Playoff_Games_Full!$A:$A,$B:$B,Playoff_Games_Full!V:V)</f>
        <v>0</v>
      </c>
      <c r="Z21" s="204" t="e">
        <f>PO_TOT[[#This Row],[Dimes]]/PO_TOT[[#This Row],[Turnovers]]</f>
        <v>#DIV/0!</v>
      </c>
    </row>
    <row r="22" spans="1:26" hidden="1" x14ac:dyDescent="0.2">
      <c r="A22" s="14" t="s">
        <v>28</v>
      </c>
      <c r="B22" t="s">
        <v>92</v>
      </c>
      <c r="C22" t="s">
        <v>132</v>
      </c>
      <c r="D22" s="86"/>
      <c r="E22" s="74">
        <f>SUMIF(Playoff_Games_Full!$A:$A,$B:$B,Playoff_Games_Full!B:B)</f>
        <v>0</v>
      </c>
      <c r="F22" s="74">
        <f>SUMIF(Playoff_Games_Full!$A:$A,$B:$B,Playoff_Games_Full!C:C)</f>
        <v>0</v>
      </c>
      <c r="G22" s="203" t="e">
        <f>PO_TOT[[#This Row],[Total FGM]]/PO_TOT[[#This Row],[Total FGA]]</f>
        <v>#DIV/0!</v>
      </c>
      <c r="H22" s="98">
        <f>SUMIF(Playoff_Games_Full!$A:$A,$B:$B,Playoff_Games_Full!E:E)</f>
        <v>0</v>
      </c>
      <c r="I22" s="19">
        <f>SUMIF(Playoff_Games_Full!$A:$A,$B:$B,Playoff_Games_Full!F:F)</f>
        <v>0</v>
      </c>
      <c r="J22" s="91" t="e">
        <f>PO_TOT[[#This Row],[2PT FGM]]/PO_TOT[[#This Row],[2PT FGA]]</f>
        <v>#DIV/0!</v>
      </c>
      <c r="K22" s="19">
        <f>SUMIF(Playoff_Games_Full!$A:$A,$B:$B,Playoff_Games_Full!H:H)</f>
        <v>0</v>
      </c>
      <c r="L22" s="19">
        <f>SUMIF(Playoff_Games_Full!$A:$A,$B:$B,Playoff_Games_Full!I:I)</f>
        <v>0</v>
      </c>
      <c r="M22" s="91" t="e">
        <f>PO_TOT[[#This Row],[3PT FGM]]/PO_TOT[[#This Row],[3PT FGA]]</f>
        <v>#DIV/0!</v>
      </c>
      <c r="N22" s="19">
        <f>SUMIF(Playoff_Games_Full!$A:$A,$B:$B,Playoff_Games_Full!K:K)</f>
        <v>0</v>
      </c>
      <c r="O22" s="19">
        <f>SUMIF(Playoff_Games_Full!$A:$A,$B:$B,Playoff_Games_Full!L:L)</f>
        <v>0</v>
      </c>
      <c r="P22" s="99" t="e">
        <f>PO_TOT[[#This Row],[FTM]]/PO_TOT[[#This Row],[FTA]]</f>
        <v>#DIV/0!</v>
      </c>
      <c r="Q22" s="74">
        <f>SUMIF(Playoff_Games_Full!$A:$A,$B:$B,Playoff_Games_Full!N:N)</f>
        <v>0</v>
      </c>
      <c r="R22" s="74">
        <f>SUMIF(Playoff_Games_Full!$A:$A,$B:$B,Playoff_Games_Full!O:O)</f>
        <v>0</v>
      </c>
      <c r="S22" s="74">
        <f>SUMIF(Playoff_Games_Full!$A:$A,$B:$B,Playoff_Games_Full!P:P)</f>
        <v>0</v>
      </c>
      <c r="T22" s="74">
        <f>SUMIF(Playoff_Games_Full!$A:$A,$B:$B,Playoff_Games_Full!Q:Q)</f>
        <v>0</v>
      </c>
      <c r="U22" s="74">
        <f>SUMIF(Playoff_Games_Full!$A:$A,$B:$B,Playoff_Games_Full!R:R)</f>
        <v>0</v>
      </c>
      <c r="V22" s="74">
        <f>SUMIF(Playoff_Games_Full!$A:$A,$B:$B,Playoff_Games_Full!S:S)</f>
        <v>0</v>
      </c>
      <c r="W22" s="74">
        <f>SUMIF(Playoff_Games_Full!$A:$A,$B:$B,Playoff_Games_Full!T:T)</f>
        <v>0</v>
      </c>
      <c r="X22" s="74">
        <f>SUMIF(Playoff_Games_Full!$A:$A,$B:$B,Playoff_Games_Full!U:U)</f>
        <v>0</v>
      </c>
      <c r="Y22" s="74">
        <f>SUMIF(Playoff_Games_Full!$A:$A,$B:$B,Playoff_Games_Full!V:V)</f>
        <v>0</v>
      </c>
      <c r="Z22" s="204" t="e">
        <f>PO_TOT[[#This Row],[Dimes]]/PO_TOT[[#This Row],[Turnovers]]</f>
        <v>#DIV/0!</v>
      </c>
    </row>
    <row r="23" spans="1:26" hidden="1" x14ac:dyDescent="0.2">
      <c r="A23" s="14" t="s">
        <v>50</v>
      </c>
      <c r="B23" t="s">
        <v>93</v>
      </c>
      <c r="C23" t="s">
        <v>132</v>
      </c>
      <c r="D23" s="86"/>
      <c r="E23" s="74">
        <f>SUMIF(Playoff_Games_Full!$A:$A,$B:$B,Playoff_Games_Full!B:B)</f>
        <v>0</v>
      </c>
      <c r="F23" s="74">
        <f>SUMIF(Playoff_Games_Full!$A:$A,$B:$B,Playoff_Games_Full!C:C)</f>
        <v>0</v>
      </c>
      <c r="G23" s="203" t="e">
        <f>PO_TOT[[#This Row],[Total FGM]]/PO_TOT[[#This Row],[Total FGA]]</f>
        <v>#DIV/0!</v>
      </c>
      <c r="H23" s="98">
        <f>SUMIF(Playoff_Games_Full!$A:$A,$B:$B,Playoff_Games_Full!E:E)</f>
        <v>0</v>
      </c>
      <c r="I23" s="19">
        <f>SUMIF(Playoff_Games_Full!$A:$A,$B:$B,Playoff_Games_Full!F:F)</f>
        <v>0</v>
      </c>
      <c r="J23" s="91" t="e">
        <f>PO_TOT[[#This Row],[2PT FGM]]/PO_TOT[[#This Row],[2PT FGA]]</f>
        <v>#DIV/0!</v>
      </c>
      <c r="K23" s="19">
        <f>SUMIF(Playoff_Games_Full!$A:$A,$B:$B,Playoff_Games_Full!H:H)</f>
        <v>0</v>
      </c>
      <c r="L23" s="19">
        <f>SUMIF(Playoff_Games_Full!$A:$A,$B:$B,Playoff_Games_Full!I:I)</f>
        <v>0</v>
      </c>
      <c r="M23" s="91" t="e">
        <f>PO_TOT[[#This Row],[3PT FGM]]/PO_TOT[[#This Row],[3PT FGA]]</f>
        <v>#DIV/0!</v>
      </c>
      <c r="N23" s="19">
        <f>SUMIF(Playoff_Games_Full!$A:$A,$B:$B,Playoff_Games_Full!K:K)</f>
        <v>0</v>
      </c>
      <c r="O23" s="19">
        <f>SUMIF(Playoff_Games_Full!$A:$A,$B:$B,Playoff_Games_Full!L:L)</f>
        <v>0</v>
      </c>
      <c r="P23" s="99" t="e">
        <f>PO_TOT[[#This Row],[FTM]]/PO_TOT[[#This Row],[FTA]]</f>
        <v>#DIV/0!</v>
      </c>
      <c r="Q23" s="74">
        <f>SUMIF(Playoff_Games_Full!$A:$A,$B:$B,Playoff_Games_Full!N:N)</f>
        <v>0</v>
      </c>
      <c r="R23" s="74">
        <f>SUMIF(Playoff_Games_Full!$A:$A,$B:$B,Playoff_Games_Full!O:O)</f>
        <v>0</v>
      </c>
      <c r="S23" s="74">
        <f>SUMIF(Playoff_Games_Full!$A:$A,$B:$B,Playoff_Games_Full!P:P)</f>
        <v>0</v>
      </c>
      <c r="T23" s="74">
        <f>SUMIF(Playoff_Games_Full!$A:$A,$B:$B,Playoff_Games_Full!Q:Q)</f>
        <v>0</v>
      </c>
      <c r="U23" s="74">
        <f>SUMIF(Playoff_Games_Full!$A:$A,$B:$B,Playoff_Games_Full!R:R)</f>
        <v>0</v>
      </c>
      <c r="V23" s="74">
        <f>SUMIF(Playoff_Games_Full!$A:$A,$B:$B,Playoff_Games_Full!S:S)</f>
        <v>0</v>
      </c>
      <c r="W23" s="74">
        <f>SUMIF(Playoff_Games_Full!$A:$A,$B:$B,Playoff_Games_Full!T:T)</f>
        <v>0</v>
      </c>
      <c r="X23" s="74">
        <f>SUMIF(Playoff_Games_Full!$A:$A,$B:$B,Playoff_Games_Full!U:U)</f>
        <v>0</v>
      </c>
      <c r="Y23" s="74">
        <f>SUMIF(Playoff_Games_Full!$A:$A,$B:$B,Playoff_Games_Full!V:V)</f>
        <v>0</v>
      </c>
      <c r="Z23" s="204" t="e">
        <f>PO_TOT[[#This Row],[Dimes]]/PO_TOT[[#This Row],[Turnovers]]</f>
        <v>#DIV/0!</v>
      </c>
    </row>
    <row r="24" spans="1:26" hidden="1" x14ac:dyDescent="0.2">
      <c r="A24" s="14" t="s">
        <v>49</v>
      </c>
      <c r="B24" t="s">
        <v>94</v>
      </c>
      <c r="C24" t="s">
        <v>132</v>
      </c>
      <c r="D24" s="86"/>
      <c r="E24" s="74">
        <f>SUMIF(Playoff_Games_Full!$A:$A,$B:$B,Playoff_Games_Full!B:B)</f>
        <v>0</v>
      </c>
      <c r="F24" s="74">
        <f>SUMIF(Playoff_Games_Full!$A:$A,$B:$B,Playoff_Games_Full!C:C)</f>
        <v>0</v>
      </c>
      <c r="G24" s="203" t="e">
        <f>PO_TOT[[#This Row],[Total FGM]]/PO_TOT[[#This Row],[Total FGA]]</f>
        <v>#DIV/0!</v>
      </c>
      <c r="H24" s="98">
        <f>SUMIF(Playoff_Games_Full!$A:$A,$B:$B,Playoff_Games_Full!E:E)</f>
        <v>0</v>
      </c>
      <c r="I24" s="19">
        <f>SUMIF(Playoff_Games_Full!$A:$A,$B:$B,Playoff_Games_Full!F:F)</f>
        <v>0</v>
      </c>
      <c r="J24" s="91" t="e">
        <f>PO_TOT[[#This Row],[2PT FGM]]/PO_TOT[[#This Row],[2PT FGA]]</f>
        <v>#DIV/0!</v>
      </c>
      <c r="K24" s="19">
        <f>SUMIF(Playoff_Games_Full!$A:$A,$B:$B,Playoff_Games_Full!H:H)</f>
        <v>0</v>
      </c>
      <c r="L24" s="19">
        <f>SUMIF(Playoff_Games_Full!$A:$A,$B:$B,Playoff_Games_Full!I:I)</f>
        <v>0</v>
      </c>
      <c r="M24" s="91" t="e">
        <f>PO_TOT[[#This Row],[3PT FGM]]/PO_TOT[[#This Row],[3PT FGA]]</f>
        <v>#DIV/0!</v>
      </c>
      <c r="N24" s="19">
        <f>SUMIF(Playoff_Games_Full!$A:$A,$B:$B,Playoff_Games_Full!K:K)</f>
        <v>0</v>
      </c>
      <c r="O24" s="19">
        <f>SUMIF(Playoff_Games_Full!$A:$A,$B:$B,Playoff_Games_Full!L:L)</f>
        <v>0</v>
      </c>
      <c r="P24" s="99" t="e">
        <f>PO_TOT[[#This Row],[FTM]]/PO_TOT[[#This Row],[FTA]]</f>
        <v>#DIV/0!</v>
      </c>
      <c r="Q24" s="74">
        <f>SUMIF(Playoff_Games_Full!$A:$A,$B:$B,Playoff_Games_Full!N:N)</f>
        <v>0</v>
      </c>
      <c r="R24" s="74">
        <f>SUMIF(Playoff_Games_Full!$A:$A,$B:$B,Playoff_Games_Full!O:O)</f>
        <v>0</v>
      </c>
      <c r="S24" s="74">
        <f>SUMIF(Playoff_Games_Full!$A:$A,$B:$B,Playoff_Games_Full!P:P)</f>
        <v>0</v>
      </c>
      <c r="T24" s="74">
        <f>SUMIF(Playoff_Games_Full!$A:$A,$B:$B,Playoff_Games_Full!Q:Q)</f>
        <v>0</v>
      </c>
      <c r="U24" s="74">
        <f>SUMIF(Playoff_Games_Full!$A:$A,$B:$B,Playoff_Games_Full!R:R)</f>
        <v>0</v>
      </c>
      <c r="V24" s="74">
        <f>SUMIF(Playoff_Games_Full!$A:$A,$B:$B,Playoff_Games_Full!S:S)</f>
        <v>0</v>
      </c>
      <c r="W24" s="74">
        <f>SUMIF(Playoff_Games_Full!$A:$A,$B:$B,Playoff_Games_Full!T:T)</f>
        <v>0</v>
      </c>
      <c r="X24" s="74">
        <f>SUMIF(Playoff_Games_Full!$A:$A,$B:$B,Playoff_Games_Full!U:U)</f>
        <v>0</v>
      </c>
      <c r="Y24" s="74">
        <f>SUMIF(Playoff_Games_Full!$A:$A,$B:$B,Playoff_Games_Full!V:V)</f>
        <v>0</v>
      </c>
      <c r="Z24" s="204" t="e">
        <f>PO_TOT[[#This Row],[Dimes]]/PO_TOT[[#This Row],[Turnovers]]</f>
        <v>#DIV/0!</v>
      </c>
    </row>
    <row r="25" spans="1:26" hidden="1" x14ac:dyDescent="0.2">
      <c r="A25" s="14" t="s">
        <v>47</v>
      </c>
      <c r="B25" t="s">
        <v>97</v>
      </c>
      <c r="C25" t="s">
        <v>132</v>
      </c>
      <c r="D25" s="86"/>
      <c r="E25" s="74">
        <f>SUMIF(Playoff_Games_Full!$A:$A,$B:$B,Playoff_Games_Full!B:B)</f>
        <v>0</v>
      </c>
      <c r="F25" s="74">
        <f>SUMIF(Playoff_Games_Full!$A:$A,$B:$B,Playoff_Games_Full!C:C)</f>
        <v>0</v>
      </c>
      <c r="G25" s="203" t="e">
        <f>PO_TOT[[#This Row],[Total FGM]]/PO_TOT[[#This Row],[Total FGA]]</f>
        <v>#DIV/0!</v>
      </c>
      <c r="H25" s="98">
        <f>SUMIF(Playoff_Games_Full!$A:$A,$B:$B,Playoff_Games_Full!E:E)</f>
        <v>0</v>
      </c>
      <c r="I25" s="19">
        <f>SUMIF(Playoff_Games_Full!$A:$A,$B:$B,Playoff_Games_Full!F:F)</f>
        <v>0</v>
      </c>
      <c r="J25" s="91" t="e">
        <f>PO_TOT[[#This Row],[2PT FGM]]/PO_TOT[[#This Row],[2PT FGA]]</f>
        <v>#DIV/0!</v>
      </c>
      <c r="K25" s="19">
        <f>SUMIF(Playoff_Games_Full!$A:$A,$B:$B,Playoff_Games_Full!H:H)</f>
        <v>0</v>
      </c>
      <c r="L25" s="19">
        <f>SUMIF(Playoff_Games_Full!$A:$A,$B:$B,Playoff_Games_Full!I:I)</f>
        <v>0</v>
      </c>
      <c r="M25" s="91" t="e">
        <f>PO_TOT[[#This Row],[3PT FGM]]/PO_TOT[[#This Row],[3PT FGA]]</f>
        <v>#DIV/0!</v>
      </c>
      <c r="N25" s="19">
        <f>SUMIF(Playoff_Games_Full!$A:$A,$B:$B,Playoff_Games_Full!K:K)</f>
        <v>0</v>
      </c>
      <c r="O25" s="19">
        <f>SUMIF(Playoff_Games_Full!$A:$A,$B:$B,Playoff_Games_Full!L:L)</f>
        <v>0</v>
      </c>
      <c r="P25" s="99" t="e">
        <f>PO_TOT[[#This Row],[FTM]]/PO_TOT[[#This Row],[FTA]]</f>
        <v>#DIV/0!</v>
      </c>
      <c r="Q25" s="74">
        <f>SUMIF(Playoff_Games_Full!$A:$A,$B:$B,Playoff_Games_Full!N:N)</f>
        <v>0</v>
      </c>
      <c r="R25" s="74">
        <f>SUMIF(Playoff_Games_Full!$A:$A,$B:$B,Playoff_Games_Full!O:O)</f>
        <v>0</v>
      </c>
      <c r="S25" s="74">
        <f>SUMIF(Playoff_Games_Full!$A:$A,$B:$B,Playoff_Games_Full!P:P)</f>
        <v>0</v>
      </c>
      <c r="T25" s="74">
        <f>SUMIF(Playoff_Games_Full!$A:$A,$B:$B,Playoff_Games_Full!Q:Q)</f>
        <v>0</v>
      </c>
      <c r="U25" s="74">
        <f>SUMIF(Playoff_Games_Full!$A:$A,$B:$B,Playoff_Games_Full!R:R)</f>
        <v>0</v>
      </c>
      <c r="V25" s="74">
        <f>SUMIF(Playoff_Games_Full!$A:$A,$B:$B,Playoff_Games_Full!S:S)</f>
        <v>0</v>
      </c>
      <c r="W25" s="74">
        <f>SUMIF(Playoff_Games_Full!$A:$A,$B:$B,Playoff_Games_Full!T:T)</f>
        <v>0</v>
      </c>
      <c r="X25" s="74">
        <f>SUMIF(Playoff_Games_Full!$A:$A,$B:$B,Playoff_Games_Full!U:U)</f>
        <v>0</v>
      </c>
      <c r="Y25" s="74">
        <f>SUMIF(Playoff_Games_Full!$A:$A,$B:$B,Playoff_Games_Full!V:V)</f>
        <v>0</v>
      </c>
      <c r="Z25" s="204" t="e">
        <f>PO_TOT[[#This Row],[Dimes]]/PO_TOT[[#This Row],[Turnovers]]</f>
        <v>#DIV/0!</v>
      </c>
    </row>
    <row r="26" spans="1:26" hidden="1" x14ac:dyDescent="0.2">
      <c r="A26" s="14" t="s">
        <v>42</v>
      </c>
      <c r="B26" t="s">
        <v>101</v>
      </c>
      <c r="C26" t="s">
        <v>132</v>
      </c>
      <c r="D26" s="86"/>
      <c r="E26" s="74">
        <f>SUMIF(Playoff_Games_Full!$A:$A,$B:$B,Playoff_Games_Full!B:B)</f>
        <v>0</v>
      </c>
      <c r="F26" s="74">
        <f>SUMIF(Playoff_Games_Full!$A:$A,$B:$B,Playoff_Games_Full!C:C)</f>
        <v>0</v>
      </c>
      <c r="G26" s="203" t="e">
        <f>PO_TOT[[#This Row],[Total FGM]]/PO_TOT[[#This Row],[Total FGA]]</f>
        <v>#DIV/0!</v>
      </c>
      <c r="H26" s="98">
        <f>SUMIF(Playoff_Games_Full!$A:$A,$B:$B,Playoff_Games_Full!E:E)</f>
        <v>0</v>
      </c>
      <c r="I26" s="19">
        <f>SUMIF(Playoff_Games_Full!$A:$A,$B:$B,Playoff_Games_Full!F:F)</f>
        <v>0</v>
      </c>
      <c r="J26" s="91" t="e">
        <f>PO_TOT[[#This Row],[2PT FGM]]/PO_TOT[[#This Row],[2PT FGA]]</f>
        <v>#DIV/0!</v>
      </c>
      <c r="K26" s="19">
        <f>SUMIF(Playoff_Games_Full!$A:$A,$B:$B,Playoff_Games_Full!H:H)</f>
        <v>0</v>
      </c>
      <c r="L26" s="19">
        <f>SUMIF(Playoff_Games_Full!$A:$A,$B:$B,Playoff_Games_Full!I:I)</f>
        <v>0</v>
      </c>
      <c r="M26" s="91" t="e">
        <f>PO_TOT[[#This Row],[3PT FGM]]/PO_TOT[[#This Row],[3PT FGA]]</f>
        <v>#DIV/0!</v>
      </c>
      <c r="N26" s="19">
        <f>SUMIF(Playoff_Games_Full!$A:$A,$B:$B,Playoff_Games_Full!K:K)</f>
        <v>0</v>
      </c>
      <c r="O26" s="19">
        <f>SUMIF(Playoff_Games_Full!$A:$A,$B:$B,Playoff_Games_Full!L:L)</f>
        <v>0</v>
      </c>
      <c r="P26" s="99" t="e">
        <f>PO_TOT[[#This Row],[FTM]]/PO_TOT[[#This Row],[FTA]]</f>
        <v>#DIV/0!</v>
      </c>
      <c r="Q26" s="74">
        <f>SUMIF(Playoff_Games_Full!$A:$A,$B:$B,Playoff_Games_Full!N:N)</f>
        <v>0</v>
      </c>
      <c r="R26" s="74">
        <f>SUMIF(Playoff_Games_Full!$A:$A,$B:$B,Playoff_Games_Full!O:O)</f>
        <v>0</v>
      </c>
      <c r="S26" s="74">
        <f>SUMIF(Playoff_Games_Full!$A:$A,$B:$B,Playoff_Games_Full!P:P)</f>
        <v>0</v>
      </c>
      <c r="T26" s="74">
        <f>SUMIF(Playoff_Games_Full!$A:$A,$B:$B,Playoff_Games_Full!Q:Q)</f>
        <v>0</v>
      </c>
      <c r="U26" s="74">
        <f>SUMIF(Playoff_Games_Full!$A:$A,$B:$B,Playoff_Games_Full!R:R)</f>
        <v>0</v>
      </c>
      <c r="V26" s="74">
        <f>SUMIF(Playoff_Games_Full!$A:$A,$B:$B,Playoff_Games_Full!S:S)</f>
        <v>0</v>
      </c>
      <c r="W26" s="74">
        <f>SUMIF(Playoff_Games_Full!$A:$A,$B:$B,Playoff_Games_Full!T:T)</f>
        <v>0</v>
      </c>
      <c r="X26" s="74">
        <f>SUMIF(Playoff_Games_Full!$A:$A,$B:$B,Playoff_Games_Full!U:U)</f>
        <v>0</v>
      </c>
      <c r="Y26" s="74">
        <f>SUMIF(Playoff_Games_Full!$A:$A,$B:$B,Playoff_Games_Full!V:V)</f>
        <v>0</v>
      </c>
      <c r="Z26" s="204" t="e">
        <f>PO_TOT[[#This Row],[Dimes]]/PO_TOT[[#This Row],[Turnovers]]</f>
        <v>#DIV/0!</v>
      </c>
    </row>
    <row r="27" spans="1:26" hidden="1" x14ac:dyDescent="0.2">
      <c r="A27" s="14" t="s">
        <v>48</v>
      </c>
      <c r="B27" t="s">
        <v>99</v>
      </c>
      <c r="C27" t="s">
        <v>132</v>
      </c>
      <c r="D27" s="86"/>
      <c r="E27" s="74">
        <f>SUMIF(Playoff_Games_Full!$A:$A,$B:$B,Playoff_Games_Full!B:B)</f>
        <v>0</v>
      </c>
      <c r="F27" s="74">
        <f>SUMIF(Playoff_Games_Full!$A:$A,$B:$B,Playoff_Games_Full!C:C)</f>
        <v>0</v>
      </c>
      <c r="G27" s="203" t="e">
        <f>PO_TOT[[#This Row],[Total FGM]]/PO_TOT[[#This Row],[Total FGA]]</f>
        <v>#DIV/0!</v>
      </c>
      <c r="H27" s="98">
        <f>SUMIF(Playoff_Games_Full!$A:$A,$B:$B,Playoff_Games_Full!E:E)</f>
        <v>0</v>
      </c>
      <c r="I27" s="19">
        <f>SUMIF(Playoff_Games_Full!$A:$A,$B:$B,Playoff_Games_Full!F:F)</f>
        <v>0</v>
      </c>
      <c r="J27" s="91" t="e">
        <f>PO_TOT[[#This Row],[2PT FGM]]/PO_TOT[[#This Row],[2PT FGA]]</f>
        <v>#DIV/0!</v>
      </c>
      <c r="K27" s="19">
        <f>SUMIF(Playoff_Games_Full!$A:$A,$B:$B,Playoff_Games_Full!H:H)</f>
        <v>0</v>
      </c>
      <c r="L27" s="19">
        <f>SUMIF(Playoff_Games_Full!$A:$A,$B:$B,Playoff_Games_Full!I:I)</f>
        <v>0</v>
      </c>
      <c r="M27" s="91" t="e">
        <f>PO_TOT[[#This Row],[3PT FGM]]/PO_TOT[[#This Row],[3PT FGA]]</f>
        <v>#DIV/0!</v>
      </c>
      <c r="N27" s="19">
        <f>SUMIF(Playoff_Games_Full!$A:$A,$B:$B,Playoff_Games_Full!K:K)</f>
        <v>0</v>
      </c>
      <c r="O27" s="19">
        <f>SUMIF(Playoff_Games_Full!$A:$A,$B:$B,Playoff_Games_Full!L:L)</f>
        <v>0</v>
      </c>
      <c r="P27" s="99" t="e">
        <f>PO_TOT[[#This Row],[FTM]]/PO_TOT[[#This Row],[FTA]]</f>
        <v>#DIV/0!</v>
      </c>
      <c r="Q27" s="74">
        <f>SUMIF(Playoff_Games_Full!$A:$A,$B:$B,Playoff_Games_Full!N:N)</f>
        <v>0</v>
      </c>
      <c r="R27" s="74">
        <f>SUMIF(Playoff_Games_Full!$A:$A,$B:$B,Playoff_Games_Full!O:O)</f>
        <v>0</v>
      </c>
      <c r="S27" s="74">
        <f>SUMIF(Playoff_Games_Full!$A:$A,$B:$B,Playoff_Games_Full!P:P)</f>
        <v>0</v>
      </c>
      <c r="T27" s="74">
        <f>SUMIF(Playoff_Games_Full!$A:$A,$B:$B,Playoff_Games_Full!Q:Q)</f>
        <v>0</v>
      </c>
      <c r="U27" s="74">
        <f>SUMIF(Playoff_Games_Full!$A:$A,$B:$B,Playoff_Games_Full!R:R)</f>
        <v>0</v>
      </c>
      <c r="V27" s="74">
        <f>SUMIF(Playoff_Games_Full!$A:$A,$B:$B,Playoff_Games_Full!S:S)</f>
        <v>0</v>
      </c>
      <c r="W27" s="74">
        <f>SUMIF(Playoff_Games_Full!$A:$A,$B:$B,Playoff_Games_Full!T:T)</f>
        <v>0</v>
      </c>
      <c r="X27" s="74">
        <f>SUMIF(Playoff_Games_Full!$A:$A,$B:$B,Playoff_Games_Full!U:U)</f>
        <v>0</v>
      </c>
      <c r="Y27" s="74">
        <f>SUMIF(Playoff_Games_Full!$A:$A,$B:$B,Playoff_Games_Full!V:V)</f>
        <v>0</v>
      </c>
      <c r="Z27" s="204" t="e">
        <f>PO_TOT[[#This Row],[Dimes]]/PO_TOT[[#This Row],[Turnovers]]</f>
        <v>#DIV/0!</v>
      </c>
    </row>
    <row r="28" spans="1:26" hidden="1" x14ac:dyDescent="0.2">
      <c r="A28" s="14" t="s">
        <v>51</v>
      </c>
      <c r="B28" t="s">
        <v>102</v>
      </c>
      <c r="C28" t="s">
        <v>132</v>
      </c>
      <c r="D28" s="86"/>
      <c r="E28" s="74">
        <f>SUMIF(Playoff_Games_Full!$A:$A,$B:$B,Playoff_Games_Full!B:B)</f>
        <v>0</v>
      </c>
      <c r="F28" s="74">
        <f>SUMIF(Playoff_Games_Full!$A:$A,$B:$B,Playoff_Games_Full!C:C)</f>
        <v>0</v>
      </c>
      <c r="G28" s="203" t="e">
        <f>PO_TOT[[#This Row],[Total FGM]]/PO_TOT[[#This Row],[Total FGA]]</f>
        <v>#DIV/0!</v>
      </c>
      <c r="H28" s="98">
        <f>SUMIF(Playoff_Games_Full!$A:$A,$B:$B,Playoff_Games_Full!E:E)</f>
        <v>0</v>
      </c>
      <c r="I28" s="19">
        <f>SUMIF(Playoff_Games_Full!$A:$A,$B:$B,Playoff_Games_Full!F:F)</f>
        <v>0</v>
      </c>
      <c r="J28" s="91" t="e">
        <f>PO_TOT[[#This Row],[2PT FGM]]/PO_TOT[[#This Row],[2PT FGA]]</f>
        <v>#DIV/0!</v>
      </c>
      <c r="K28" s="19">
        <f>SUMIF(Playoff_Games_Full!$A:$A,$B:$B,Playoff_Games_Full!H:H)</f>
        <v>0</v>
      </c>
      <c r="L28" s="19">
        <f>SUMIF(Playoff_Games_Full!$A:$A,$B:$B,Playoff_Games_Full!I:I)</f>
        <v>0</v>
      </c>
      <c r="M28" s="91" t="e">
        <f>PO_TOT[[#This Row],[3PT FGM]]/PO_TOT[[#This Row],[3PT FGA]]</f>
        <v>#DIV/0!</v>
      </c>
      <c r="N28" s="19">
        <f>SUMIF(Playoff_Games_Full!$A:$A,$B:$B,Playoff_Games_Full!K:K)</f>
        <v>0</v>
      </c>
      <c r="O28" s="19">
        <f>SUMIF(Playoff_Games_Full!$A:$A,$B:$B,Playoff_Games_Full!L:L)</f>
        <v>0</v>
      </c>
      <c r="P28" s="99" t="e">
        <f>PO_TOT[[#This Row],[FTM]]/PO_TOT[[#This Row],[FTA]]</f>
        <v>#DIV/0!</v>
      </c>
      <c r="Q28" s="74">
        <f>SUMIF(Playoff_Games_Full!$A:$A,$B:$B,Playoff_Games_Full!N:N)</f>
        <v>0</v>
      </c>
      <c r="R28" s="74">
        <f>SUMIF(Playoff_Games_Full!$A:$A,$B:$B,Playoff_Games_Full!O:O)</f>
        <v>0</v>
      </c>
      <c r="S28" s="74">
        <f>SUMIF(Playoff_Games_Full!$A:$A,$B:$B,Playoff_Games_Full!P:P)</f>
        <v>0</v>
      </c>
      <c r="T28" s="74">
        <f>SUMIF(Playoff_Games_Full!$A:$A,$B:$B,Playoff_Games_Full!Q:Q)</f>
        <v>0</v>
      </c>
      <c r="U28" s="74">
        <f>SUMIF(Playoff_Games_Full!$A:$A,$B:$B,Playoff_Games_Full!R:R)</f>
        <v>0</v>
      </c>
      <c r="V28" s="74">
        <f>SUMIF(Playoff_Games_Full!$A:$A,$B:$B,Playoff_Games_Full!S:S)</f>
        <v>0</v>
      </c>
      <c r="W28" s="74">
        <f>SUMIF(Playoff_Games_Full!$A:$A,$B:$B,Playoff_Games_Full!T:T)</f>
        <v>0</v>
      </c>
      <c r="X28" s="74">
        <f>SUMIF(Playoff_Games_Full!$A:$A,$B:$B,Playoff_Games_Full!U:U)</f>
        <v>0</v>
      </c>
      <c r="Y28" s="74">
        <f>SUMIF(Playoff_Games_Full!$A:$A,$B:$B,Playoff_Games_Full!V:V)</f>
        <v>0</v>
      </c>
      <c r="Z28" s="204" t="e">
        <f>PO_TOT[[#This Row],[Dimes]]/PO_TOT[[#This Row],[Turnovers]]</f>
        <v>#DIV/0!</v>
      </c>
    </row>
    <row r="29" spans="1:26" hidden="1" x14ac:dyDescent="0.2">
      <c r="A29" s="14" t="s">
        <v>43</v>
      </c>
      <c r="B29" t="s">
        <v>104</v>
      </c>
      <c r="C29" t="s">
        <v>132</v>
      </c>
      <c r="D29" s="86"/>
      <c r="E29" s="74">
        <f>SUMIF(Playoff_Games_Full!$A:$A,$B:$B,Playoff_Games_Full!B:B)</f>
        <v>0</v>
      </c>
      <c r="F29" s="74">
        <f>SUMIF(Playoff_Games_Full!$A:$A,$B:$B,Playoff_Games_Full!C:C)</f>
        <v>0</v>
      </c>
      <c r="G29" s="203" t="e">
        <f>PO_TOT[[#This Row],[Total FGM]]/PO_TOT[[#This Row],[Total FGA]]</f>
        <v>#DIV/0!</v>
      </c>
      <c r="H29" s="98">
        <f>SUMIF(Playoff_Games_Full!$A:$A,$B:$B,Playoff_Games_Full!E:E)</f>
        <v>0</v>
      </c>
      <c r="I29" s="19">
        <f>SUMIF(Playoff_Games_Full!$A:$A,$B:$B,Playoff_Games_Full!F:F)</f>
        <v>0</v>
      </c>
      <c r="J29" s="91" t="e">
        <f>PO_TOT[[#This Row],[2PT FGM]]/PO_TOT[[#This Row],[2PT FGA]]</f>
        <v>#DIV/0!</v>
      </c>
      <c r="K29" s="19">
        <f>SUMIF(Playoff_Games_Full!$A:$A,$B:$B,Playoff_Games_Full!H:H)</f>
        <v>0</v>
      </c>
      <c r="L29" s="19">
        <f>SUMIF(Playoff_Games_Full!$A:$A,$B:$B,Playoff_Games_Full!I:I)</f>
        <v>0</v>
      </c>
      <c r="M29" s="91" t="e">
        <f>PO_TOT[[#This Row],[3PT FGM]]/PO_TOT[[#This Row],[3PT FGA]]</f>
        <v>#DIV/0!</v>
      </c>
      <c r="N29" s="19">
        <f>SUMIF(Playoff_Games_Full!$A:$A,$B:$B,Playoff_Games_Full!K:K)</f>
        <v>0</v>
      </c>
      <c r="O29" s="19">
        <f>SUMIF(Playoff_Games_Full!$A:$A,$B:$B,Playoff_Games_Full!L:L)</f>
        <v>0</v>
      </c>
      <c r="P29" s="99" t="e">
        <f>PO_TOT[[#This Row],[FTM]]/PO_TOT[[#This Row],[FTA]]</f>
        <v>#DIV/0!</v>
      </c>
      <c r="Q29" s="74">
        <f>SUMIF(Playoff_Games_Full!$A:$A,$B:$B,Playoff_Games_Full!N:N)</f>
        <v>0</v>
      </c>
      <c r="R29" s="74">
        <f>SUMIF(Playoff_Games_Full!$A:$A,$B:$B,Playoff_Games_Full!O:O)</f>
        <v>0</v>
      </c>
      <c r="S29" s="74">
        <f>SUMIF(Playoff_Games_Full!$A:$A,$B:$B,Playoff_Games_Full!P:P)</f>
        <v>0</v>
      </c>
      <c r="T29" s="74">
        <f>SUMIF(Playoff_Games_Full!$A:$A,$B:$B,Playoff_Games_Full!Q:Q)</f>
        <v>0</v>
      </c>
      <c r="U29" s="74">
        <f>SUMIF(Playoff_Games_Full!$A:$A,$B:$B,Playoff_Games_Full!R:R)</f>
        <v>0</v>
      </c>
      <c r="V29" s="74">
        <f>SUMIF(Playoff_Games_Full!$A:$A,$B:$B,Playoff_Games_Full!S:S)</f>
        <v>0</v>
      </c>
      <c r="W29" s="74">
        <f>SUMIF(Playoff_Games_Full!$A:$A,$B:$B,Playoff_Games_Full!T:T)</f>
        <v>0</v>
      </c>
      <c r="X29" s="74">
        <f>SUMIF(Playoff_Games_Full!$A:$A,$B:$B,Playoff_Games_Full!U:U)</f>
        <v>0</v>
      </c>
      <c r="Y29" s="74">
        <f>SUMIF(Playoff_Games_Full!$A:$A,$B:$B,Playoff_Games_Full!V:V)</f>
        <v>0</v>
      </c>
      <c r="Z29" s="204" t="e">
        <f>PO_TOT[[#This Row],[Dimes]]/PO_TOT[[#This Row],[Turnovers]]</f>
        <v>#DIV/0!</v>
      </c>
    </row>
    <row r="30" spans="1:26" hidden="1" x14ac:dyDescent="0.2">
      <c r="A30" s="14" t="s">
        <v>45</v>
      </c>
      <c r="B30" t="s">
        <v>90</v>
      </c>
      <c r="C30" t="s">
        <v>132</v>
      </c>
      <c r="D30" s="86"/>
      <c r="E30" s="74">
        <f>SUMIF(Playoff_Games_Full!$A:$A,$B:$B,Playoff_Games_Full!B:B)</f>
        <v>0</v>
      </c>
      <c r="F30" s="74">
        <f>SUMIF(Playoff_Games_Full!$A:$A,$B:$B,Playoff_Games_Full!C:C)</f>
        <v>0</v>
      </c>
      <c r="G30" s="203" t="e">
        <f>PO_TOT[[#This Row],[Total FGM]]/PO_TOT[[#This Row],[Total FGA]]</f>
        <v>#DIV/0!</v>
      </c>
      <c r="H30" s="98">
        <f>SUMIF(Playoff_Games_Full!$A:$A,$B:$B,Playoff_Games_Full!E:E)</f>
        <v>0</v>
      </c>
      <c r="I30" s="19">
        <f>SUMIF(Playoff_Games_Full!$A:$A,$B:$B,Playoff_Games_Full!F:F)</f>
        <v>0</v>
      </c>
      <c r="J30" s="91" t="e">
        <f>PO_TOT[[#This Row],[2PT FGM]]/PO_TOT[[#This Row],[2PT FGA]]</f>
        <v>#DIV/0!</v>
      </c>
      <c r="K30" s="19">
        <f>SUMIF(Playoff_Games_Full!$A:$A,$B:$B,Playoff_Games_Full!H:H)</f>
        <v>0</v>
      </c>
      <c r="L30" s="19">
        <f>SUMIF(Playoff_Games_Full!$A:$A,$B:$B,Playoff_Games_Full!I:I)</f>
        <v>0</v>
      </c>
      <c r="M30" s="91" t="e">
        <f>PO_TOT[[#This Row],[3PT FGM]]/PO_TOT[[#This Row],[3PT FGA]]</f>
        <v>#DIV/0!</v>
      </c>
      <c r="N30" s="19">
        <f>SUMIF(Playoff_Games_Full!$A:$A,$B:$B,Playoff_Games_Full!K:K)</f>
        <v>0</v>
      </c>
      <c r="O30" s="19">
        <f>SUMIF(Playoff_Games_Full!$A:$A,$B:$B,Playoff_Games_Full!L:L)</f>
        <v>0</v>
      </c>
      <c r="P30" s="99" t="e">
        <f>PO_TOT[[#This Row],[FTM]]/PO_TOT[[#This Row],[FTA]]</f>
        <v>#DIV/0!</v>
      </c>
      <c r="Q30" s="74">
        <f>SUMIF(Playoff_Games_Full!$A:$A,$B:$B,Playoff_Games_Full!N:N)</f>
        <v>0</v>
      </c>
      <c r="R30" s="74">
        <f>SUMIF(Playoff_Games_Full!$A:$A,$B:$B,Playoff_Games_Full!O:O)</f>
        <v>0</v>
      </c>
      <c r="S30" s="74">
        <f>SUMIF(Playoff_Games_Full!$A:$A,$B:$B,Playoff_Games_Full!P:P)</f>
        <v>0</v>
      </c>
      <c r="T30" s="74">
        <f>SUMIF(Playoff_Games_Full!$A:$A,$B:$B,Playoff_Games_Full!Q:Q)</f>
        <v>0</v>
      </c>
      <c r="U30" s="74">
        <f>SUMIF(Playoff_Games_Full!$A:$A,$B:$B,Playoff_Games_Full!R:R)</f>
        <v>0</v>
      </c>
      <c r="V30" s="74">
        <f>SUMIF(Playoff_Games_Full!$A:$A,$B:$B,Playoff_Games_Full!S:S)</f>
        <v>0</v>
      </c>
      <c r="W30" s="74">
        <f>SUMIF(Playoff_Games_Full!$A:$A,$B:$B,Playoff_Games_Full!T:T)</f>
        <v>0</v>
      </c>
      <c r="X30" s="74">
        <f>SUMIF(Playoff_Games_Full!$A:$A,$B:$B,Playoff_Games_Full!U:U)</f>
        <v>0</v>
      </c>
      <c r="Y30" s="74">
        <f>SUMIF(Playoff_Games_Full!$A:$A,$B:$B,Playoff_Games_Full!V:V)</f>
        <v>0</v>
      </c>
      <c r="Z30" s="204" t="e">
        <f>PO_TOT[[#This Row],[Dimes]]/PO_TOT[[#This Row],[Turnovers]]</f>
        <v>#DIV/0!</v>
      </c>
    </row>
    <row r="31" spans="1:26" x14ac:dyDescent="0.2">
      <c r="A31" s="16" t="s">
        <v>37</v>
      </c>
      <c r="B31" t="s">
        <v>100</v>
      </c>
      <c r="C31" t="s">
        <v>209</v>
      </c>
      <c r="D31" s="86">
        <v>5</v>
      </c>
      <c r="E31" s="263">
        <f>SUMIF(Playoff_Games_Full!$A:$A,$B:$B,Playoff_Games_Full!B:B)</f>
        <v>27</v>
      </c>
      <c r="F31" s="263">
        <f>SUMIF(Playoff_Games_Full!$A:$A,$B:$B,Playoff_Games_Full!C:C)</f>
        <v>61</v>
      </c>
      <c r="G31" s="203">
        <f>PO_TOT[[#This Row],[Total FGM]]/PO_TOT[[#This Row],[Total FGA]]</f>
        <v>0.44262295081967212</v>
      </c>
      <c r="H31" s="98">
        <f>SUMIF(Playoff_Games_Full!$A:$A,$B:$B,Playoff_Games_Full!E:E)</f>
        <v>11</v>
      </c>
      <c r="I31" s="19">
        <f>SUMIF(Playoff_Games_Full!$A:$A,$B:$B,Playoff_Games_Full!F:F)</f>
        <v>18</v>
      </c>
      <c r="J31" s="91">
        <f>PO_TOT[[#This Row],[2PT FGM]]/PO_TOT[[#This Row],[2PT FGA]]</f>
        <v>0.61111111111111116</v>
      </c>
      <c r="K31" s="246">
        <f>SUMIF(Playoff_Games_Full!$A:$A,$B:$B,Playoff_Games_Full!H:H)</f>
        <v>16</v>
      </c>
      <c r="L31" s="246">
        <f>SUMIF(Playoff_Games_Full!$A:$A,$B:$B,Playoff_Games_Full!I:I)</f>
        <v>43</v>
      </c>
      <c r="M31" s="91">
        <f>PO_TOT[[#This Row],[3PT FGM]]/PO_TOT[[#This Row],[3PT FGA]]</f>
        <v>0.37209302325581395</v>
      </c>
      <c r="N31" s="19">
        <f>SUMIF(Playoff_Games_Full!$A:$A,$B:$B,Playoff_Games_Full!K:K)</f>
        <v>0</v>
      </c>
      <c r="O31" s="19">
        <f>SUMIF(Playoff_Games_Full!$A:$A,$B:$B,Playoff_Games_Full!L:L)</f>
        <v>0</v>
      </c>
      <c r="P31" s="99" t="e">
        <f>PO_TOT[[#This Row],[FTM]]/PO_TOT[[#This Row],[FTA]]</f>
        <v>#DIV/0!</v>
      </c>
      <c r="Q31" s="263">
        <f>SUMIF(Playoff_Games_Full!$A:$A,$B:$B,Playoff_Games_Full!N:N)</f>
        <v>70</v>
      </c>
      <c r="R31" s="74">
        <f>SUMIF(Playoff_Games_Full!$A:$A,$B:$B,Playoff_Games_Full!O:O)</f>
        <v>0</v>
      </c>
      <c r="S31" s="74">
        <f>SUMIF(Playoff_Games_Full!$A:$A,$B:$B,Playoff_Games_Full!P:P)</f>
        <v>12</v>
      </c>
      <c r="T31" s="74">
        <f>SUMIF(Playoff_Games_Full!$A:$A,$B:$B,Playoff_Games_Full!Q:Q)</f>
        <v>1</v>
      </c>
      <c r="U31" s="74">
        <f>SUMIF(Playoff_Games_Full!$A:$A,$B:$B,Playoff_Games_Full!R:R)</f>
        <v>13</v>
      </c>
      <c r="V31" s="74">
        <f>SUMIF(Playoff_Games_Full!$A:$A,$B:$B,Playoff_Games_Full!S:S)</f>
        <v>14</v>
      </c>
      <c r="W31" s="74">
        <f>SUMIF(Playoff_Games_Full!$A:$A,$B:$B,Playoff_Games_Full!T:T)</f>
        <v>4</v>
      </c>
      <c r="X31" s="263">
        <f>SUMIF(Playoff_Games_Full!$A:$A,$B:$B,Playoff_Games_Full!U:U)</f>
        <v>4</v>
      </c>
      <c r="Y31" s="74">
        <f>SUMIF(Playoff_Games_Full!$A:$A,$B:$B,Playoff_Games_Full!V:V)</f>
        <v>6</v>
      </c>
      <c r="Z31" s="204">
        <f>PO_TOT[[#This Row],[Dimes]]/PO_TOT[[#This Row],[Turnovers]]</f>
        <v>2.3333333333333335</v>
      </c>
    </row>
    <row r="32" spans="1:26" x14ac:dyDescent="0.2">
      <c r="A32" s="14" t="s">
        <v>30</v>
      </c>
      <c r="B32" t="s">
        <v>96</v>
      </c>
      <c r="C32" t="s">
        <v>208</v>
      </c>
      <c r="D32" s="86">
        <v>5</v>
      </c>
      <c r="E32" s="74">
        <f>SUMIF(Playoff_Games_Full!$A:$A,$B:$B,Playoff_Games_Full!B:B)</f>
        <v>18</v>
      </c>
      <c r="F32" s="74">
        <f>SUMIF(Playoff_Games_Full!$A:$A,$B:$B,Playoff_Games_Full!C:C)</f>
        <v>49</v>
      </c>
      <c r="G32" s="203">
        <f>PO_TOT[[#This Row],[Total FGM]]/PO_TOT[[#This Row],[Total FGA]]</f>
        <v>0.36734693877551022</v>
      </c>
      <c r="H32" s="98">
        <f>SUMIF(Playoff_Games_Full!$A:$A,$B:$B,Playoff_Games_Full!E:E)</f>
        <v>7</v>
      </c>
      <c r="I32" s="19">
        <f>SUMIF(Playoff_Games_Full!$A:$A,$B:$B,Playoff_Games_Full!F:F)</f>
        <v>15</v>
      </c>
      <c r="J32" s="91">
        <f>PO_TOT[[#This Row],[2PT FGM]]/PO_TOT[[#This Row],[2PT FGA]]</f>
        <v>0.46666666666666667</v>
      </c>
      <c r="K32" s="19">
        <f>SUMIF(Playoff_Games_Full!$A:$A,$B:$B,Playoff_Games_Full!H:H)</f>
        <v>11</v>
      </c>
      <c r="L32" s="19">
        <f>SUMIF(Playoff_Games_Full!$A:$A,$B:$B,Playoff_Games_Full!I:I)</f>
        <v>34</v>
      </c>
      <c r="M32" s="91">
        <f>PO_TOT[[#This Row],[3PT FGM]]/PO_TOT[[#This Row],[3PT FGA]]</f>
        <v>0.3235294117647059</v>
      </c>
      <c r="N32" s="246">
        <f>SUMIF(Playoff_Games_Full!$A:$A,$B:$B,Playoff_Games_Full!K:K)</f>
        <v>2</v>
      </c>
      <c r="O32" s="246">
        <f>SUMIF(Playoff_Games_Full!$A:$A,$B:$B,Playoff_Games_Full!L:L)</f>
        <v>2</v>
      </c>
      <c r="P32" s="251">
        <f>PO_TOT[[#This Row],[FTM]]/PO_TOT[[#This Row],[FTA]]</f>
        <v>1</v>
      </c>
      <c r="Q32" s="74">
        <f>SUMIF(Playoff_Games_Full!$A:$A,$B:$B,Playoff_Games_Full!N:N)</f>
        <v>49</v>
      </c>
      <c r="R32" s="74">
        <f>SUMIF(Playoff_Games_Full!$A:$A,$B:$B,Playoff_Games_Full!O:O)</f>
        <v>2</v>
      </c>
      <c r="S32" s="74">
        <f>SUMIF(Playoff_Games_Full!$A:$A,$B:$B,Playoff_Games_Full!P:P)</f>
        <v>18</v>
      </c>
      <c r="T32" s="74">
        <f>SUMIF(Playoff_Games_Full!$A:$A,$B:$B,Playoff_Games_Full!Q:Q)</f>
        <v>7</v>
      </c>
      <c r="U32" s="74">
        <f>SUMIF(Playoff_Games_Full!$A:$A,$B:$B,Playoff_Games_Full!R:R)</f>
        <v>25</v>
      </c>
      <c r="V32" s="74">
        <f>SUMIF(Playoff_Games_Full!$A:$A,$B:$B,Playoff_Games_Full!S:S)</f>
        <v>11</v>
      </c>
      <c r="W32" s="74">
        <f>SUMIF(Playoff_Games_Full!$A:$A,$B:$B,Playoff_Games_Full!T:T)</f>
        <v>6</v>
      </c>
      <c r="X32" s="74">
        <f>SUMIF(Playoff_Games_Full!$A:$A,$B:$B,Playoff_Games_Full!U:U)</f>
        <v>2</v>
      </c>
      <c r="Y32" s="74">
        <f>SUMIF(Playoff_Games_Full!$A:$A,$B:$B,Playoff_Games_Full!V:V)</f>
        <v>8</v>
      </c>
      <c r="Z32" s="204">
        <f>PO_TOT[[#This Row],[Dimes]]/PO_TOT[[#This Row],[Turnovers]]</f>
        <v>1.375</v>
      </c>
    </row>
    <row r="33" spans="1:26" x14ac:dyDescent="0.2">
      <c r="A33" s="14" t="s">
        <v>32</v>
      </c>
      <c r="B33" t="s">
        <v>103</v>
      </c>
      <c r="C33" t="s">
        <v>209</v>
      </c>
      <c r="D33" s="86">
        <v>5</v>
      </c>
      <c r="E33" s="74">
        <f>SUMIF(Playoff_Games_Full!$A:$A,$B:$B,Playoff_Games_Full!B:B)</f>
        <v>10</v>
      </c>
      <c r="F33" s="74">
        <f>SUMIF(Playoff_Games_Full!$A:$A,$B:$B,Playoff_Games_Full!C:C)</f>
        <v>40</v>
      </c>
      <c r="G33" s="203">
        <f>PO_TOT[[#This Row],[Total FGM]]/PO_TOT[[#This Row],[Total FGA]]</f>
        <v>0.25</v>
      </c>
      <c r="H33" s="98">
        <f>SUMIF(Playoff_Games_Full!$A:$A,$B:$B,Playoff_Games_Full!E:E)</f>
        <v>6</v>
      </c>
      <c r="I33" s="19">
        <f>SUMIF(Playoff_Games_Full!$A:$A,$B:$B,Playoff_Games_Full!F:F)</f>
        <v>15</v>
      </c>
      <c r="J33" s="91">
        <f>PO_TOT[[#This Row],[2PT FGM]]/PO_TOT[[#This Row],[2PT FGA]]</f>
        <v>0.4</v>
      </c>
      <c r="K33" s="19">
        <f>SUMIF(Playoff_Games_Full!$A:$A,$B:$B,Playoff_Games_Full!H:H)</f>
        <v>4</v>
      </c>
      <c r="L33" s="19">
        <f>SUMIF(Playoff_Games_Full!$A:$A,$B:$B,Playoff_Games_Full!I:I)</f>
        <v>25</v>
      </c>
      <c r="M33" s="91">
        <f>PO_TOT[[#This Row],[3PT FGM]]/PO_TOT[[#This Row],[3PT FGA]]</f>
        <v>0.16</v>
      </c>
      <c r="N33" s="19">
        <f>SUMIF(Playoff_Games_Full!$A:$A,$B:$B,Playoff_Games_Full!K:K)</f>
        <v>0</v>
      </c>
      <c r="O33" s="19">
        <f>SUMIF(Playoff_Games_Full!$A:$A,$B:$B,Playoff_Games_Full!L:L)</f>
        <v>0</v>
      </c>
      <c r="P33" s="99" t="e">
        <f>PO_TOT[[#This Row],[FTM]]/PO_TOT[[#This Row],[FTA]]</f>
        <v>#DIV/0!</v>
      </c>
      <c r="Q33" s="74">
        <f>SUMIF(Playoff_Games_Full!$A:$A,$B:$B,Playoff_Games_Full!N:N)</f>
        <v>24</v>
      </c>
      <c r="R33" s="74">
        <f>SUMIF(Playoff_Games_Full!$A:$A,$B:$B,Playoff_Games_Full!O:O)</f>
        <v>1</v>
      </c>
      <c r="S33" s="74">
        <f>SUMIF(Playoff_Games_Full!$A:$A,$B:$B,Playoff_Games_Full!P:P)</f>
        <v>21</v>
      </c>
      <c r="T33" s="74">
        <f>SUMIF(Playoff_Games_Full!$A:$A,$B:$B,Playoff_Games_Full!Q:Q)</f>
        <v>4</v>
      </c>
      <c r="U33" s="74">
        <f>SUMIF(Playoff_Games_Full!$A:$A,$B:$B,Playoff_Games_Full!R:R)</f>
        <v>25</v>
      </c>
      <c r="V33" s="263">
        <f>SUMIF(Playoff_Games_Full!$A:$A,$B:$B,Playoff_Games_Full!S:S)</f>
        <v>23</v>
      </c>
      <c r="W33" s="74">
        <f>SUMIF(Playoff_Games_Full!$A:$A,$B:$B,Playoff_Games_Full!T:T)</f>
        <v>6</v>
      </c>
      <c r="X33" s="74">
        <f>SUMIF(Playoff_Games_Full!$A:$A,$B:$B,Playoff_Games_Full!U:U)</f>
        <v>2</v>
      </c>
      <c r="Y33" s="74">
        <f>SUMIF(Playoff_Games_Full!$A:$A,$B:$B,Playoff_Games_Full!V:V)</f>
        <v>12</v>
      </c>
      <c r="Z33" s="204">
        <f>PO_TOT[[#This Row],[Dimes]]/PO_TOT[[#This Row],[Turnovers]]</f>
        <v>1.9166666666666667</v>
      </c>
    </row>
    <row r="34" spans="1:26" x14ac:dyDescent="0.2">
      <c r="A34" s="14" t="s">
        <v>36</v>
      </c>
      <c r="B34" t="s">
        <v>88</v>
      </c>
      <c r="C34" t="s">
        <v>208</v>
      </c>
      <c r="D34" s="86">
        <v>5</v>
      </c>
      <c r="E34" s="74">
        <f>SUMIF(Playoff_Games_Full!$A:$A,$B:$B,Playoff_Games_Full!B:B)</f>
        <v>13</v>
      </c>
      <c r="F34" s="74">
        <f>SUMIF(Playoff_Games_Full!$A:$A,$B:$B,Playoff_Games_Full!C:C)</f>
        <v>52</v>
      </c>
      <c r="G34" s="203">
        <f>PO_TOT[[#This Row],[Total FGM]]/PO_TOT[[#This Row],[Total FGA]]</f>
        <v>0.25</v>
      </c>
      <c r="H34" s="98">
        <f>SUMIF(Playoff_Games_Full!$A:$A,$B:$B,Playoff_Games_Full!E:E)</f>
        <v>11</v>
      </c>
      <c r="I34" s="246">
        <f>SUMIF(Playoff_Games_Full!$A:$A,$B:$B,Playoff_Games_Full!F:F)</f>
        <v>30</v>
      </c>
      <c r="J34" s="91">
        <f>PO_TOT[[#This Row],[2PT FGM]]/PO_TOT[[#This Row],[2PT FGA]]</f>
        <v>0.36666666666666664</v>
      </c>
      <c r="K34" s="19">
        <f>SUMIF(Playoff_Games_Full!$A:$A,$B:$B,Playoff_Games_Full!H:H)</f>
        <v>2</v>
      </c>
      <c r="L34" s="19">
        <f>SUMIF(Playoff_Games_Full!$A:$A,$B:$B,Playoff_Games_Full!I:I)</f>
        <v>22</v>
      </c>
      <c r="M34" s="91">
        <f>PO_TOT[[#This Row],[3PT FGM]]/PO_TOT[[#This Row],[3PT FGA]]</f>
        <v>9.0909090909090912E-2</v>
      </c>
      <c r="N34" s="19">
        <f>SUMIF(Playoff_Games_Full!$A:$A,$B:$B,Playoff_Games_Full!K:K)</f>
        <v>0</v>
      </c>
      <c r="O34" s="19">
        <f>SUMIF(Playoff_Games_Full!$A:$A,$B:$B,Playoff_Games_Full!L:L)</f>
        <v>0</v>
      </c>
      <c r="P34" s="99" t="e">
        <f>PO_TOT[[#This Row],[FTM]]/PO_TOT[[#This Row],[FTA]]</f>
        <v>#DIV/0!</v>
      </c>
      <c r="Q34" s="74">
        <f>SUMIF(Playoff_Games_Full!$A:$A,$B:$B,Playoff_Games_Full!N:N)</f>
        <v>28</v>
      </c>
      <c r="R34" s="74">
        <f>SUMIF(Playoff_Games_Full!$A:$A,$B:$B,Playoff_Games_Full!O:O)</f>
        <v>0</v>
      </c>
      <c r="S34" s="74">
        <f>SUMIF(Playoff_Games_Full!$A:$A,$B:$B,Playoff_Games_Full!P:P)</f>
        <v>17</v>
      </c>
      <c r="T34" s="74">
        <f>SUMIF(Playoff_Games_Full!$A:$A,$B:$B,Playoff_Games_Full!Q:Q)</f>
        <v>9</v>
      </c>
      <c r="U34" s="74">
        <f>SUMIF(Playoff_Games_Full!$A:$A,$B:$B,Playoff_Games_Full!R:R)</f>
        <v>26</v>
      </c>
      <c r="V34" s="74">
        <f>SUMIF(Playoff_Games_Full!$A:$A,$B:$B,Playoff_Games_Full!S:S)</f>
        <v>21</v>
      </c>
      <c r="W34" s="263">
        <f>SUMIF(Playoff_Games_Full!$A:$A,$B:$B,Playoff_Games_Full!T:T)</f>
        <v>10</v>
      </c>
      <c r="X34" s="74">
        <f>SUMIF(Playoff_Games_Full!$A:$A,$B:$B,Playoff_Games_Full!U:U)</f>
        <v>2</v>
      </c>
      <c r="Y34" s="273">
        <f>SUMIF(Playoff_Games_Full!$A:$A,$B:$B,Playoff_Games_Full!V:V)</f>
        <v>14</v>
      </c>
      <c r="Z34" s="204">
        <f>PO_TOT[[#This Row],[Dimes]]/PO_TOT[[#This Row],[Turnovers]]</f>
        <v>1.5</v>
      </c>
    </row>
    <row r="35" spans="1:26" ht="16" thickBot="1" x14ac:dyDescent="0.25">
      <c r="A35" s="14" t="s">
        <v>35</v>
      </c>
      <c r="B35" t="s">
        <v>265</v>
      </c>
      <c r="C35" t="s">
        <v>208</v>
      </c>
      <c r="D35" s="86">
        <v>4</v>
      </c>
      <c r="E35" s="74">
        <f>SUMIF(Playoff_Games_Full!$A:$A,$B:$B,Playoff_Games_Full!B:B)</f>
        <v>3</v>
      </c>
      <c r="F35" s="74">
        <f>SUMIF(Playoff_Games_Full!$A:$A,$B:$B,Playoff_Games_Full!C:C)</f>
        <v>21</v>
      </c>
      <c r="G35" s="203">
        <f>PO_TOT[[#This Row],[Total FGM]]/PO_TOT[[#This Row],[Total FGA]]</f>
        <v>0.14285714285714285</v>
      </c>
      <c r="H35" s="211">
        <f>SUMIF(Playoff_Games_Full!$A:$A,$B:$B,Playoff_Games_Full!E:E)</f>
        <v>3</v>
      </c>
      <c r="I35" s="212">
        <f>SUMIF(Playoff_Games_Full!$A:$A,$B:$B,Playoff_Games_Full!F:F)</f>
        <v>13</v>
      </c>
      <c r="J35" s="213">
        <f>PO_TOT[[#This Row],[2PT FGM]]/PO_TOT[[#This Row],[2PT FGA]]</f>
        <v>0.23076923076923078</v>
      </c>
      <c r="K35" s="212">
        <f>SUMIF(Playoff_Games_Full!$A:$A,$B:$B,Playoff_Games_Full!H:H)</f>
        <v>0</v>
      </c>
      <c r="L35" s="212">
        <f>SUMIF(Playoff_Games_Full!$A:$A,$B:$B,Playoff_Games_Full!I:I)</f>
        <v>8</v>
      </c>
      <c r="M35" s="213">
        <f>PO_TOT[[#This Row],[3PT FGM]]/PO_TOT[[#This Row],[3PT FGA]]</f>
        <v>0</v>
      </c>
      <c r="N35" s="212">
        <f>SUMIF(Playoff_Games_Full!$A:$A,$B:$B,Playoff_Games_Full!K:K)</f>
        <v>0</v>
      </c>
      <c r="O35" s="212">
        <f>SUMIF(Playoff_Games_Full!$A:$A,$B:$B,Playoff_Games_Full!L:L)</f>
        <v>0</v>
      </c>
      <c r="P35" s="214" t="e">
        <f>PO_TOT[[#This Row],[FTM]]/PO_TOT[[#This Row],[FTA]]</f>
        <v>#DIV/0!</v>
      </c>
      <c r="Q35" s="74">
        <f>SUMIF(Playoff_Games_Full!$A:$A,$B:$B,Playoff_Games_Full!N:N)</f>
        <v>6</v>
      </c>
      <c r="R35" s="74">
        <f>SUMIF(Playoff_Games_Full!$A:$A,$B:$B,Playoff_Games_Full!O:O)</f>
        <v>0</v>
      </c>
      <c r="S35" s="74">
        <f>SUMIF(Playoff_Games_Full!$A:$A,$B:$B,Playoff_Games_Full!P:P)</f>
        <v>8</v>
      </c>
      <c r="T35" s="74">
        <f>SUMIF(Playoff_Games_Full!$A:$A,$B:$B,Playoff_Games_Full!Q:Q)</f>
        <v>3</v>
      </c>
      <c r="U35" s="74">
        <f>SUMIF(Playoff_Games_Full!$A:$A,$B:$B,Playoff_Games_Full!R:R)</f>
        <v>11</v>
      </c>
      <c r="V35" s="74">
        <f>SUMIF(Playoff_Games_Full!$A:$A,$B:$B,Playoff_Games_Full!S:S)</f>
        <v>4</v>
      </c>
      <c r="W35" s="74">
        <f>SUMIF(Playoff_Games_Full!$A:$A,$B:$B,Playoff_Games_Full!T:T)</f>
        <v>1</v>
      </c>
      <c r="X35" s="74">
        <f>SUMIF(Playoff_Games_Full!$A:$A,$B:$B,Playoff_Games_Full!U:U)</f>
        <v>0</v>
      </c>
      <c r="Y35" s="74">
        <f>SUMIF(Playoff_Games_Full!$A:$A,$B:$B,Playoff_Games_Full!V:V)</f>
        <v>4</v>
      </c>
      <c r="Z35" s="204">
        <f>PO_TOT[[#This Row],[Dimes]]/PO_TOT[[#This Row],[Turnovers]]</f>
        <v>1</v>
      </c>
    </row>
    <row r="37" spans="1:26" ht="16" thickBot="1" x14ac:dyDescent="0.25">
      <c r="A37" s="117" t="s">
        <v>139</v>
      </c>
      <c r="B37" s="117"/>
      <c r="C37" s="117"/>
      <c r="D37" s="117"/>
      <c r="E37" s="117"/>
      <c r="F37" s="120"/>
      <c r="G37" s="117"/>
      <c r="H37" s="117"/>
      <c r="I37" s="120"/>
      <c r="J37" s="117"/>
      <c r="K37" s="117"/>
      <c r="L37" s="120"/>
      <c r="M37" s="117"/>
      <c r="N37" s="117"/>
      <c r="O37" s="120"/>
      <c r="P37" s="117"/>
      <c r="Q37" s="117"/>
      <c r="R37" s="117"/>
      <c r="S37" s="117"/>
      <c r="T37" s="117"/>
      <c r="U37" s="117"/>
      <c r="V37" s="117"/>
      <c r="W37" s="117"/>
      <c r="X37" s="117"/>
      <c r="Y37" s="120"/>
      <c r="Z37" s="117"/>
    </row>
    <row r="38" spans="1:26" ht="32" x14ac:dyDescent="0.2">
      <c r="A38" s="55" t="s">
        <v>25</v>
      </c>
      <c r="B38" s="55" t="s">
        <v>22</v>
      </c>
      <c r="C38" s="55" t="s">
        <v>23</v>
      </c>
      <c r="D38" s="55" t="s">
        <v>138</v>
      </c>
      <c r="E38" s="54" t="s">
        <v>0</v>
      </c>
      <c r="F38" s="54" t="s">
        <v>1</v>
      </c>
      <c r="G38" s="88" t="s">
        <v>2</v>
      </c>
      <c r="H38" s="110" t="s">
        <v>3</v>
      </c>
      <c r="I38" s="111" t="s">
        <v>4</v>
      </c>
      <c r="J38" s="112" t="s">
        <v>5</v>
      </c>
      <c r="K38" s="111" t="s">
        <v>6</v>
      </c>
      <c r="L38" s="111" t="s">
        <v>7</v>
      </c>
      <c r="M38" s="112" t="s">
        <v>8</v>
      </c>
      <c r="N38" s="111" t="s">
        <v>9</v>
      </c>
      <c r="O38" s="111" t="s">
        <v>10</v>
      </c>
      <c r="P38" s="113" t="s">
        <v>11</v>
      </c>
      <c r="Q38" s="54" t="s">
        <v>140</v>
      </c>
      <c r="R38" s="54" t="s">
        <v>13</v>
      </c>
      <c r="S38" s="54" t="s">
        <v>14</v>
      </c>
      <c r="T38" s="54" t="s">
        <v>15</v>
      </c>
      <c r="U38" s="54" t="s">
        <v>16</v>
      </c>
      <c r="V38" s="54" t="s">
        <v>17</v>
      </c>
      <c r="W38" s="54" t="s">
        <v>18</v>
      </c>
      <c r="X38" s="54" t="s">
        <v>19</v>
      </c>
      <c r="Y38" s="54" t="s">
        <v>20</v>
      </c>
      <c r="Z38" s="88" t="s">
        <v>21</v>
      </c>
    </row>
    <row r="39" spans="1:26" x14ac:dyDescent="0.2">
      <c r="A39" s="14" t="s">
        <v>36</v>
      </c>
      <c r="B39" t="s">
        <v>88</v>
      </c>
      <c r="C39" t="s">
        <v>208</v>
      </c>
      <c r="D39" s="86">
        <f>SUMIF($B$4:$B$35,B39,$D$4:$D$35)</f>
        <v>5</v>
      </c>
      <c r="E39" s="215">
        <f>SUM((SUMIF($B$4:$B$35,PO_AVG[[#This Row],[Baller]],$E$4:$E$35))/PO_AVG[[#This Row],[Games Played]])</f>
        <v>2.6</v>
      </c>
      <c r="F39" s="215">
        <f>SUM((SUMIF($B$4:$B$35,PO_AVG[[#This Row],[Baller]],$F$4:$F$35))/PO_AVG[[#This Row],[Games Played]])</f>
        <v>10.4</v>
      </c>
      <c r="G39" s="203">
        <f>PO_AVG[[#This Row],[Total FGM]]/PO_AVG[[#This Row],[Total FGA]]</f>
        <v>0.25</v>
      </c>
      <c r="H39" s="216">
        <f>SUM((SUMIF($B$4:$B$35,PO_AVG[[#This Row],[Baller]],$H$4:$H$35))/PO_AVG[[#This Row],[Games Played]])</f>
        <v>2.2000000000000002</v>
      </c>
      <c r="I39" s="250">
        <f>SUM((SUMIF($B$4:$B$35,PO_AVG[[#This Row],[Baller]],$I$4:$I$35))/PO_AVG[[#This Row],[Games Played]])</f>
        <v>6</v>
      </c>
      <c r="J39" s="91">
        <f>PO_AVG[[#This Row],[2PT FGM]]/PO_AVG[[#This Row],[2PT FGA]]</f>
        <v>0.3666666666666667</v>
      </c>
      <c r="K39" s="92">
        <f>SUM((SUMIF($B$4:$B$35,PO_AVG[[#This Row],[Baller]],$K$4:$K$35))/PO_AVG[[#This Row],[Games Played]])</f>
        <v>0.4</v>
      </c>
      <c r="L39" s="92">
        <f>SUM((SUMIF($B$4:$B$35,PO_AVG[[#This Row],[Baller]],$L$4:$L$35))/PO_AVG[[#This Row],[Games Played]])</f>
        <v>4.4000000000000004</v>
      </c>
      <c r="M39" s="91">
        <f>PO_AVG[[#This Row],[3PT FGM]]/PO_AVG[[#This Row],[3PT FGA]]</f>
        <v>9.0909090909090912E-2</v>
      </c>
      <c r="N39" s="92">
        <f>SUM((SUMIF($B$4:$B$35,PO_AVG[[#This Row],[Baller]],$N$4:$N$35))/PO_AVG[[#This Row],[Games Played]])</f>
        <v>0</v>
      </c>
      <c r="O39" s="92">
        <f>SUM((SUMIF($B$4:$B$35,PO_AVG[[#This Row],[Baller]],$O$4:$O$35))/PO_AVG[[#This Row],[Games Played]])</f>
        <v>0</v>
      </c>
      <c r="P39" s="99" t="e">
        <f>PO_AVG[[#This Row],[FTM]]/PO_AVG[[#This Row],[FTA]]</f>
        <v>#DIV/0!</v>
      </c>
      <c r="Q39" s="215">
        <f>SUM((SUMIF($B$4:$B$35,PO_AVG[[#This Row],[Baller]],$Q$4:$Q$35))/PO_AVG[[#This Row],[Games Played]])</f>
        <v>5.6</v>
      </c>
      <c r="R39" s="215">
        <f>SUM((SUMIF($B$4:$B$35,PO_AVG[[#This Row],[Baller]],$R$4:$R$35))/PO_AVG[[#This Row],[Games Played]])</f>
        <v>0</v>
      </c>
      <c r="S39" s="215">
        <f>SUM((SUMIF($B$4:$B$35,PO_AVG[[#This Row],[Baller]],$S$4:$S$35))/PO_AVG[[#This Row],[Games Played]])</f>
        <v>3.4</v>
      </c>
      <c r="T39" s="215">
        <f>SUM((SUMIF($B$4:$B$35,PO_AVG[[#This Row],[Baller]],$T$4:$T$35))/PO_AVG[[#This Row],[Games Played]])</f>
        <v>1.8</v>
      </c>
      <c r="U39" s="215">
        <f>SUM((SUMIF($B$4:$B$35,PO_AVG[[#This Row],[Baller]],$U$4:$U$35))/PO_AVG[[#This Row],[Games Played]])</f>
        <v>5.2</v>
      </c>
      <c r="V39" s="215">
        <f>SUM((SUMIF($B$4:$B$35,PO_AVG[[#This Row],[Baller]],$V$4:$V$35))/PO_AVG[[#This Row],[Games Played]])</f>
        <v>4.2</v>
      </c>
      <c r="W39" s="274">
        <f>SUM((SUMIF($B$4:$B$35,PO_AVG[[#This Row],[Baller]],$W$4:$W$35))/PO_AVG[[#This Row],[Games Played]])</f>
        <v>2</v>
      </c>
      <c r="X39" s="215">
        <f>SUM((SUMIF($B$4:$B$35,PO_AVG[[#This Row],[Baller]],$X$4:$X$35))/PO_AVG[[#This Row],[Games Played]])</f>
        <v>0.4</v>
      </c>
      <c r="Y39" s="276">
        <f>SUM((SUMIF($B$4:$B$35,PO_AVG[[#This Row],[Baller]],$Y$4:$Y$35))/PO_AVG[[#This Row],[Games Played]])</f>
        <v>2.8</v>
      </c>
      <c r="Z39" s="204">
        <f>PO_AVG[[#This Row],[Dimes]]/PO_AVG[[#This Row],[Turnovers]]</f>
        <v>1.5000000000000002</v>
      </c>
    </row>
    <row r="40" spans="1:26" x14ac:dyDescent="0.2">
      <c r="A40" s="14" t="s">
        <v>29</v>
      </c>
      <c r="B40" t="s">
        <v>24</v>
      </c>
      <c r="C40" t="s">
        <v>209</v>
      </c>
      <c r="D40" s="86">
        <f>SUMIF($B$4:$B$35,B40,$D$4:$D$35)</f>
        <v>4</v>
      </c>
      <c r="E40" s="215">
        <f>SUM((SUMIF($B$4:$B$35,PO_AVG[[#This Row],[Baller]],$E$4:$E$35))/PO_AVG[[#This Row],[Games Played]])</f>
        <v>4.75</v>
      </c>
      <c r="F40" s="215">
        <f>SUM((SUMIF($B$4:$B$35,PO_AVG[[#This Row],[Baller]],$F$4:$F$35))/PO_AVG[[#This Row],[Games Played]])</f>
        <v>8.25</v>
      </c>
      <c r="G40" s="203">
        <f>PO_AVG[[#This Row],[Total FGM]]/PO_AVG[[#This Row],[Total FGA]]</f>
        <v>0.5757575757575758</v>
      </c>
      <c r="H40" s="216">
        <f>SUM((SUMIF($B$4:$B$35,PO_AVG[[#This Row],[Baller]],$H$4:$H$35))/PO_AVG[[#This Row],[Games Played]])</f>
        <v>3.25</v>
      </c>
      <c r="I40" s="92">
        <f>SUM((SUMIF($B$4:$B$35,PO_AVG[[#This Row],[Baller]],$I$4:$I$35))/PO_AVG[[#This Row],[Games Played]])</f>
        <v>4.5</v>
      </c>
      <c r="J40" s="91">
        <f>PO_AVG[[#This Row],[2PT FGM]]/PO_AVG[[#This Row],[2PT FGA]]</f>
        <v>0.72222222222222221</v>
      </c>
      <c r="K40" s="92">
        <f>SUM((SUMIF($B$4:$B$35,PO_AVG[[#This Row],[Baller]],$K$4:$K$35))/PO_AVG[[#This Row],[Games Played]])</f>
        <v>1.5</v>
      </c>
      <c r="L40" s="92">
        <f>SUM((SUMIF($B$4:$B$35,PO_AVG[[#This Row],[Baller]],$L$4:$L$35))/PO_AVG[[#This Row],[Games Played]])</f>
        <v>3.75</v>
      </c>
      <c r="M40" s="91">
        <f>PO_AVG[[#This Row],[3PT FGM]]/PO_AVG[[#This Row],[3PT FGA]]</f>
        <v>0.4</v>
      </c>
      <c r="N40" s="92">
        <f>SUM((SUMIF($B$4:$B$35,PO_AVG[[#This Row],[Baller]],$N$4:$N$35))/PO_AVG[[#This Row],[Games Played]])</f>
        <v>0.25</v>
      </c>
      <c r="O40" s="92">
        <f>SUM((SUMIF($B$4:$B$35,PO_AVG[[#This Row],[Baller]],$O$4:$O$35))/PO_AVG[[#This Row],[Games Played]])</f>
        <v>0.25</v>
      </c>
      <c r="P40" s="251">
        <f>PO_AVG[[#This Row],[FTM]]/PO_AVG[[#This Row],[FTA]]</f>
        <v>1</v>
      </c>
      <c r="Q40" s="215">
        <f>SUM((SUMIF($B$4:$B$35,PO_AVG[[#This Row],[Baller]],$Q$4:$Q$35))/PO_AVG[[#This Row],[Games Played]])</f>
        <v>11.25</v>
      </c>
      <c r="R40" s="215">
        <f>SUM((SUMIF($B$4:$B$35,PO_AVG[[#This Row],[Baller]],$R$4:$R$35))/PO_AVG[[#This Row],[Games Played]])</f>
        <v>0.5</v>
      </c>
      <c r="S40" s="274">
        <f>SUM((SUMIF($B$4:$B$35,PO_AVG[[#This Row],[Baller]],$S$4:$S$35))/PO_AVG[[#This Row],[Games Played]])</f>
        <v>6</v>
      </c>
      <c r="T40" s="215">
        <f>SUM((SUMIF($B$4:$B$35,PO_AVG[[#This Row],[Baller]],$T$4:$T$35))/PO_AVG[[#This Row],[Games Played]])</f>
        <v>0.75</v>
      </c>
      <c r="U40" s="215">
        <f>SUM((SUMIF($B$4:$B$35,PO_AVG[[#This Row],[Baller]],$U$4:$U$35))/PO_AVG[[#This Row],[Games Played]])</f>
        <v>6.75</v>
      </c>
      <c r="V40" s="274">
        <f>SUM((SUMIF($B$4:$B$35,PO_AVG[[#This Row],[Baller]],$V$4:$V$35))/PO_AVG[[#This Row],[Games Played]])</f>
        <v>4.75</v>
      </c>
      <c r="W40" s="215">
        <f>SUM((SUMIF($B$4:$B$35,PO_AVG[[#This Row],[Baller]],$W$4:$W$35))/PO_AVG[[#This Row],[Games Played]])</f>
        <v>1.75</v>
      </c>
      <c r="X40" s="215">
        <f>SUM((SUMIF($B$4:$B$35,PO_AVG[[#This Row],[Baller]],$X$4:$X$35))/PO_AVG[[#This Row],[Games Played]])</f>
        <v>0.25</v>
      </c>
      <c r="Y40" s="215">
        <f>SUM((SUMIF($B$4:$B$35,PO_AVG[[#This Row],[Baller]],$Y$4:$Y$35))/PO_AVG[[#This Row],[Games Played]])</f>
        <v>0.5</v>
      </c>
      <c r="Z40" s="271">
        <f>PO_AVG[[#This Row],[Dimes]]/PO_AVG[[#This Row],[Turnovers]]</f>
        <v>9.5</v>
      </c>
    </row>
    <row r="41" spans="1:26" x14ac:dyDescent="0.2">
      <c r="A41" s="14" t="s">
        <v>30</v>
      </c>
      <c r="B41" t="s">
        <v>96</v>
      </c>
      <c r="C41" t="s">
        <v>208</v>
      </c>
      <c r="D41" s="86">
        <f>SUMIF($B$4:$B$35,B41,$D$4:$D$35)</f>
        <v>5</v>
      </c>
      <c r="E41" s="215">
        <f>SUM((SUMIF($B$4:$B$35,PO_AVG[[#This Row],[Baller]],$E$4:$E$35))/PO_AVG[[#This Row],[Games Played]])</f>
        <v>3.6</v>
      </c>
      <c r="F41" s="215">
        <f>SUM((SUMIF($B$4:$B$35,PO_AVG[[#This Row],[Baller]],$F$4:$F$35))/PO_AVG[[#This Row],[Games Played]])</f>
        <v>9.8000000000000007</v>
      </c>
      <c r="G41" s="203">
        <f>PO_AVG[[#This Row],[Total FGM]]/PO_AVG[[#This Row],[Total FGA]]</f>
        <v>0.36734693877551017</v>
      </c>
      <c r="H41" s="216">
        <f>SUM((SUMIF($B$4:$B$35,PO_AVG[[#This Row],[Baller]],$H$4:$H$35))/PO_AVG[[#This Row],[Games Played]])</f>
        <v>1.4</v>
      </c>
      <c r="I41" s="92">
        <f>SUM((SUMIF($B$4:$B$35,PO_AVG[[#This Row],[Baller]],$I$4:$I$35))/PO_AVG[[#This Row],[Games Played]])</f>
        <v>3</v>
      </c>
      <c r="J41" s="91">
        <f>PO_AVG[[#This Row],[2PT FGM]]/PO_AVG[[#This Row],[2PT FGA]]</f>
        <v>0.46666666666666662</v>
      </c>
      <c r="K41" s="92">
        <f>SUM((SUMIF($B$4:$B$35,PO_AVG[[#This Row],[Baller]],$K$4:$K$35))/PO_AVG[[#This Row],[Games Played]])</f>
        <v>2.2000000000000002</v>
      </c>
      <c r="L41" s="92">
        <f>SUM((SUMIF($B$4:$B$35,PO_AVG[[#This Row],[Baller]],$L$4:$L$35))/PO_AVG[[#This Row],[Games Played]])</f>
        <v>6.8</v>
      </c>
      <c r="M41" s="91">
        <f>PO_AVG[[#This Row],[3PT FGM]]/PO_AVG[[#This Row],[3PT FGA]]</f>
        <v>0.3235294117647059</v>
      </c>
      <c r="N41" s="250">
        <f>SUM((SUMIF($B$4:$B$35,PO_AVG[[#This Row],[Baller]],$N$4:$N$35))/PO_AVG[[#This Row],[Games Played]])</f>
        <v>0.4</v>
      </c>
      <c r="O41" s="250">
        <f>SUM((SUMIF($B$4:$B$35,PO_AVG[[#This Row],[Baller]],$O$4:$O$35))/PO_AVG[[#This Row],[Games Played]])</f>
        <v>0.4</v>
      </c>
      <c r="P41" s="251">
        <f>PO_AVG[[#This Row],[FTM]]/PO_AVG[[#This Row],[FTA]]</f>
        <v>1</v>
      </c>
      <c r="Q41" s="215">
        <f>SUM((SUMIF($B$4:$B$35,PO_AVG[[#This Row],[Baller]],$Q$4:$Q$35))/PO_AVG[[#This Row],[Games Played]])</f>
        <v>9.8000000000000007</v>
      </c>
      <c r="R41" s="215">
        <f>SUM((SUMIF($B$4:$B$35,PO_AVG[[#This Row],[Baller]],$R$4:$R$35))/PO_AVG[[#This Row],[Games Played]])</f>
        <v>0.4</v>
      </c>
      <c r="S41" s="215">
        <f>SUM((SUMIF($B$4:$B$35,PO_AVG[[#This Row],[Baller]],$S$4:$S$35))/PO_AVG[[#This Row],[Games Played]])</f>
        <v>3.6</v>
      </c>
      <c r="T41" s="215">
        <f>SUM((SUMIF($B$4:$B$35,PO_AVG[[#This Row],[Baller]],$T$4:$T$35))/PO_AVG[[#This Row],[Games Played]])</f>
        <v>1.4</v>
      </c>
      <c r="U41" s="215">
        <f>SUM((SUMIF($B$4:$B$35,PO_AVG[[#This Row],[Baller]],$U$4:$U$35))/PO_AVG[[#This Row],[Games Played]])</f>
        <v>5</v>
      </c>
      <c r="V41" s="215">
        <f>SUM((SUMIF($B$4:$B$35,PO_AVG[[#This Row],[Baller]],$V$4:$V$35))/PO_AVG[[#This Row],[Games Played]])</f>
        <v>2.2000000000000002</v>
      </c>
      <c r="W41" s="215">
        <f>SUM((SUMIF($B$4:$B$35,PO_AVG[[#This Row],[Baller]],$W$4:$W$35))/PO_AVG[[#This Row],[Games Played]])</f>
        <v>1.2</v>
      </c>
      <c r="X41" s="215">
        <f>SUM((SUMIF($B$4:$B$35,PO_AVG[[#This Row],[Baller]],$X$4:$X$35))/PO_AVG[[#This Row],[Games Played]])</f>
        <v>0.4</v>
      </c>
      <c r="Y41" s="215">
        <f>SUM((SUMIF($B$4:$B$35,PO_AVG[[#This Row],[Baller]],$Y$4:$Y$35))/PO_AVG[[#This Row],[Games Played]])</f>
        <v>1.6</v>
      </c>
      <c r="Z41" s="204">
        <f>PO_AVG[[#This Row],[Dimes]]/PO_AVG[[#This Row],[Turnovers]]</f>
        <v>1.375</v>
      </c>
    </row>
    <row r="42" spans="1:26" x14ac:dyDescent="0.2">
      <c r="A42" s="14" t="s">
        <v>32</v>
      </c>
      <c r="B42" t="s">
        <v>103</v>
      </c>
      <c r="C42" t="s">
        <v>209</v>
      </c>
      <c r="D42" s="86">
        <f>SUMIF($B$4:$B$35,B42,$D$4:$D$35)</f>
        <v>5</v>
      </c>
      <c r="E42" s="215">
        <f>SUM((SUMIF($B$4:$B$35,PO_AVG[[#This Row],[Baller]],$E$4:$E$35))/PO_AVG[[#This Row],[Games Played]])</f>
        <v>2</v>
      </c>
      <c r="F42" s="215">
        <f>SUM((SUMIF($B$4:$B$35,PO_AVG[[#This Row],[Baller]],$F$4:$F$35))/PO_AVG[[#This Row],[Games Played]])</f>
        <v>8</v>
      </c>
      <c r="G42" s="203">
        <f>PO_AVG[[#This Row],[Total FGM]]/PO_AVG[[#This Row],[Total FGA]]</f>
        <v>0.25</v>
      </c>
      <c r="H42" s="216">
        <f>SUM((SUMIF($B$4:$B$35,PO_AVG[[#This Row],[Baller]],$H$4:$H$35))/PO_AVG[[#This Row],[Games Played]])</f>
        <v>1.2</v>
      </c>
      <c r="I42" s="92">
        <f>SUM((SUMIF($B$4:$B$35,PO_AVG[[#This Row],[Baller]],$I$4:$I$35))/PO_AVG[[#This Row],[Games Played]])</f>
        <v>3</v>
      </c>
      <c r="J42" s="91">
        <f>PO_AVG[[#This Row],[2PT FGM]]/PO_AVG[[#This Row],[2PT FGA]]</f>
        <v>0.39999999999999997</v>
      </c>
      <c r="K42" s="92">
        <f>SUM((SUMIF($B$4:$B$35,PO_AVG[[#This Row],[Baller]],$K$4:$K$35))/PO_AVG[[#This Row],[Games Played]])</f>
        <v>0.8</v>
      </c>
      <c r="L42" s="92">
        <f>SUM((SUMIF($B$4:$B$35,PO_AVG[[#This Row],[Baller]],$L$4:$L$35))/PO_AVG[[#This Row],[Games Played]])</f>
        <v>5</v>
      </c>
      <c r="M42" s="91">
        <f>PO_AVG[[#This Row],[3PT FGM]]/PO_AVG[[#This Row],[3PT FGA]]</f>
        <v>0.16</v>
      </c>
      <c r="N42" s="92">
        <f>SUM((SUMIF($B$4:$B$35,PO_AVG[[#This Row],[Baller]],$N$4:$N$35))/PO_AVG[[#This Row],[Games Played]])</f>
        <v>0</v>
      </c>
      <c r="O42" s="92">
        <f>SUM((SUMIF($B$4:$B$35,PO_AVG[[#This Row],[Baller]],$O$4:$O$35))/PO_AVG[[#This Row],[Games Played]])</f>
        <v>0</v>
      </c>
      <c r="P42" s="99" t="e">
        <f>PO_AVG[[#This Row],[FTM]]/PO_AVG[[#This Row],[FTA]]</f>
        <v>#DIV/0!</v>
      </c>
      <c r="Q42" s="215">
        <f>SUM((SUMIF($B$4:$B$35,PO_AVG[[#This Row],[Baller]],$Q$4:$Q$35))/PO_AVG[[#This Row],[Games Played]])</f>
        <v>4.8</v>
      </c>
      <c r="R42" s="215">
        <f>SUM((SUMIF($B$4:$B$35,PO_AVG[[#This Row],[Baller]],$R$4:$R$35))/PO_AVG[[#This Row],[Games Played]])</f>
        <v>0.2</v>
      </c>
      <c r="S42" s="215">
        <f>SUM((SUMIF($B$4:$B$35,PO_AVG[[#This Row],[Baller]],$S$4:$S$35))/PO_AVG[[#This Row],[Games Played]])</f>
        <v>4.2</v>
      </c>
      <c r="T42" s="215">
        <f>SUM((SUMIF($B$4:$B$35,PO_AVG[[#This Row],[Baller]],$T$4:$T$35))/PO_AVG[[#This Row],[Games Played]])</f>
        <v>0.8</v>
      </c>
      <c r="U42" s="215">
        <f>SUM((SUMIF($B$4:$B$35,PO_AVG[[#This Row],[Baller]],$U$4:$U$35))/PO_AVG[[#This Row],[Games Played]])</f>
        <v>5</v>
      </c>
      <c r="V42" s="215">
        <f>SUM((SUMIF($B$4:$B$35,PO_AVG[[#This Row],[Baller]],$V$4:$V$35))/PO_AVG[[#This Row],[Games Played]])</f>
        <v>4.5999999999999996</v>
      </c>
      <c r="W42" s="215">
        <f>SUM((SUMIF($B$4:$B$35,PO_AVG[[#This Row],[Baller]],$W$4:$W$35))/PO_AVG[[#This Row],[Games Played]])</f>
        <v>1.2</v>
      </c>
      <c r="X42" s="215">
        <f>SUM((SUMIF($B$4:$B$35,PO_AVG[[#This Row],[Baller]],$X$4:$X$35))/PO_AVG[[#This Row],[Games Played]])</f>
        <v>0.4</v>
      </c>
      <c r="Y42" s="215">
        <f>SUM((SUMIF($B$4:$B$35,PO_AVG[[#This Row],[Baller]],$Y$4:$Y$35))/PO_AVG[[#This Row],[Games Played]])</f>
        <v>2.4</v>
      </c>
      <c r="Z42" s="204">
        <f>PO_AVG[[#This Row],[Dimes]]/PO_AVG[[#This Row],[Turnovers]]</f>
        <v>1.9166666666666665</v>
      </c>
    </row>
    <row r="43" spans="1:26" x14ac:dyDescent="0.2">
      <c r="A43" s="14" t="s">
        <v>33</v>
      </c>
      <c r="B43" t="s">
        <v>135</v>
      </c>
      <c r="C43" t="s">
        <v>209</v>
      </c>
      <c r="D43" s="193">
        <f>SUMIF($B$4:$B$35,B43,$D$4:$D$35)</f>
        <v>5</v>
      </c>
      <c r="E43" s="215">
        <f>SUM((SUMIF($B$4:$B$35,PO_AVG[[#This Row],[Baller]],$E$4:$E$35))/PO_AVG[[#This Row],[Games Played]])</f>
        <v>4.2</v>
      </c>
      <c r="F43" s="215">
        <f>SUM((SUMIF($B$4:$B$35,PO_AVG[[#This Row],[Baller]],$F$4:$F$35))/PO_AVG[[#This Row],[Games Played]])</f>
        <v>5.8</v>
      </c>
      <c r="G43" s="264">
        <f>PO_AVG[[#This Row],[Total FGM]]/PO_AVG[[#This Row],[Total FGA]]</f>
        <v>0.72413793103448276</v>
      </c>
      <c r="H43" s="275">
        <f>SUM((SUMIF($B$4:$B$35,PO_AVG[[#This Row],[Baller]],$H$4:$H$35))/PO_AVG[[#This Row],[Games Played]])</f>
        <v>4.2</v>
      </c>
      <c r="I43" s="92">
        <f>SUM((SUMIF($B$4:$B$35,PO_AVG[[#This Row],[Baller]],$I$4:$I$35))/PO_AVG[[#This Row],[Games Played]])</f>
        <v>5.6</v>
      </c>
      <c r="J43" s="266">
        <f>PO_AVG[[#This Row],[2PT FGM]]/PO_AVG[[#This Row],[2PT FGA]]</f>
        <v>0.75000000000000011</v>
      </c>
      <c r="K43" s="92">
        <f>SUM((SUMIF($B$4:$B$35,PO_AVG[[#This Row],[Baller]],$K$4:$K$35))/PO_AVG[[#This Row],[Games Played]])</f>
        <v>0</v>
      </c>
      <c r="L43" s="92">
        <f>SUM((SUMIF($B$4:$B$35,PO_AVG[[#This Row],[Baller]],$L$4:$L$35))/PO_AVG[[#This Row],[Games Played]])</f>
        <v>0.2</v>
      </c>
      <c r="M43" s="209">
        <f>PO_AVG[[#This Row],[3PT FGM]]/PO_AVG[[#This Row],[3PT FGA]]</f>
        <v>0</v>
      </c>
      <c r="N43" s="92">
        <f>SUM((SUMIF($B$4:$B$35,PO_AVG[[#This Row],[Baller]],$N$4:$N$35))/PO_AVG[[#This Row],[Games Played]])</f>
        <v>0</v>
      </c>
      <c r="O43" s="92">
        <f>SUM((SUMIF($B$4:$B$35,PO_AVG[[#This Row],[Baller]],$O$4:$O$35))/PO_AVG[[#This Row],[Games Played]])</f>
        <v>0.2</v>
      </c>
      <c r="P43" s="210">
        <f>PO_AVG[[#This Row],[FTM]]/PO_AVG[[#This Row],[FTA]]</f>
        <v>0</v>
      </c>
      <c r="Q43" s="215">
        <f>SUM((SUMIF($B$4:$B$35,PO_AVG[[#This Row],[Baller]],$Q$4:$Q$35))/PO_AVG[[#This Row],[Games Played]])</f>
        <v>8.4</v>
      </c>
      <c r="R43" s="274">
        <f>SUM((SUMIF($B$4:$B$35,PO_AVG[[#This Row],[Baller]],$R$4:$R$35))/PO_AVG[[#This Row],[Games Played]])</f>
        <v>3.6</v>
      </c>
      <c r="S43" s="215">
        <f>SUM((SUMIF($B$4:$B$35,PO_AVG[[#This Row],[Baller]],$S$4:$S$35))/PO_AVG[[#This Row],[Games Played]])</f>
        <v>4.4000000000000004</v>
      </c>
      <c r="T43" s="274">
        <f>SUM((SUMIF($B$4:$B$35,PO_AVG[[#This Row],[Baller]],$T$4:$T$35))/PO_AVG[[#This Row],[Games Played]])</f>
        <v>2.4</v>
      </c>
      <c r="U43" s="274">
        <f>SUM((SUMIF($B$4:$B$35,PO_AVG[[#This Row],[Baller]],$U$4:$U$35))/PO_AVG[[#This Row],[Games Played]])</f>
        <v>6.8</v>
      </c>
      <c r="V43" s="215">
        <f>SUM((SUMIF($B$4:$B$35,PO_AVG[[#This Row],[Baller]],$V$4:$V$35))/PO_AVG[[#This Row],[Games Played]])</f>
        <v>1.2</v>
      </c>
      <c r="W43" s="215">
        <f>SUM((SUMIF($B$4:$B$35,PO_AVG[[#This Row],[Baller]],$W$4:$W$35))/PO_AVG[[#This Row],[Games Played]])</f>
        <v>1.2</v>
      </c>
      <c r="X43" s="274">
        <f>SUM((SUMIF($B$4:$B$35,PO_AVG[[#This Row],[Baller]],$X$4:$X$35))/PO_AVG[[#This Row],[Games Played]])</f>
        <v>0.8</v>
      </c>
      <c r="Y43" s="215">
        <f>SUM((SUMIF($B$4:$B$35,PO_AVG[[#This Row],[Baller]],$Y$4:$Y$35))/PO_AVG[[#This Row],[Games Played]])</f>
        <v>2</v>
      </c>
      <c r="Z43" s="204">
        <f>PO_AVG[[#This Row],[Dimes]]/PO_AVG[[#This Row],[Turnovers]]</f>
        <v>0.6</v>
      </c>
    </row>
    <row r="44" spans="1:26" x14ac:dyDescent="0.2">
      <c r="A44" s="14" t="s">
        <v>35</v>
      </c>
      <c r="B44" t="s">
        <v>266</v>
      </c>
      <c r="C44" t="s">
        <v>209</v>
      </c>
      <c r="D44" s="193">
        <v>1</v>
      </c>
      <c r="E44" s="215">
        <f>SUM((SUMIF($B$4:$B$35,PO_AVG[[#This Row],[Baller]],$E$4:$E$35))/PO_AVG[[#This Row],[Games Played]])</f>
        <v>4</v>
      </c>
      <c r="F44" s="215">
        <f>SUM((SUMIF($B$4:$B$35,PO_AVG[[#This Row],[Baller]],$F$4:$F$35))/PO_AVG[[#This Row],[Games Played]])</f>
        <v>7</v>
      </c>
      <c r="G44" s="206">
        <f>PO_AVG[[#This Row],[Total FGM]]/PO_AVG[[#This Row],[Total FGA]]</f>
        <v>0.5714285714285714</v>
      </c>
      <c r="H44" s="216">
        <f>SUM((SUMIF($B$4:$B$35,PO_AVG[[#This Row],[Baller]],$H$4:$H$35))/PO_AVG[[#This Row],[Games Played]])</f>
        <v>3</v>
      </c>
      <c r="I44" s="92">
        <f>SUM((SUMIF($B$4:$B$35,PO_AVG[[#This Row],[Baller]],$I$4:$I$35))/PO_AVG[[#This Row],[Games Played]])</f>
        <v>5</v>
      </c>
      <c r="J44" s="209">
        <f>PO_AVG[[#This Row],[2PT FGM]]/PO_AVG[[#This Row],[2PT FGA]]</f>
        <v>0.6</v>
      </c>
      <c r="K44" s="92">
        <f>SUM((SUMIF($B$4:$B$35,PO_AVG[[#This Row],[Baller]],$K$4:$K$35))/PO_AVG[[#This Row],[Games Played]])</f>
        <v>1</v>
      </c>
      <c r="L44" s="92">
        <f>SUM((SUMIF($B$4:$B$35,PO_AVG[[#This Row],[Baller]],$L$4:$L$35))/PO_AVG[[#This Row],[Games Played]])</f>
        <v>2</v>
      </c>
      <c r="M44" s="209">
        <f>PO_AVG[[#This Row],[3PT FGM]]/PO_AVG[[#This Row],[3PT FGA]]</f>
        <v>0.5</v>
      </c>
      <c r="N44" s="92">
        <f>SUM((SUMIF($B$4:$B$35,PO_AVG[[#This Row],[Baller]],$N$4:$N$35))/PO_AVG[[#This Row],[Games Played]])</f>
        <v>0</v>
      </c>
      <c r="O44" s="92">
        <f>SUM((SUMIF($B$4:$B$35,PO_AVG[[#This Row],[Baller]],$O$4:$O$35))/PO_AVG[[#This Row],[Games Played]])</f>
        <v>0</v>
      </c>
      <c r="P44" s="210" t="e">
        <f>PO_AVG[[#This Row],[FTM]]/PO_AVG[[#This Row],[FTA]]</f>
        <v>#DIV/0!</v>
      </c>
      <c r="Q44" s="215">
        <f>SUM((SUMIF($B$4:$B$35,PO_AVG[[#This Row],[Baller]],$Q$4:$Q$35))/PO_AVG[[#This Row],[Games Played]])</f>
        <v>9</v>
      </c>
      <c r="R44" s="215">
        <f>SUM((SUMIF($B$4:$B$35,PO_AVG[[#This Row],[Baller]],$R$4:$R$35))/PO_AVG[[#This Row],[Games Played]])</f>
        <v>0</v>
      </c>
      <c r="S44" s="215">
        <f>SUM((SUMIF($B$4:$B$35,PO_AVG[[#This Row],[Baller]],$S$4:$S$35))/PO_AVG[[#This Row],[Games Played]])</f>
        <v>1</v>
      </c>
      <c r="T44" s="215">
        <f>SUM((SUMIF($B$4:$B$35,PO_AVG[[#This Row],[Baller]],$T$4:$T$35))/PO_AVG[[#This Row],[Games Played]])</f>
        <v>3</v>
      </c>
      <c r="U44" s="215">
        <f>SUM((SUMIF($B$4:$B$35,PO_AVG[[#This Row],[Baller]],$U$4:$U$35))/PO_AVG[[#This Row],[Games Played]])</f>
        <v>4</v>
      </c>
      <c r="V44" s="215">
        <f>SUM((SUMIF($B$4:$B$35,PO_AVG[[#This Row],[Baller]],$V$4:$V$35))/PO_AVG[[#This Row],[Games Played]])</f>
        <v>0</v>
      </c>
      <c r="W44" s="215">
        <f>SUM((SUMIF($B$4:$B$35,PO_AVG[[#This Row],[Baller]],$W$4:$W$35))/PO_AVG[[#This Row],[Games Played]])</f>
        <v>1</v>
      </c>
      <c r="X44" s="215">
        <f>SUM((SUMIF($B$4:$B$35,PO_AVG[[#This Row],[Baller]],$X$4:$X$35))/PO_AVG[[#This Row],[Games Played]])</f>
        <v>0</v>
      </c>
      <c r="Y44" s="215">
        <f>SUM((SUMIF($B$4:$B$35,PO_AVG[[#This Row],[Baller]],$Y$4:$Y$35))/PO_AVG[[#This Row],[Games Played]])</f>
        <v>2</v>
      </c>
      <c r="Z44" s="204">
        <f>PO_AVG[[#This Row],[Dimes]]/PO_AVG[[#This Row],[Turnovers]]</f>
        <v>0</v>
      </c>
    </row>
    <row r="45" spans="1:26" hidden="1" x14ac:dyDescent="0.2">
      <c r="A45" s="14" t="s">
        <v>44</v>
      </c>
      <c r="B45" t="s">
        <v>80</v>
      </c>
      <c r="C45" t="s">
        <v>132</v>
      </c>
      <c r="D45" s="86">
        <f t="shared" ref="D45:D69" si="0">SUMIF($B$4:$B$35,B45,$D$4:$D$35)</f>
        <v>0</v>
      </c>
      <c r="E45" s="215" t="e">
        <f>SUM((SUMIF($B$4:$B$35,PO_AVG[[#This Row],[Baller]],$E$4:$E$35))/PO_AVG[[#This Row],[Games Played]])</f>
        <v>#DIV/0!</v>
      </c>
      <c r="F45" s="215" t="e">
        <f>SUM((SUMIF($B$4:$B$35,PO_AVG[[#This Row],[Baller]],$F$4:$F$35))/PO_AVG[[#This Row],[Games Played]])</f>
        <v>#DIV/0!</v>
      </c>
      <c r="G45" s="203" t="e">
        <f>PO_AVG[[#This Row],[Total FGM]]/PO_AVG[[#This Row],[Total FGA]]</f>
        <v>#DIV/0!</v>
      </c>
      <c r="H45" s="216" t="e">
        <f>SUM((SUMIF($B$4:$B$35,PO_AVG[[#This Row],[Baller]],$H$4:$H$35))/PO_AVG[[#This Row],[Games Played]])</f>
        <v>#DIV/0!</v>
      </c>
      <c r="I45" s="92" t="e">
        <f>SUM((SUMIF($B$4:$B$35,PO_AVG[[#This Row],[Baller]],$I$4:$I$35))/PO_AVG[[#This Row],[Games Played]])</f>
        <v>#DIV/0!</v>
      </c>
      <c r="J45" s="91" t="e">
        <f>PO_AVG[[#This Row],[2PT FGM]]/PO_AVG[[#This Row],[2PT FGA]]</f>
        <v>#DIV/0!</v>
      </c>
      <c r="K45" s="92" t="e">
        <f>SUM((SUMIF($B$4:$B$35,PO_AVG[[#This Row],[Baller]],$K$4:$K$35))/PO_AVG[[#This Row],[Games Played]])</f>
        <v>#DIV/0!</v>
      </c>
      <c r="L45" s="92" t="e">
        <f>SUM((SUMIF($B$4:$B$35,PO_AVG[[#This Row],[Baller]],$L$4:$L$35))/PO_AVG[[#This Row],[Games Played]])</f>
        <v>#DIV/0!</v>
      </c>
      <c r="M45" s="91" t="e">
        <f>PO_AVG[[#This Row],[3PT FGM]]/PO_AVG[[#This Row],[3PT FGA]]</f>
        <v>#DIV/0!</v>
      </c>
      <c r="N45" s="92" t="e">
        <f>SUM((SUMIF($B$4:$B$35,PO_AVG[[#This Row],[Baller]],$N$4:$N$35))/PO_AVG[[#This Row],[Games Played]])</f>
        <v>#DIV/0!</v>
      </c>
      <c r="O45" s="92" t="e">
        <f>SUM((SUMIF($B$4:$B$35,PO_AVG[[#This Row],[Baller]],$O$4:$O$35))/PO_AVG[[#This Row],[Games Played]])</f>
        <v>#DIV/0!</v>
      </c>
      <c r="P45" s="99" t="e">
        <f>PO_AVG[[#This Row],[FTM]]/PO_AVG[[#This Row],[FTA]]</f>
        <v>#DIV/0!</v>
      </c>
      <c r="Q45" s="215" t="e">
        <f>SUM((SUMIF($B$4:$B$35,PO_AVG[[#This Row],[Baller]],$Q$4:$Q$35))/PO_AVG[[#This Row],[Games Played]])</f>
        <v>#DIV/0!</v>
      </c>
      <c r="R45" s="215" t="e">
        <f>SUM((SUMIF($B$4:$B$35,PO_AVG[[#This Row],[Baller]],$R$4:$R$35))/PO_AVG[[#This Row],[Games Played]])</f>
        <v>#DIV/0!</v>
      </c>
      <c r="S45" s="215" t="e">
        <f>SUM((SUMIF($B$4:$B$35,PO_AVG[[#This Row],[Baller]],$S$4:$S$35))/PO_AVG[[#This Row],[Games Played]])</f>
        <v>#DIV/0!</v>
      </c>
      <c r="T45" s="215" t="e">
        <f>SUM((SUMIF($B$4:$B$35,PO_AVG[[#This Row],[Baller]],$T$4:$T$35))/PO_AVG[[#This Row],[Games Played]])</f>
        <v>#DIV/0!</v>
      </c>
      <c r="U45" s="215" t="e">
        <f>SUM((SUMIF($B$4:$B$35,PO_AVG[[#This Row],[Baller]],$U$4:$U$35))/PO_AVG[[#This Row],[Games Played]])</f>
        <v>#DIV/0!</v>
      </c>
      <c r="V45" s="215" t="e">
        <f>SUM((SUMIF($B$4:$B$35,PO_AVG[[#This Row],[Baller]],$V$4:$V$35))/PO_AVG[[#This Row],[Games Played]])</f>
        <v>#DIV/0!</v>
      </c>
      <c r="W45" s="215" t="e">
        <f>SUM((SUMIF($B$4:$B$35,PO_AVG[[#This Row],[Baller]],$W$4:$W$35))/PO_AVG[[#This Row],[Games Played]])</f>
        <v>#DIV/0!</v>
      </c>
      <c r="X45" s="215" t="e">
        <f>SUM((SUMIF($B$4:$B$35,PO_AVG[[#This Row],[Baller]],$X$4:$X$35))/PO_AVG[[#This Row],[Games Played]])</f>
        <v>#DIV/0!</v>
      </c>
      <c r="Y45" s="215" t="e">
        <f>SUM((SUMIF($B$4:$B$35,PO_AVG[[#This Row],[Baller]],$Y$4:$Y$35))/PO_AVG[[#This Row],[Games Played]])</f>
        <v>#DIV/0!</v>
      </c>
      <c r="Z45" s="204" t="e">
        <f>PO_AVG[[#This Row],[Dimes]]/PO_AVG[[#This Row],[Turnovers]]</f>
        <v>#DIV/0!</v>
      </c>
    </row>
    <row r="46" spans="1:26" hidden="1" x14ac:dyDescent="0.2">
      <c r="A46" s="14" t="s">
        <v>52</v>
      </c>
      <c r="B46" t="s">
        <v>91</v>
      </c>
      <c r="C46" t="s">
        <v>132</v>
      </c>
      <c r="D46" s="86">
        <f t="shared" si="0"/>
        <v>0</v>
      </c>
      <c r="E46" s="215" t="e">
        <f>SUM((SUMIF($B$4:$B$35,PO_AVG[[#This Row],[Baller]],$E$4:$E$35))/PO_AVG[[#This Row],[Games Played]])</f>
        <v>#DIV/0!</v>
      </c>
      <c r="F46" s="215" t="e">
        <f>SUM((SUMIF($B$4:$B$35,PO_AVG[[#This Row],[Baller]],$F$4:$F$35))/PO_AVG[[#This Row],[Games Played]])</f>
        <v>#DIV/0!</v>
      </c>
      <c r="G46" s="203" t="e">
        <f>PO_AVG[[#This Row],[Total FGM]]/PO_AVG[[#This Row],[Total FGA]]</f>
        <v>#DIV/0!</v>
      </c>
      <c r="H46" s="216" t="e">
        <f>SUM((SUMIF($B$4:$B$35,PO_AVG[[#This Row],[Baller]],$H$4:$H$35))/PO_AVG[[#This Row],[Games Played]])</f>
        <v>#DIV/0!</v>
      </c>
      <c r="I46" s="92" t="e">
        <f>SUM((SUMIF($B$4:$B$35,PO_AVG[[#This Row],[Baller]],$I$4:$I$35))/PO_AVG[[#This Row],[Games Played]])</f>
        <v>#DIV/0!</v>
      </c>
      <c r="J46" s="91" t="e">
        <f>PO_AVG[[#This Row],[2PT FGM]]/PO_AVG[[#This Row],[2PT FGA]]</f>
        <v>#DIV/0!</v>
      </c>
      <c r="K46" s="92" t="e">
        <f>SUM((SUMIF($B$4:$B$35,PO_AVG[[#This Row],[Baller]],$K$4:$K$35))/PO_AVG[[#This Row],[Games Played]])</f>
        <v>#DIV/0!</v>
      </c>
      <c r="L46" s="92" t="e">
        <f>SUM((SUMIF($B$4:$B$35,PO_AVG[[#This Row],[Baller]],$L$4:$L$35))/PO_AVG[[#This Row],[Games Played]])</f>
        <v>#DIV/0!</v>
      </c>
      <c r="M46" s="91" t="e">
        <f>PO_AVG[[#This Row],[3PT FGM]]/PO_AVG[[#This Row],[3PT FGA]]</f>
        <v>#DIV/0!</v>
      </c>
      <c r="N46" s="92" t="e">
        <f>SUM((SUMIF($B$4:$B$35,PO_AVG[[#This Row],[Baller]],$N$4:$N$35))/PO_AVG[[#This Row],[Games Played]])</f>
        <v>#DIV/0!</v>
      </c>
      <c r="O46" s="92" t="e">
        <f>SUM((SUMIF($B$4:$B$35,PO_AVG[[#This Row],[Baller]],$O$4:$O$35))/PO_AVG[[#This Row],[Games Played]])</f>
        <v>#DIV/0!</v>
      </c>
      <c r="P46" s="99" t="e">
        <f>PO_AVG[[#This Row],[FTM]]/PO_AVG[[#This Row],[FTA]]</f>
        <v>#DIV/0!</v>
      </c>
      <c r="Q46" s="215" t="e">
        <f>SUM((SUMIF($B$4:$B$35,PO_AVG[[#This Row],[Baller]],$Q$4:$Q$35))/PO_AVG[[#This Row],[Games Played]])</f>
        <v>#DIV/0!</v>
      </c>
      <c r="R46" s="215" t="e">
        <f>SUM((SUMIF($B$4:$B$35,PO_AVG[[#This Row],[Baller]],$R$4:$R$35))/PO_AVG[[#This Row],[Games Played]])</f>
        <v>#DIV/0!</v>
      </c>
      <c r="S46" s="215" t="e">
        <f>SUM((SUMIF($B$4:$B$35,PO_AVG[[#This Row],[Baller]],$S$4:$S$35))/PO_AVG[[#This Row],[Games Played]])</f>
        <v>#DIV/0!</v>
      </c>
      <c r="T46" s="215" t="e">
        <f>SUM((SUMIF($B$4:$B$35,PO_AVG[[#This Row],[Baller]],$T$4:$T$35))/PO_AVG[[#This Row],[Games Played]])</f>
        <v>#DIV/0!</v>
      </c>
      <c r="U46" s="215" t="e">
        <f>SUM((SUMIF($B$4:$B$35,PO_AVG[[#This Row],[Baller]],$U$4:$U$35))/PO_AVG[[#This Row],[Games Played]])</f>
        <v>#DIV/0!</v>
      </c>
      <c r="V46" s="215" t="e">
        <f>SUM((SUMIF($B$4:$B$35,PO_AVG[[#This Row],[Baller]],$V$4:$V$35))/PO_AVG[[#This Row],[Games Played]])</f>
        <v>#DIV/0!</v>
      </c>
      <c r="W46" s="215" t="e">
        <f>SUM((SUMIF($B$4:$B$35,PO_AVG[[#This Row],[Baller]],$W$4:$W$35))/PO_AVG[[#This Row],[Games Played]])</f>
        <v>#DIV/0!</v>
      </c>
      <c r="X46" s="215" t="e">
        <f>SUM((SUMIF($B$4:$B$35,PO_AVG[[#This Row],[Baller]],$X$4:$X$35))/PO_AVG[[#This Row],[Games Played]])</f>
        <v>#DIV/0!</v>
      </c>
      <c r="Y46" s="215" t="e">
        <f>SUM((SUMIF($B$4:$B$35,PO_AVG[[#This Row],[Baller]],$Y$4:$Y$35))/PO_AVG[[#This Row],[Games Played]])</f>
        <v>#DIV/0!</v>
      </c>
      <c r="Z46" s="204" t="e">
        <f>PO_AVG[[#This Row],[Dimes]]/PO_AVG[[#This Row],[Turnovers]]</f>
        <v>#DIV/0!</v>
      </c>
    </row>
    <row r="47" spans="1:26" hidden="1" x14ac:dyDescent="0.2">
      <c r="A47" s="14" t="s">
        <v>53</v>
      </c>
      <c r="B47" t="s">
        <v>77</v>
      </c>
      <c r="C47" t="s">
        <v>132</v>
      </c>
      <c r="D47" s="86">
        <f t="shared" si="0"/>
        <v>0</v>
      </c>
      <c r="E47" s="215" t="e">
        <f>SUM((SUMIF($B$4:$B$35,PO_AVG[[#This Row],[Baller]],$E$4:$E$35))/PO_AVG[[#This Row],[Games Played]])</f>
        <v>#DIV/0!</v>
      </c>
      <c r="F47" s="215" t="e">
        <f>SUM((SUMIF($B$4:$B$35,PO_AVG[[#This Row],[Baller]],$F$4:$F$35))/PO_AVG[[#This Row],[Games Played]])</f>
        <v>#DIV/0!</v>
      </c>
      <c r="G47" s="203" t="e">
        <f>PO_AVG[[#This Row],[Total FGM]]/PO_AVG[[#This Row],[Total FGA]]</f>
        <v>#DIV/0!</v>
      </c>
      <c r="H47" s="216" t="e">
        <f>SUM((SUMIF($B$4:$B$35,PO_AVG[[#This Row],[Baller]],$H$4:$H$35))/PO_AVG[[#This Row],[Games Played]])</f>
        <v>#DIV/0!</v>
      </c>
      <c r="I47" s="92" t="e">
        <f>SUM((SUMIF($B$4:$B$35,PO_AVG[[#This Row],[Baller]],$I$4:$I$35))/PO_AVG[[#This Row],[Games Played]])</f>
        <v>#DIV/0!</v>
      </c>
      <c r="J47" s="91" t="e">
        <f>PO_AVG[[#This Row],[2PT FGM]]/PO_AVG[[#This Row],[2PT FGA]]</f>
        <v>#DIV/0!</v>
      </c>
      <c r="K47" s="92" t="e">
        <f>SUM((SUMIF($B$4:$B$35,PO_AVG[[#This Row],[Baller]],$K$4:$K$35))/PO_AVG[[#This Row],[Games Played]])</f>
        <v>#DIV/0!</v>
      </c>
      <c r="L47" s="92" t="e">
        <f>SUM((SUMIF($B$4:$B$35,PO_AVG[[#This Row],[Baller]],$L$4:$L$35))/PO_AVG[[#This Row],[Games Played]])</f>
        <v>#DIV/0!</v>
      </c>
      <c r="M47" s="91" t="e">
        <f>PO_AVG[[#This Row],[3PT FGM]]/PO_AVG[[#This Row],[3PT FGA]]</f>
        <v>#DIV/0!</v>
      </c>
      <c r="N47" s="92" t="e">
        <f>SUM((SUMIF($B$4:$B$35,PO_AVG[[#This Row],[Baller]],$N$4:$N$35))/PO_AVG[[#This Row],[Games Played]])</f>
        <v>#DIV/0!</v>
      </c>
      <c r="O47" s="92" t="e">
        <f>SUM((SUMIF($B$4:$B$35,PO_AVG[[#This Row],[Baller]],$O$4:$O$35))/PO_AVG[[#This Row],[Games Played]])</f>
        <v>#DIV/0!</v>
      </c>
      <c r="P47" s="99" t="e">
        <f>PO_AVG[[#This Row],[FTM]]/PO_AVG[[#This Row],[FTA]]</f>
        <v>#DIV/0!</v>
      </c>
      <c r="Q47" s="215" t="e">
        <f>SUM((SUMIF($B$4:$B$35,PO_AVG[[#This Row],[Baller]],$Q$4:$Q$35))/PO_AVG[[#This Row],[Games Played]])</f>
        <v>#DIV/0!</v>
      </c>
      <c r="R47" s="215" t="e">
        <f>SUM((SUMIF($B$4:$B$35,PO_AVG[[#This Row],[Baller]],$R$4:$R$35))/PO_AVG[[#This Row],[Games Played]])</f>
        <v>#DIV/0!</v>
      </c>
      <c r="S47" s="215" t="e">
        <f>SUM((SUMIF($B$4:$B$35,PO_AVG[[#This Row],[Baller]],$S$4:$S$35))/PO_AVG[[#This Row],[Games Played]])</f>
        <v>#DIV/0!</v>
      </c>
      <c r="T47" s="215" t="e">
        <f>SUM((SUMIF($B$4:$B$35,PO_AVG[[#This Row],[Baller]],$T$4:$T$35))/PO_AVG[[#This Row],[Games Played]])</f>
        <v>#DIV/0!</v>
      </c>
      <c r="U47" s="215" t="e">
        <f>SUM((SUMIF($B$4:$B$35,PO_AVG[[#This Row],[Baller]],$U$4:$U$35))/PO_AVG[[#This Row],[Games Played]])</f>
        <v>#DIV/0!</v>
      </c>
      <c r="V47" s="215" t="e">
        <f>SUM((SUMIF($B$4:$B$35,PO_AVG[[#This Row],[Baller]],$V$4:$V$35))/PO_AVG[[#This Row],[Games Played]])</f>
        <v>#DIV/0!</v>
      </c>
      <c r="W47" s="215" t="e">
        <f>SUM((SUMIF($B$4:$B$35,PO_AVG[[#This Row],[Baller]],$W$4:$W$35))/PO_AVG[[#This Row],[Games Played]])</f>
        <v>#DIV/0!</v>
      </c>
      <c r="X47" s="215" t="e">
        <f>SUM((SUMIF($B$4:$B$35,PO_AVG[[#This Row],[Baller]],$X$4:$X$35))/PO_AVG[[#This Row],[Games Played]])</f>
        <v>#DIV/0!</v>
      </c>
      <c r="Y47" s="215" t="e">
        <f>SUM((SUMIF($B$4:$B$35,PO_AVG[[#This Row],[Baller]],$Y$4:$Y$35))/PO_AVG[[#This Row],[Games Played]])</f>
        <v>#DIV/0!</v>
      </c>
      <c r="Z47" s="204" t="e">
        <f>PO_AVG[[#This Row],[Dimes]]/PO_AVG[[#This Row],[Turnovers]]</f>
        <v>#DIV/0!</v>
      </c>
    </row>
    <row r="48" spans="1:26" hidden="1" x14ac:dyDescent="0.2">
      <c r="A48" s="16" t="s">
        <v>56</v>
      </c>
      <c r="B48" t="s">
        <v>95</v>
      </c>
      <c r="C48" t="s">
        <v>132</v>
      </c>
      <c r="D48" s="86">
        <f t="shared" si="0"/>
        <v>0</v>
      </c>
      <c r="E48" s="215" t="e">
        <f>SUM((SUMIF($B$4:$B$35,PO_AVG[[#This Row],[Baller]],$E$4:$E$35))/PO_AVG[[#This Row],[Games Played]])</f>
        <v>#DIV/0!</v>
      </c>
      <c r="F48" s="215" t="e">
        <f>SUM((SUMIF($B$4:$B$35,PO_AVG[[#This Row],[Baller]],$F$4:$F$35))/PO_AVG[[#This Row],[Games Played]])</f>
        <v>#DIV/0!</v>
      </c>
      <c r="G48" s="203" t="e">
        <f>PO_AVG[[#This Row],[Total FGM]]/PO_AVG[[#This Row],[Total FGA]]</f>
        <v>#DIV/0!</v>
      </c>
      <c r="H48" s="216" t="e">
        <f>SUM((SUMIF($B$4:$B$35,PO_AVG[[#This Row],[Baller]],$H$4:$H$35))/PO_AVG[[#This Row],[Games Played]])</f>
        <v>#DIV/0!</v>
      </c>
      <c r="I48" s="92" t="e">
        <f>SUM((SUMIF($B$4:$B$35,PO_AVG[[#This Row],[Baller]],$I$4:$I$35))/PO_AVG[[#This Row],[Games Played]])</f>
        <v>#DIV/0!</v>
      </c>
      <c r="J48" s="91" t="e">
        <f>PO_AVG[[#This Row],[2PT FGM]]/PO_AVG[[#This Row],[2PT FGA]]</f>
        <v>#DIV/0!</v>
      </c>
      <c r="K48" s="92" t="e">
        <f>SUM((SUMIF($B$4:$B$35,PO_AVG[[#This Row],[Baller]],$K$4:$K$35))/PO_AVG[[#This Row],[Games Played]])</f>
        <v>#DIV/0!</v>
      </c>
      <c r="L48" s="92" t="e">
        <f>SUM((SUMIF($B$4:$B$35,PO_AVG[[#This Row],[Baller]],$L$4:$L$35))/PO_AVG[[#This Row],[Games Played]])</f>
        <v>#DIV/0!</v>
      </c>
      <c r="M48" s="91" t="e">
        <f>PO_AVG[[#This Row],[3PT FGM]]/PO_AVG[[#This Row],[3PT FGA]]</f>
        <v>#DIV/0!</v>
      </c>
      <c r="N48" s="92" t="e">
        <f>SUM((SUMIF($B$4:$B$35,PO_AVG[[#This Row],[Baller]],$N$4:$N$35))/PO_AVG[[#This Row],[Games Played]])</f>
        <v>#DIV/0!</v>
      </c>
      <c r="O48" s="92" t="e">
        <f>SUM((SUMIF($B$4:$B$35,PO_AVG[[#This Row],[Baller]],$O$4:$O$35))/PO_AVG[[#This Row],[Games Played]])</f>
        <v>#DIV/0!</v>
      </c>
      <c r="P48" s="99" t="e">
        <f>PO_AVG[[#This Row],[FTM]]/PO_AVG[[#This Row],[FTA]]</f>
        <v>#DIV/0!</v>
      </c>
      <c r="Q48" s="215" t="e">
        <f>SUM((SUMIF($B$4:$B$35,PO_AVG[[#This Row],[Baller]],$Q$4:$Q$35))/PO_AVG[[#This Row],[Games Played]])</f>
        <v>#DIV/0!</v>
      </c>
      <c r="R48" s="215" t="e">
        <f>SUM((SUMIF($B$4:$B$35,PO_AVG[[#This Row],[Baller]],$R$4:$R$35))/PO_AVG[[#This Row],[Games Played]])</f>
        <v>#DIV/0!</v>
      </c>
      <c r="S48" s="215" t="e">
        <f>SUM((SUMIF($B$4:$B$35,PO_AVG[[#This Row],[Baller]],$S$4:$S$35))/PO_AVG[[#This Row],[Games Played]])</f>
        <v>#DIV/0!</v>
      </c>
      <c r="T48" s="215" t="e">
        <f>SUM((SUMIF($B$4:$B$35,PO_AVG[[#This Row],[Baller]],$T$4:$T$35))/PO_AVG[[#This Row],[Games Played]])</f>
        <v>#DIV/0!</v>
      </c>
      <c r="U48" s="215" t="e">
        <f>SUM((SUMIF($B$4:$B$35,PO_AVG[[#This Row],[Baller]],$U$4:$U$35))/PO_AVG[[#This Row],[Games Played]])</f>
        <v>#DIV/0!</v>
      </c>
      <c r="V48" s="215" t="e">
        <f>SUM((SUMIF($B$4:$B$35,PO_AVG[[#This Row],[Baller]],$V$4:$V$35))/PO_AVG[[#This Row],[Games Played]])</f>
        <v>#DIV/0!</v>
      </c>
      <c r="W48" s="215" t="e">
        <f>SUM((SUMIF($B$4:$B$35,PO_AVG[[#This Row],[Baller]],$W$4:$W$35))/PO_AVG[[#This Row],[Games Played]])</f>
        <v>#DIV/0!</v>
      </c>
      <c r="X48" s="215" t="e">
        <f>SUM((SUMIF($B$4:$B$35,PO_AVG[[#This Row],[Baller]],$X$4:$X$35))/PO_AVG[[#This Row],[Games Played]])</f>
        <v>#DIV/0!</v>
      </c>
      <c r="Y48" s="215" t="e">
        <f>SUM((SUMIF($B$4:$B$35,PO_AVG[[#This Row],[Baller]],$Y$4:$Y$35))/PO_AVG[[#This Row],[Games Played]])</f>
        <v>#DIV/0!</v>
      </c>
      <c r="Z48" s="204" t="e">
        <f>PO_AVG[[#This Row],[Dimes]]/PO_AVG[[#This Row],[Turnovers]]</f>
        <v>#DIV/0!</v>
      </c>
    </row>
    <row r="49" spans="1:26" hidden="1" x14ac:dyDescent="0.2">
      <c r="A49" s="14" t="s">
        <v>34</v>
      </c>
      <c r="B49" t="s">
        <v>78</v>
      </c>
      <c r="C49" t="s">
        <v>132</v>
      </c>
      <c r="D49" s="86">
        <f t="shared" si="0"/>
        <v>0</v>
      </c>
      <c r="E49" s="215" t="e">
        <f>SUM((SUMIF($B$4:$B$35,PO_AVG[[#This Row],[Baller]],$E$4:$E$35))/PO_AVG[[#This Row],[Games Played]])</f>
        <v>#DIV/0!</v>
      </c>
      <c r="F49" s="215" t="e">
        <f>SUM((SUMIF($B$4:$B$35,PO_AVG[[#This Row],[Baller]],$F$4:$F$35))/PO_AVG[[#This Row],[Games Played]])</f>
        <v>#DIV/0!</v>
      </c>
      <c r="G49" s="203" t="e">
        <f>PO_AVG[[#This Row],[Total FGM]]/PO_AVG[[#This Row],[Total FGA]]</f>
        <v>#DIV/0!</v>
      </c>
      <c r="H49" s="216" t="e">
        <f>SUM((SUMIF($B$4:$B$35,PO_AVG[[#This Row],[Baller]],$H$4:$H$35))/PO_AVG[[#This Row],[Games Played]])</f>
        <v>#DIV/0!</v>
      </c>
      <c r="I49" s="92" t="e">
        <f>SUM((SUMIF($B$4:$B$35,PO_AVG[[#This Row],[Baller]],$I$4:$I$35))/PO_AVG[[#This Row],[Games Played]])</f>
        <v>#DIV/0!</v>
      </c>
      <c r="J49" s="91" t="e">
        <f>PO_AVG[[#This Row],[2PT FGM]]/PO_AVG[[#This Row],[2PT FGA]]</f>
        <v>#DIV/0!</v>
      </c>
      <c r="K49" s="92" t="e">
        <f>SUM((SUMIF($B$4:$B$35,PO_AVG[[#This Row],[Baller]],$K$4:$K$35))/PO_AVG[[#This Row],[Games Played]])</f>
        <v>#DIV/0!</v>
      </c>
      <c r="L49" s="92" t="e">
        <f>SUM((SUMIF($B$4:$B$35,PO_AVG[[#This Row],[Baller]],$L$4:$L$35))/PO_AVG[[#This Row],[Games Played]])</f>
        <v>#DIV/0!</v>
      </c>
      <c r="M49" s="91" t="e">
        <f>PO_AVG[[#This Row],[3PT FGM]]/PO_AVG[[#This Row],[3PT FGA]]</f>
        <v>#DIV/0!</v>
      </c>
      <c r="N49" s="92" t="e">
        <f>SUM((SUMIF($B$4:$B$35,PO_AVG[[#This Row],[Baller]],$N$4:$N$35))/PO_AVG[[#This Row],[Games Played]])</f>
        <v>#DIV/0!</v>
      </c>
      <c r="O49" s="92" t="e">
        <f>SUM((SUMIF($B$4:$B$35,PO_AVG[[#This Row],[Baller]],$O$4:$O$35))/PO_AVG[[#This Row],[Games Played]])</f>
        <v>#DIV/0!</v>
      </c>
      <c r="P49" s="99" t="e">
        <f>PO_AVG[[#This Row],[FTM]]/PO_AVG[[#This Row],[FTA]]</f>
        <v>#DIV/0!</v>
      </c>
      <c r="Q49" s="215" t="e">
        <f>SUM((SUMIF($B$4:$B$35,PO_AVG[[#This Row],[Baller]],$Q$4:$Q$35))/PO_AVG[[#This Row],[Games Played]])</f>
        <v>#DIV/0!</v>
      </c>
      <c r="R49" s="215" t="e">
        <f>SUM((SUMIF($B$4:$B$35,PO_AVG[[#This Row],[Baller]],$R$4:$R$35))/PO_AVG[[#This Row],[Games Played]])</f>
        <v>#DIV/0!</v>
      </c>
      <c r="S49" s="215" t="e">
        <f>SUM((SUMIF($B$4:$B$35,PO_AVG[[#This Row],[Baller]],$S$4:$S$35))/PO_AVG[[#This Row],[Games Played]])</f>
        <v>#DIV/0!</v>
      </c>
      <c r="T49" s="215" t="e">
        <f>SUM((SUMIF($B$4:$B$35,PO_AVG[[#This Row],[Baller]],$T$4:$T$35))/PO_AVG[[#This Row],[Games Played]])</f>
        <v>#DIV/0!</v>
      </c>
      <c r="U49" s="215" t="e">
        <f>SUM((SUMIF($B$4:$B$35,PO_AVG[[#This Row],[Baller]],$U$4:$U$35))/PO_AVG[[#This Row],[Games Played]])</f>
        <v>#DIV/0!</v>
      </c>
      <c r="V49" s="215" t="e">
        <f>SUM((SUMIF($B$4:$B$35,PO_AVG[[#This Row],[Baller]],$V$4:$V$35))/PO_AVG[[#This Row],[Games Played]])</f>
        <v>#DIV/0!</v>
      </c>
      <c r="W49" s="215" t="e">
        <f>SUM((SUMIF($B$4:$B$35,PO_AVG[[#This Row],[Baller]],$W$4:$W$35))/PO_AVG[[#This Row],[Games Played]])</f>
        <v>#DIV/0!</v>
      </c>
      <c r="X49" s="215" t="e">
        <f>SUM((SUMIF($B$4:$B$35,PO_AVG[[#This Row],[Baller]],$X$4:$X$35))/PO_AVG[[#This Row],[Games Played]])</f>
        <v>#DIV/0!</v>
      </c>
      <c r="Y49" s="215" t="e">
        <f>SUM((SUMIF($B$4:$B$35,PO_AVG[[#This Row],[Baller]],$Y$4:$Y$35))/PO_AVG[[#This Row],[Games Played]])</f>
        <v>#DIV/0!</v>
      </c>
      <c r="Z49" s="204" t="e">
        <f>PO_AVG[[#This Row],[Dimes]]/PO_AVG[[#This Row],[Turnovers]]</f>
        <v>#DIV/0!</v>
      </c>
    </row>
    <row r="50" spans="1:26" hidden="1" x14ac:dyDescent="0.2">
      <c r="A50" s="14" t="s">
        <v>41</v>
      </c>
      <c r="B50" t="s">
        <v>79</v>
      </c>
      <c r="C50" t="s">
        <v>132</v>
      </c>
      <c r="D50" s="86">
        <f t="shared" si="0"/>
        <v>0</v>
      </c>
      <c r="E50" s="215" t="e">
        <f>SUM((SUMIF($B$4:$B$35,PO_AVG[[#This Row],[Baller]],$E$4:$E$35))/PO_AVG[[#This Row],[Games Played]])</f>
        <v>#DIV/0!</v>
      </c>
      <c r="F50" s="215" t="e">
        <f>SUM((SUMIF($B$4:$B$35,PO_AVG[[#This Row],[Baller]],$F$4:$F$35))/PO_AVG[[#This Row],[Games Played]])</f>
        <v>#DIV/0!</v>
      </c>
      <c r="G50" s="203" t="e">
        <f>PO_AVG[[#This Row],[Total FGM]]/PO_AVG[[#This Row],[Total FGA]]</f>
        <v>#DIV/0!</v>
      </c>
      <c r="H50" s="216" t="e">
        <f>SUM((SUMIF($B$4:$B$35,PO_AVG[[#This Row],[Baller]],$H$4:$H$35))/PO_AVG[[#This Row],[Games Played]])</f>
        <v>#DIV/0!</v>
      </c>
      <c r="I50" s="92" t="e">
        <f>SUM((SUMIF($B$4:$B$35,PO_AVG[[#This Row],[Baller]],$I$4:$I$35))/PO_AVG[[#This Row],[Games Played]])</f>
        <v>#DIV/0!</v>
      </c>
      <c r="J50" s="91" t="e">
        <f>PO_AVG[[#This Row],[2PT FGM]]/PO_AVG[[#This Row],[2PT FGA]]</f>
        <v>#DIV/0!</v>
      </c>
      <c r="K50" s="92" t="e">
        <f>SUM((SUMIF($B$4:$B$35,PO_AVG[[#This Row],[Baller]],$K$4:$K$35))/PO_AVG[[#This Row],[Games Played]])</f>
        <v>#DIV/0!</v>
      </c>
      <c r="L50" s="92" t="e">
        <f>SUM((SUMIF($B$4:$B$35,PO_AVG[[#This Row],[Baller]],$L$4:$L$35))/PO_AVG[[#This Row],[Games Played]])</f>
        <v>#DIV/0!</v>
      </c>
      <c r="M50" s="91" t="e">
        <f>PO_AVG[[#This Row],[3PT FGM]]/PO_AVG[[#This Row],[3PT FGA]]</f>
        <v>#DIV/0!</v>
      </c>
      <c r="N50" s="92" t="e">
        <f>SUM((SUMIF($B$4:$B$35,PO_AVG[[#This Row],[Baller]],$N$4:$N$35))/PO_AVG[[#This Row],[Games Played]])</f>
        <v>#DIV/0!</v>
      </c>
      <c r="O50" s="92" t="e">
        <f>SUM((SUMIF($B$4:$B$35,PO_AVG[[#This Row],[Baller]],$O$4:$O$35))/PO_AVG[[#This Row],[Games Played]])</f>
        <v>#DIV/0!</v>
      </c>
      <c r="P50" s="99" t="e">
        <f>PO_AVG[[#This Row],[FTM]]/PO_AVG[[#This Row],[FTA]]</f>
        <v>#DIV/0!</v>
      </c>
      <c r="Q50" s="215" t="e">
        <f>SUM((SUMIF($B$4:$B$35,PO_AVG[[#This Row],[Baller]],$Q$4:$Q$35))/PO_AVG[[#This Row],[Games Played]])</f>
        <v>#DIV/0!</v>
      </c>
      <c r="R50" s="215" t="e">
        <f>SUM((SUMIF($B$4:$B$35,PO_AVG[[#This Row],[Baller]],$R$4:$R$35))/PO_AVG[[#This Row],[Games Played]])</f>
        <v>#DIV/0!</v>
      </c>
      <c r="S50" s="215" t="e">
        <f>SUM((SUMIF($B$4:$B$35,PO_AVG[[#This Row],[Baller]],$S$4:$S$35))/PO_AVG[[#This Row],[Games Played]])</f>
        <v>#DIV/0!</v>
      </c>
      <c r="T50" s="215" t="e">
        <f>SUM((SUMIF($B$4:$B$35,PO_AVG[[#This Row],[Baller]],$T$4:$T$35))/PO_AVG[[#This Row],[Games Played]])</f>
        <v>#DIV/0!</v>
      </c>
      <c r="U50" s="215" t="e">
        <f>SUM((SUMIF($B$4:$B$35,PO_AVG[[#This Row],[Baller]],$U$4:$U$35))/PO_AVG[[#This Row],[Games Played]])</f>
        <v>#DIV/0!</v>
      </c>
      <c r="V50" s="215" t="e">
        <f>SUM((SUMIF($B$4:$B$35,PO_AVG[[#This Row],[Baller]],$V$4:$V$35))/PO_AVG[[#This Row],[Games Played]])</f>
        <v>#DIV/0!</v>
      </c>
      <c r="W50" s="215" t="e">
        <f>SUM((SUMIF($B$4:$B$35,PO_AVG[[#This Row],[Baller]],$W$4:$W$35))/PO_AVG[[#This Row],[Games Played]])</f>
        <v>#DIV/0!</v>
      </c>
      <c r="X50" s="215" t="e">
        <f>SUM((SUMIF($B$4:$B$35,PO_AVG[[#This Row],[Baller]],$X$4:$X$35))/PO_AVG[[#This Row],[Games Played]])</f>
        <v>#DIV/0!</v>
      </c>
      <c r="Y50" s="215" t="e">
        <f>SUM((SUMIF($B$4:$B$35,PO_AVG[[#This Row],[Baller]],$Y$4:$Y$35))/PO_AVG[[#This Row],[Games Played]])</f>
        <v>#DIV/0!</v>
      </c>
      <c r="Z50" s="204" t="e">
        <f>PO_AVG[[#This Row],[Dimes]]/PO_AVG[[#This Row],[Turnovers]]</f>
        <v>#DIV/0!</v>
      </c>
    </row>
    <row r="51" spans="1:26" hidden="1" x14ac:dyDescent="0.2">
      <c r="A51" s="14" t="s">
        <v>46</v>
      </c>
      <c r="B51" t="s">
        <v>81</v>
      </c>
      <c r="C51" t="s">
        <v>132</v>
      </c>
      <c r="D51" s="86">
        <f t="shared" si="0"/>
        <v>0</v>
      </c>
      <c r="E51" s="215" t="e">
        <f>SUM((SUMIF($B$4:$B$35,PO_AVG[[#This Row],[Baller]],$E$4:$E$35))/PO_AVG[[#This Row],[Games Played]])</f>
        <v>#DIV/0!</v>
      </c>
      <c r="F51" s="215" t="e">
        <f>SUM((SUMIF($B$4:$B$35,PO_AVG[[#This Row],[Baller]],$F$4:$F$35))/PO_AVG[[#This Row],[Games Played]])</f>
        <v>#DIV/0!</v>
      </c>
      <c r="G51" s="203" t="e">
        <f>PO_AVG[[#This Row],[Total FGM]]/PO_AVG[[#This Row],[Total FGA]]</f>
        <v>#DIV/0!</v>
      </c>
      <c r="H51" s="216" t="e">
        <f>SUM((SUMIF($B$4:$B$35,PO_AVG[[#This Row],[Baller]],$H$4:$H$35))/PO_AVG[[#This Row],[Games Played]])</f>
        <v>#DIV/0!</v>
      </c>
      <c r="I51" s="92" t="e">
        <f>SUM((SUMIF($B$4:$B$35,PO_AVG[[#This Row],[Baller]],$I$4:$I$35))/PO_AVG[[#This Row],[Games Played]])</f>
        <v>#DIV/0!</v>
      </c>
      <c r="J51" s="91" t="e">
        <f>PO_AVG[[#This Row],[2PT FGM]]/PO_AVG[[#This Row],[2PT FGA]]</f>
        <v>#DIV/0!</v>
      </c>
      <c r="K51" s="92" t="e">
        <f>SUM((SUMIF($B$4:$B$35,PO_AVG[[#This Row],[Baller]],$K$4:$K$35))/PO_AVG[[#This Row],[Games Played]])</f>
        <v>#DIV/0!</v>
      </c>
      <c r="L51" s="92" t="e">
        <f>SUM((SUMIF($B$4:$B$35,PO_AVG[[#This Row],[Baller]],$L$4:$L$35))/PO_AVG[[#This Row],[Games Played]])</f>
        <v>#DIV/0!</v>
      </c>
      <c r="M51" s="91" t="e">
        <f>PO_AVG[[#This Row],[3PT FGM]]/PO_AVG[[#This Row],[3PT FGA]]</f>
        <v>#DIV/0!</v>
      </c>
      <c r="N51" s="92" t="e">
        <f>SUM((SUMIF($B$4:$B$35,PO_AVG[[#This Row],[Baller]],$N$4:$N$35))/PO_AVG[[#This Row],[Games Played]])</f>
        <v>#DIV/0!</v>
      </c>
      <c r="O51" s="92" t="e">
        <f>SUM((SUMIF($B$4:$B$35,PO_AVG[[#This Row],[Baller]],$O$4:$O$35))/PO_AVG[[#This Row],[Games Played]])</f>
        <v>#DIV/0!</v>
      </c>
      <c r="P51" s="99" t="e">
        <f>PO_AVG[[#This Row],[FTM]]/PO_AVG[[#This Row],[FTA]]</f>
        <v>#DIV/0!</v>
      </c>
      <c r="Q51" s="215" t="e">
        <f>SUM((SUMIF($B$4:$B$35,PO_AVG[[#This Row],[Baller]],$Q$4:$Q$35))/PO_AVG[[#This Row],[Games Played]])</f>
        <v>#DIV/0!</v>
      </c>
      <c r="R51" s="215" t="e">
        <f>SUM((SUMIF($B$4:$B$35,PO_AVG[[#This Row],[Baller]],$R$4:$R$35))/PO_AVG[[#This Row],[Games Played]])</f>
        <v>#DIV/0!</v>
      </c>
      <c r="S51" s="215" t="e">
        <f>SUM((SUMIF($B$4:$B$35,PO_AVG[[#This Row],[Baller]],$S$4:$S$35))/PO_AVG[[#This Row],[Games Played]])</f>
        <v>#DIV/0!</v>
      </c>
      <c r="T51" s="215" t="e">
        <f>SUM((SUMIF($B$4:$B$35,PO_AVG[[#This Row],[Baller]],$T$4:$T$35))/PO_AVG[[#This Row],[Games Played]])</f>
        <v>#DIV/0!</v>
      </c>
      <c r="U51" s="215" t="e">
        <f>SUM((SUMIF($B$4:$B$35,PO_AVG[[#This Row],[Baller]],$U$4:$U$35))/PO_AVG[[#This Row],[Games Played]])</f>
        <v>#DIV/0!</v>
      </c>
      <c r="V51" s="215" t="e">
        <f>SUM((SUMIF($B$4:$B$35,PO_AVG[[#This Row],[Baller]],$V$4:$V$35))/PO_AVG[[#This Row],[Games Played]])</f>
        <v>#DIV/0!</v>
      </c>
      <c r="W51" s="215" t="e">
        <f>SUM((SUMIF($B$4:$B$35,PO_AVG[[#This Row],[Baller]],$W$4:$W$35))/PO_AVG[[#This Row],[Games Played]])</f>
        <v>#DIV/0!</v>
      </c>
      <c r="X51" s="215" t="e">
        <f>SUM((SUMIF($B$4:$B$35,PO_AVG[[#This Row],[Baller]],$X$4:$X$35))/PO_AVG[[#This Row],[Games Played]])</f>
        <v>#DIV/0!</v>
      </c>
      <c r="Y51" s="215" t="e">
        <f>SUM((SUMIF($B$4:$B$35,PO_AVG[[#This Row],[Baller]],$Y$4:$Y$35))/PO_AVG[[#This Row],[Games Played]])</f>
        <v>#DIV/0!</v>
      </c>
      <c r="Z51" s="204" t="e">
        <f>PO_AVG[[#This Row],[Dimes]]/PO_AVG[[#This Row],[Turnovers]]</f>
        <v>#DIV/0!</v>
      </c>
    </row>
    <row r="52" spans="1:26" hidden="1" x14ac:dyDescent="0.2">
      <c r="A52" s="16" t="s">
        <v>38</v>
      </c>
      <c r="B52" t="s">
        <v>82</v>
      </c>
      <c r="C52" t="s">
        <v>132</v>
      </c>
      <c r="D52" s="86">
        <f t="shared" si="0"/>
        <v>0</v>
      </c>
      <c r="E52" s="215" t="e">
        <f>SUM((SUMIF($B$4:$B$35,PO_AVG[[#This Row],[Baller]],$E$4:$E$35))/PO_AVG[[#This Row],[Games Played]])</f>
        <v>#DIV/0!</v>
      </c>
      <c r="F52" s="215" t="e">
        <f>SUM((SUMIF($B$4:$B$35,PO_AVG[[#This Row],[Baller]],$F$4:$F$35))/PO_AVG[[#This Row],[Games Played]])</f>
        <v>#DIV/0!</v>
      </c>
      <c r="G52" s="203" t="e">
        <f>PO_AVG[[#This Row],[Total FGM]]/PO_AVG[[#This Row],[Total FGA]]</f>
        <v>#DIV/0!</v>
      </c>
      <c r="H52" s="216" t="e">
        <f>SUM((SUMIF($B$4:$B$35,PO_AVG[[#This Row],[Baller]],$H$4:$H$35))/PO_AVG[[#This Row],[Games Played]])</f>
        <v>#DIV/0!</v>
      </c>
      <c r="I52" s="92" t="e">
        <f>SUM((SUMIF($B$4:$B$35,PO_AVG[[#This Row],[Baller]],$I$4:$I$35))/PO_AVG[[#This Row],[Games Played]])</f>
        <v>#DIV/0!</v>
      </c>
      <c r="J52" s="91" t="e">
        <f>PO_AVG[[#This Row],[2PT FGM]]/PO_AVG[[#This Row],[2PT FGA]]</f>
        <v>#DIV/0!</v>
      </c>
      <c r="K52" s="92" t="e">
        <f>SUM((SUMIF($B$4:$B$35,PO_AVG[[#This Row],[Baller]],$K$4:$K$35))/PO_AVG[[#This Row],[Games Played]])</f>
        <v>#DIV/0!</v>
      </c>
      <c r="L52" s="92" t="e">
        <f>SUM((SUMIF($B$4:$B$35,PO_AVG[[#This Row],[Baller]],$L$4:$L$35))/PO_AVG[[#This Row],[Games Played]])</f>
        <v>#DIV/0!</v>
      </c>
      <c r="M52" s="91" t="e">
        <f>PO_AVG[[#This Row],[3PT FGM]]/PO_AVG[[#This Row],[3PT FGA]]</f>
        <v>#DIV/0!</v>
      </c>
      <c r="N52" s="92" t="e">
        <f>SUM((SUMIF($B$4:$B$35,PO_AVG[[#This Row],[Baller]],$N$4:$N$35))/PO_AVG[[#This Row],[Games Played]])</f>
        <v>#DIV/0!</v>
      </c>
      <c r="O52" s="92" t="e">
        <f>SUM((SUMIF($B$4:$B$35,PO_AVG[[#This Row],[Baller]],$O$4:$O$35))/PO_AVG[[#This Row],[Games Played]])</f>
        <v>#DIV/0!</v>
      </c>
      <c r="P52" s="99" t="e">
        <f>PO_AVG[[#This Row],[FTM]]/PO_AVG[[#This Row],[FTA]]</f>
        <v>#DIV/0!</v>
      </c>
      <c r="Q52" s="215" t="e">
        <f>SUM((SUMIF($B$4:$B$35,PO_AVG[[#This Row],[Baller]],$Q$4:$Q$35))/PO_AVG[[#This Row],[Games Played]])</f>
        <v>#DIV/0!</v>
      </c>
      <c r="R52" s="215" t="e">
        <f>SUM((SUMIF($B$4:$B$35,PO_AVG[[#This Row],[Baller]],$R$4:$R$35))/PO_AVG[[#This Row],[Games Played]])</f>
        <v>#DIV/0!</v>
      </c>
      <c r="S52" s="215" t="e">
        <f>SUM((SUMIF($B$4:$B$35,PO_AVG[[#This Row],[Baller]],$S$4:$S$35))/PO_AVG[[#This Row],[Games Played]])</f>
        <v>#DIV/0!</v>
      </c>
      <c r="T52" s="215" t="e">
        <f>SUM((SUMIF($B$4:$B$35,PO_AVG[[#This Row],[Baller]],$T$4:$T$35))/PO_AVG[[#This Row],[Games Played]])</f>
        <v>#DIV/0!</v>
      </c>
      <c r="U52" s="215" t="e">
        <f>SUM((SUMIF($B$4:$B$35,PO_AVG[[#This Row],[Baller]],$U$4:$U$35))/PO_AVG[[#This Row],[Games Played]])</f>
        <v>#DIV/0!</v>
      </c>
      <c r="V52" s="215" t="e">
        <f>SUM((SUMIF($B$4:$B$35,PO_AVG[[#This Row],[Baller]],$V$4:$V$35))/PO_AVG[[#This Row],[Games Played]])</f>
        <v>#DIV/0!</v>
      </c>
      <c r="W52" s="215" t="e">
        <f>SUM((SUMIF($B$4:$B$35,PO_AVG[[#This Row],[Baller]],$W$4:$W$35))/PO_AVG[[#This Row],[Games Played]])</f>
        <v>#DIV/0!</v>
      </c>
      <c r="X52" s="215" t="e">
        <f>SUM((SUMIF($B$4:$B$35,PO_AVG[[#This Row],[Baller]],$X$4:$X$35))/PO_AVG[[#This Row],[Games Played]])</f>
        <v>#DIV/0!</v>
      </c>
      <c r="Y52" s="215" t="e">
        <f>SUM((SUMIF($B$4:$B$35,PO_AVG[[#This Row],[Baller]],$Y$4:$Y$35))/PO_AVG[[#This Row],[Games Played]])</f>
        <v>#DIV/0!</v>
      </c>
      <c r="Z52" s="204" t="e">
        <f>PO_AVG[[#This Row],[Dimes]]/PO_AVG[[#This Row],[Turnovers]]</f>
        <v>#DIV/0!</v>
      </c>
    </row>
    <row r="53" spans="1:26" hidden="1" x14ac:dyDescent="0.2">
      <c r="A53" s="14" t="s">
        <v>31</v>
      </c>
      <c r="B53" t="s">
        <v>84</v>
      </c>
      <c r="C53" t="s">
        <v>132</v>
      </c>
      <c r="D53" s="86">
        <f t="shared" si="0"/>
        <v>0</v>
      </c>
      <c r="E53" s="215" t="e">
        <f>SUM((SUMIF($B$4:$B$35,PO_AVG[[#This Row],[Baller]],$E$4:$E$35))/PO_AVG[[#This Row],[Games Played]])</f>
        <v>#DIV/0!</v>
      </c>
      <c r="F53" s="215" t="e">
        <f>SUM((SUMIF($B$4:$B$35,PO_AVG[[#This Row],[Baller]],$F$4:$F$35))/PO_AVG[[#This Row],[Games Played]])</f>
        <v>#DIV/0!</v>
      </c>
      <c r="G53" s="203" t="e">
        <f>PO_AVG[[#This Row],[Total FGM]]/PO_AVG[[#This Row],[Total FGA]]</f>
        <v>#DIV/0!</v>
      </c>
      <c r="H53" s="216" t="e">
        <f>SUM((SUMIF($B$4:$B$35,PO_AVG[[#This Row],[Baller]],$H$4:$H$35))/PO_AVG[[#This Row],[Games Played]])</f>
        <v>#DIV/0!</v>
      </c>
      <c r="I53" s="92" t="e">
        <f>SUM((SUMIF($B$4:$B$35,PO_AVG[[#This Row],[Baller]],$I$4:$I$35))/PO_AVG[[#This Row],[Games Played]])</f>
        <v>#DIV/0!</v>
      </c>
      <c r="J53" s="91" t="e">
        <f>PO_AVG[[#This Row],[2PT FGM]]/PO_AVG[[#This Row],[2PT FGA]]</f>
        <v>#DIV/0!</v>
      </c>
      <c r="K53" s="92" t="e">
        <f>SUM((SUMIF($B$4:$B$35,PO_AVG[[#This Row],[Baller]],$K$4:$K$35))/PO_AVG[[#This Row],[Games Played]])</f>
        <v>#DIV/0!</v>
      </c>
      <c r="L53" s="92" t="e">
        <f>SUM((SUMIF($B$4:$B$35,PO_AVG[[#This Row],[Baller]],$L$4:$L$35))/PO_AVG[[#This Row],[Games Played]])</f>
        <v>#DIV/0!</v>
      </c>
      <c r="M53" s="91" t="e">
        <f>PO_AVG[[#This Row],[3PT FGM]]/PO_AVG[[#This Row],[3PT FGA]]</f>
        <v>#DIV/0!</v>
      </c>
      <c r="N53" s="92" t="e">
        <f>SUM((SUMIF($B$4:$B$35,PO_AVG[[#This Row],[Baller]],$N$4:$N$35))/PO_AVG[[#This Row],[Games Played]])</f>
        <v>#DIV/0!</v>
      </c>
      <c r="O53" s="92" t="e">
        <f>SUM((SUMIF($B$4:$B$35,PO_AVG[[#This Row],[Baller]],$O$4:$O$35))/PO_AVG[[#This Row],[Games Played]])</f>
        <v>#DIV/0!</v>
      </c>
      <c r="P53" s="99" t="e">
        <f>PO_AVG[[#This Row],[FTM]]/PO_AVG[[#This Row],[FTA]]</f>
        <v>#DIV/0!</v>
      </c>
      <c r="Q53" s="215" t="e">
        <f>SUM((SUMIF($B$4:$B$35,PO_AVG[[#This Row],[Baller]],$Q$4:$Q$35))/PO_AVG[[#This Row],[Games Played]])</f>
        <v>#DIV/0!</v>
      </c>
      <c r="R53" s="215" t="e">
        <f>SUM((SUMIF($B$4:$B$35,PO_AVG[[#This Row],[Baller]],$R$4:$R$35))/PO_AVG[[#This Row],[Games Played]])</f>
        <v>#DIV/0!</v>
      </c>
      <c r="S53" s="215" t="e">
        <f>SUM((SUMIF($B$4:$B$35,PO_AVG[[#This Row],[Baller]],$S$4:$S$35))/PO_AVG[[#This Row],[Games Played]])</f>
        <v>#DIV/0!</v>
      </c>
      <c r="T53" s="215" t="e">
        <f>SUM((SUMIF($B$4:$B$35,PO_AVG[[#This Row],[Baller]],$T$4:$T$35))/PO_AVG[[#This Row],[Games Played]])</f>
        <v>#DIV/0!</v>
      </c>
      <c r="U53" s="215" t="e">
        <f>SUM((SUMIF($B$4:$B$35,PO_AVG[[#This Row],[Baller]],$U$4:$U$35))/PO_AVG[[#This Row],[Games Played]])</f>
        <v>#DIV/0!</v>
      </c>
      <c r="V53" s="215" t="e">
        <f>SUM((SUMIF($B$4:$B$35,PO_AVG[[#This Row],[Baller]],$V$4:$V$35))/PO_AVG[[#This Row],[Games Played]])</f>
        <v>#DIV/0!</v>
      </c>
      <c r="W53" s="215" t="e">
        <f>SUM((SUMIF($B$4:$B$35,PO_AVG[[#This Row],[Baller]],$W$4:$W$35))/PO_AVG[[#This Row],[Games Played]])</f>
        <v>#DIV/0!</v>
      </c>
      <c r="X53" s="215" t="e">
        <f>SUM((SUMIF($B$4:$B$35,PO_AVG[[#This Row],[Baller]],$X$4:$X$35))/PO_AVG[[#This Row],[Games Played]])</f>
        <v>#DIV/0!</v>
      </c>
      <c r="Y53" s="215" t="e">
        <f>SUM((SUMIF($B$4:$B$35,PO_AVG[[#This Row],[Baller]],$Y$4:$Y$35))/PO_AVG[[#This Row],[Games Played]])</f>
        <v>#DIV/0!</v>
      </c>
      <c r="Z53" s="204" t="e">
        <f>PO_AVG[[#This Row],[Dimes]]/PO_AVG[[#This Row],[Turnovers]]</f>
        <v>#DIV/0!</v>
      </c>
    </row>
    <row r="54" spans="1:26" hidden="1" x14ac:dyDescent="0.2">
      <c r="A54" s="14" t="s">
        <v>57</v>
      </c>
      <c r="B54" t="s">
        <v>86</v>
      </c>
      <c r="C54" t="s">
        <v>132</v>
      </c>
      <c r="D54" s="86">
        <f t="shared" si="0"/>
        <v>0</v>
      </c>
      <c r="E54" s="215" t="e">
        <f>SUM((SUMIF($B$4:$B$35,PO_AVG[[#This Row],[Baller]],$E$4:$E$35))/PO_AVG[[#This Row],[Games Played]])</f>
        <v>#DIV/0!</v>
      </c>
      <c r="F54" s="215" t="e">
        <f>SUM((SUMIF($B$4:$B$35,PO_AVG[[#This Row],[Baller]],$F$4:$F$35))/PO_AVG[[#This Row],[Games Played]])</f>
        <v>#DIV/0!</v>
      </c>
      <c r="G54" s="203" t="e">
        <f>PO_AVG[[#This Row],[Total FGM]]/PO_AVG[[#This Row],[Total FGA]]</f>
        <v>#DIV/0!</v>
      </c>
      <c r="H54" s="216" t="e">
        <f>SUM((SUMIF($B$4:$B$35,PO_AVG[[#This Row],[Baller]],$H$4:$H$35))/PO_AVG[[#This Row],[Games Played]])</f>
        <v>#DIV/0!</v>
      </c>
      <c r="I54" s="92" t="e">
        <f>SUM((SUMIF($B$4:$B$35,PO_AVG[[#This Row],[Baller]],$I$4:$I$35))/PO_AVG[[#This Row],[Games Played]])</f>
        <v>#DIV/0!</v>
      </c>
      <c r="J54" s="91" t="e">
        <f>PO_AVG[[#This Row],[2PT FGM]]/PO_AVG[[#This Row],[2PT FGA]]</f>
        <v>#DIV/0!</v>
      </c>
      <c r="K54" s="92" t="e">
        <f>SUM((SUMIF($B$4:$B$35,PO_AVG[[#This Row],[Baller]],$K$4:$K$35))/PO_AVG[[#This Row],[Games Played]])</f>
        <v>#DIV/0!</v>
      </c>
      <c r="L54" s="92" t="e">
        <f>SUM((SUMIF($B$4:$B$35,PO_AVG[[#This Row],[Baller]],$L$4:$L$35))/PO_AVG[[#This Row],[Games Played]])</f>
        <v>#DIV/0!</v>
      </c>
      <c r="M54" s="91" t="e">
        <f>PO_AVG[[#This Row],[3PT FGM]]/PO_AVG[[#This Row],[3PT FGA]]</f>
        <v>#DIV/0!</v>
      </c>
      <c r="N54" s="92" t="e">
        <f>SUM((SUMIF($B$4:$B$35,PO_AVG[[#This Row],[Baller]],$N$4:$N$35))/PO_AVG[[#This Row],[Games Played]])</f>
        <v>#DIV/0!</v>
      </c>
      <c r="O54" s="92" t="e">
        <f>SUM((SUMIF($B$4:$B$35,PO_AVG[[#This Row],[Baller]],$O$4:$O$35))/PO_AVG[[#This Row],[Games Played]])</f>
        <v>#DIV/0!</v>
      </c>
      <c r="P54" s="99" t="e">
        <f>PO_AVG[[#This Row],[FTM]]/PO_AVG[[#This Row],[FTA]]</f>
        <v>#DIV/0!</v>
      </c>
      <c r="Q54" s="215" t="e">
        <f>SUM((SUMIF($B$4:$B$35,PO_AVG[[#This Row],[Baller]],$Q$4:$Q$35))/PO_AVG[[#This Row],[Games Played]])</f>
        <v>#DIV/0!</v>
      </c>
      <c r="R54" s="215" t="e">
        <f>SUM((SUMIF($B$4:$B$35,PO_AVG[[#This Row],[Baller]],$R$4:$R$35))/PO_AVG[[#This Row],[Games Played]])</f>
        <v>#DIV/0!</v>
      </c>
      <c r="S54" s="215" t="e">
        <f>SUM((SUMIF($B$4:$B$35,PO_AVG[[#This Row],[Baller]],$S$4:$S$35))/PO_AVG[[#This Row],[Games Played]])</f>
        <v>#DIV/0!</v>
      </c>
      <c r="T54" s="215" t="e">
        <f>SUM((SUMIF($B$4:$B$35,PO_AVG[[#This Row],[Baller]],$T$4:$T$35))/PO_AVG[[#This Row],[Games Played]])</f>
        <v>#DIV/0!</v>
      </c>
      <c r="U54" s="215" t="e">
        <f>SUM((SUMIF($B$4:$B$35,PO_AVG[[#This Row],[Baller]],$U$4:$U$35))/PO_AVG[[#This Row],[Games Played]])</f>
        <v>#DIV/0!</v>
      </c>
      <c r="V54" s="215" t="e">
        <f>SUM((SUMIF($B$4:$B$35,PO_AVG[[#This Row],[Baller]],$V$4:$V$35))/PO_AVG[[#This Row],[Games Played]])</f>
        <v>#DIV/0!</v>
      </c>
      <c r="W54" s="215" t="e">
        <f>SUM((SUMIF($B$4:$B$35,PO_AVG[[#This Row],[Baller]],$W$4:$W$35))/PO_AVG[[#This Row],[Games Played]])</f>
        <v>#DIV/0!</v>
      </c>
      <c r="X54" s="215" t="e">
        <f>SUM((SUMIF($B$4:$B$35,PO_AVG[[#This Row],[Baller]],$X$4:$X$35))/PO_AVG[[#This Row],[Games Played]])</f>
        <v>#DIV/0!</v>
      </c>
      <c r="Y54" s="215" t="e">
        <f>SUM((SUMIF($B$4:$B$35,PO_AVG[[#This Row],[Baller]],$Y$4:$Y$35))/PO_AVG[[#This Row],[Games Played]])</f>
        <v>#DIV/0!</v>
      </c>
      <c r="Z54" s="204" t="e">
        <f>PO_AVG[[#This Row],[Dimes]]/PO_AVG[[#This Row],[Turnovers]]</f>
        <v>#DIV/0!</v>
      </c>
    </row>
    <row r="55" spans="1:26" hidden="1" x14ac:dyDescent="0.2">
      <c r="A55" s="14" t="s">
        <v>54</v>
      </c>
      <c r="B55" t="s">
        <v>87</v>
      </c>
      <c r="C55" t="s">
        <v>132</v>
      </c>
      <c r="D55" s="86">
        <f t="shared" si="0"/>
        <v>0</v>
      </c>
      <c r="E55" s="215" t="e">
        <f>SUM((SUMIF($B$4:$B$35,PO_AVG[[#This Row],[Baller]],$E$4:$E$35))/PO_AVG[[#This Row],[Games Played]])</f>
        <v>#DIV/0!</v>
      </c>
      <c r="F55" s="215" t="e">
        <f>SUM((SUMIF($B$4:$B$35,PO_AVG[[#This Row],[Baller]],$F$4:$F$35))/PO_AVG[[#This Row],[Games Played]])</f>
        <v>#DIV/0!</v>
      </c>
      <c r="G55" s="203" t="e">
        <f>PO_AVG[[#This Row],[Total FGM]]/PO_AVG[[#This Row],[Total FGA]]</f>
        <v>#DIV/0!</v>
      </c>
      <c r="H55" s="216" t="e">
        <f>SUM((SUMIF($B$4:$B$35,PO_AVG[[#This Row],[Baller]],$H$4:$H$35))/PO_AVG[[#This Row],[Games Played]])</f>
        <v>#DIV/0!</v>
      </c>
      <c r="I55" s="92" t="e">
        <f>SUM((SUMIF($B$4:$B$35,PO_AVG[[#This Row],[Baller]],$I$4:$I$35))/PO_AVG[[#This Row],[Games Played]])</f>
        <v>#DIV/0!</v>
      </c>
      <c r="J55" s="91" t="e">
        <f>PO_AVG[[#This Row],[2PT FGM]]/PO_AVG[[#This Row],[2PT FGA]]</f>
        <v>#DIV/0!</v>
      </c>
      <c r="K55" s="92" t="e">
        <f>SUM((SUMIF($B$4:$B$35,PO_AVG[[#This Row],[Baller]],$K$4:$K$35))/PO_AVG[[#This Row],[Games Played]])</f>
        <v>#DIV/0!</v>
      </c>
      <c r="L55" s="92" t="e">
        <f>SUM((SUMIF($B$4:$B$35,PO_AVG[[#This Row],[Baller]],$L$4:$L$35))/PO_AVG[[#This Row],[Games Played]])</f>
        <v>#DIV/0!</v>
      </c>
      <c r="M55" s="91" t="e">
        <f>PO_AVG[[#This Row],[3PT FGM]]/PO_AVG[[#This Row],[3PT FGA]]</f>
        <v>#DIV/0!</v>
      </c>
      <c r="N55" s="92" t="e">
        <f>SUM((SUMIF($B$4:$B$35,PO_AVG[[#This Row],[Baller]],$N$4:$N$35))/PO_AVG[[#This Row],[Games Played]])</f>
        <v>#DIV/0!</v>
      </c>
      <c r="O55" s="92" t="e">
        <f>SUM((SUMIF($B$4:$B$35,PO_AVG[[#This Row],[Baller]],$O$4:$O$35))/PO_AVG[[#This Row],[Games Played]])</f>
        <v>#DIV/0!</v>
      </c>
      <c r="P55" s="99" t="e">
        <f>PO_AVG[[#This Row],[FTM]]/PO_AVG[[#This Row],[FTA]]</f>
        <v>#DIV/0!</v>
      </c>
      <c r="Q55" s="215" t="e">
        <f>SUM((SUMIF($B$4:$B$35,PO_AVG[[#This Row],[Baller]],$Q$4:$Q$35))/PO_AVG[[#This Row],[Games Played]])</f>
        <v>#DIV/0!</v>
      </c>
      <c r="R55" s="215" t="e">
        <f>SUM((SUMIF($B$4:$B$35,PO_AVG[[#This Row],[Baller]],$R$4:$R$35))/PO_AVG[[#This Row],[Games Played]])</f>
        <v>#DIV/0!</v>
      </c>
      <c r="S55" s="215" t="e">
        <f>SUM((SUMIF($B$4:$B$35,PO_AVG[[#This Row],[Baller]],$S$4:$S$35))/PO_AVG[[#This Row],[Games Played]])</f>
        <v>#DIV/0!</v>
      </c>
      <c r="T55" s="215" t="e">
        <f>SUM((SUMIF($B$4:$B$35,PO_AVG[[#This Row],[Baller]],$T$4:$T$35))/PO_AVG[[#This Row],[Games Played]])</f>
        <v>#DIV/0!</v>
      </c>
      <c r="U55" s="215" t="e">
        <f>SUM((SUMIF($B$4:$B$35,PO_AVG[[#This Row],[Baller]],$U$4:$U$35))/PO_AVG[[#This Row],[Games Played]])</f>
        <v>#DIV/0!</v>
      </c>
      <c r="V55" s="215" t="e">
        <f>SUM((SUMIF($B$4:$B$35,PO_AVG[[#This Row],[Baller]],$V$4:$V$35))/PO_AVG[[#This Row],[Games Played]])</f>
        <v>#DIV/0!</v>
      </c>
      <c r="W55" s="215" t="e">
        <f>SUM((SUMIF($B$4:$B$35,PO_AVG[[#This Row],[Baller]],$W$4:$W$35))/PO_AVG[[#This Row],[Games Played]])</f>
        <v>#DIV/0!</v>
      </c>
      <c r="X55" s="215" t="e">
        <f>SUM((SUMIF($B$4:$B$35,PO_AVG[[#This Row],[Baller]],$X$4:$X$35))/PO_AVG[[#This Row],[Games Played]])</f>
        <v>#DIV/0!</v>
      </c>
      <c r="Y55" s="215" t="e">
        <f>SUM((SUMIF($B$4:$B$35,PO_AVG[[#This Row],[Baller]],$Y$4:$Y$35))/PO_AVG[[#This Row],[Games Played]])</f>
        <v>#DIV/0!</v>
      </c>
      <c r="Z55" s="204" t="e">
        <f>PO_AVG[[#This Row],[Dimes]]/PO_AVG[[#This Row],[Turnovers]]</f>
        <v>#DIV/0!</v>
      </c>
    </row>
    <row r="56" spans="1:26" hidden="1" x14ac:dyDescent="0.2">
      <c r="A56" s="14" t="s">
        <v>39</v>
      </c>
      <c r="B56" t="s">
        <v>89</v>
      </c>
      <c r="C56" t="s">
        <v>132</v>
      </c>
      <c r="D56" s="86">
        <f t="shared" si="0"/>
        <v>0</v>
      </c>
      <c r="E56" s="215" t="e">
        <f>SUM((SUMIF($B$4:$B$35,PO_AVG[[#This Row],[Baller]],$E$4:$E$35))/PO_AVG[[#This Row],[Games Played]])</f>
        <v>#DIV/0!</v>
      </c>
      <c r="F56" s="215" t="e">
        <f>SUM((SUMIF($B$4:$B$35,PO_AVG[[#This Row],[Baller]],$F$4:$F$35))/PO_AVG[[#This Row],[Games Played]])</f>
        <v>#DIV/0!</v>
      </c>
      <c r="G56" s="203" t="e">
        <f>PO_AVG[[#This Row],[Total FGM]]/PO_AVG[[#This Row],[Total FGA]]</f>
        <v>#DIV/0!</v>
      </c>
      <c r="H56" s="216" t="e">
        <f>SUM((SUMIF($B$4:$B$35,PO_AVG[[#This Row],[Baller]],$H$4:$H$35))/PO_AVG[[#This Row],[Games Played]])</f>
        <v>#DIV/0!</v>
      </c>
      <c r="I56" s="92" t="e">
        <f>SUM((SUMIF($B$4:$B$35,PO_AVG[[#This Row],[Baller]],$I$4:$I$35))/PO_AVG[[#This Row],[Games Played]])</f>
        <v>#DIV/0!</v>
      </c>
      <c r="J56" s="91" t="e">
        <f>PO_AVG[[#This Row],[2PT FGM]]/PO_AVG[[#This Row],[2PT FGA]]</f>
        <v>#DIV/0!</v>
      </c>
      <c r="K56" s="92" t="e">
        <f>SUM((SUMIF($B$4:$B$35,PO_AVG[[#This Row],[Baller]],$K$4:$K$35))/PO_AVG[[#This Row],[Games Played]])</f>
        <v>#DIV/0!</v>
      </c>
      <c r="L56" s="92" t="e">
        <f>SUM((SUMIF($B$4:$B$35,PO_AVG[[#This Row],[Baller]],$L$4:$L$35))/PO_AVG[[#This Row],[Games Played]])</f>
        <v>#DIV/0!</v>
      </c>
      <c r="M56" s="91" t="e">
        <f>PO_AVG[[#This Row],[3PT FGM]]/PO_AVG[[#This Row],[3PT FGA]]</f>
        <v>#DIV/0!</v>
      </c>
      <c r="N56" s="92" t="e">
        <f>SUM((SUMIF($B$4:$B$35,PO_AVG[[#This Row],[Baller]],$N$4:$N$35))/PO_AVG[[#This Row],[Games Played]])</f>
        <v>#DIV/0!</v>
      </c>
      <c r="O56" s="92" t="e">
        <f>SUM((SUMIF($B$4:$B$35,PO_AVG[[#This Row],[Baller]],$O$4:$O$35))/PO_AVG[[#This Row],[Games Played]])</f>
        <v>#DIV/0!</v>
      </c>
      <c r="P56" s="99" t="e">
        <f>PO_AVG[[#This Row],[FTM]]/PO_AVG[[#This Row],[FTA]]</f>
        <v>#DIV/0!</v>
      </c>
      <c r="Q56" s="215" t="e">
        <f>SUM((SUMIF($B$4:$B$35,PO_AVG[[#This Row],[Baller]],$Q$4:$Q$35))/PO_AVG[[#This Row],[Games Played]])</f>
        <v>#DIV/0!</v>
      </c>
      <c r="R56" s="215" t="e">
        <f>SUM((SUMIF($B$4:$B$35,PO_AVG[[#This Row],[Baller]],$R$4:$R$35))/PO_AVG[[#This Row],[Games Played]])</f>
        <v>#DIV/0!</v>
      </c>
      <c r="S56" s="215" t="e">
        <f>SUM((SUMIF($B$4:$B$35,PO_AVG[[#This Row],[Baller]],$S$4:$S$35))/PO_AVG[[#This Row],[Games Played]])</f>
        <v>#DIV/0!</v>
      </c>
      <c r="T56" s="215" t="e">
        <f>SUM((SUMIF($B$4:$B$35,PO_AVG[[#This Row],[Baller]],$T$4:$T$35))/PO_AVG[[#This Row],[Games Played]])</f>
        <v>#DIV/0!</v>
      </c>
      <c r="U56" s="215" t="e">
        <f>SUM((SUMIF($B$4:$B$35,PO_AVG[[#This Row],[Baller]],$U$4:$U$35))/PO_AVG[[#This Row],[Games Played]])</f>
        <v>#DIV/0!</v>
      </c>
      <c r="V56" s="215" t="e">
        <f>SUM((SUMIF($B$4:$B$35,PO_AVG[[#This Row],[Baller]],$V$4:$V$35))/PO_AVG[[#This Row],[Games Played]])</f>
        <v>#DIV/0!</v>
      </c>
      <c r="W56" s="215" t="e">
        <f>SUM((SUMIF($B$4:$B$35,PO_AVG[[#This Row],[Baller]],$W$4:$W$35))/PO_AVG[[#This Row],[Games Played]])</f>
        <v>#DIV/0!</v>
      </c>
      <c r="X56" s="215" t="e">
        <f>SUM((SUMIF($B$4:$B$35,PO_AVG[[#This Row],[Baller]],$X$4:$X$35))/PO_AVG[[#This Row],[Games Played]])</f>
        <v>#DIV/0!</v>
      </c>
      <c r="Y56" s="215" t="e">
        <f>SUM((SUMIF($B$4:$B$35,PO_AVG[[#This Row],[Baller]],$Y$4:$Y$35))/PO_AVG[[#This Row],[Games Played]])</f>
        <v>#DIV/0!</v>
      </c>
      <c r="Z56" s="204" t="e">
        <f>PO_AVG[[#This Row],[Dimes]]/PO_AVG[[#This Row],[Turnovers]]</f>
        <v>#DIV/0!</v>
      </c>
    </row>
    <row r="57" spans="1:26" hidden="1" x14ac:dyDescent="0.2">
      <c r="A57" s="14" t="s">
        <v>28</v>
      </c>
      <c r="B57" t="s">
        <v>92</v>
      </c>
      <c r="C57" t="s">
        <v>132</v>
      </c>
      <c r="D57" s="86">
        <f t="shared" si="0"/>
        <v>0</v>
      </c>
      <c r="E57" s="215" t="e">
        <f>SUM((SUMIF($B$4:$B$35,PO_AVG[[#This Row],[Baller]],$E$4:$E$35))/PO_AVG[[#This Row],[Games Played]])</f>
        <v>#DIV/0!</v>
      </c>
      <c r="F57" s="215" t="e">
        <f>SUM((SUMIF($B$4:$B$35,PO_AVG[[#This Row],[Baller]],$F$4:$F$35))/PO_AVG[[#This Row],[Games Played]])</f>
        <v>#DIV/0!</v>
      </c>
      <c r="G57" s="203" t="e">
        <f>PO_AVG[[#This Row],[Total FGM]]/PO_AVG[[#This Row],[Total FGA]]</f>
        <v>#DIV/0!</v>
      </c>
      <c r="H57" s="216" t="e">
        <f>SUM((SUMIF($B$4:$B$35,PO_AVG[[#This Row],[Baller]],$H$4:$H$35))/PO_AVG[[#This Row],[Games Played]])</f>
        <v>#DIV/0!</v>
      </c>
      <c r="I57" s="92" t="e">
        <f>SUM((SUMIF($B$4:$B$35,PO_AVG[[#This Row],[Baller]],$I$4:$I$35))/PO_AVG[[#This Row],[Games Played]])</f>
        <v>#DIV/0!</v>
      </c>
      <c r="J57" s="91" t="e">
        <f>PO_AVG[[#This Row],[2PT FGM]]/PO_AVG[[#This Row],[2PT FGA]]</f>
        <v>#DIV/0!</v>
      </c>
      <c r="K57" s="92" t="e">
        <f>SUM((SUMIF($B$4:$B$35,PO_AVG[[#This Row],[Baller]],$K$4:$K$35))/PO_AVG[[#This Row],[Games Played]])</f>
        <v>#DIV/0!</v>
      </c>
      <c r="L57" s="92" t="e">
        <f>SUM((SUMIF($B$4:$B$35,PO_AVG[[#This Row],[Baller]],$L$4:$L$35))/PO_AVG[[#This Row],[Games Played]])</f>
        <v>#DIV/0!</v>
      </c>
      <c r="M57" s="91" t="e">
        <f>PO_AVG[[#This Row],[3PT FGM]]/PO_AVG[[#This Row],[3PT FGA]]</f>
        <v>#DIV/0!</v>
      </c>
      <c r="N57" s="92" t="e">
        <f>SUM((SUMIF($B$4:$B$35,PO_AVG[[#This Row],[Baller]],$N$4:$N$35))/PO_AVG[[#This Row],[Games Played]])</f>
        <v>#DIV/0!</v>
      </c>
      <c r="O57" s="92" t="e">
        <f>SUM((SUMIF($B$4:$B$35,PO_AVG[[#This Row],[Baller]],$O$4:$O$35))/PO_AVG[[#This Row],[Games Played]])</f>
        <v>#DIV/0!</v>
      </c>
      <c r="P57" s="99" t="e">
        <f>PO_AVG[[#This Row],[FTM]]/PO_AVG[[#This Row],[FTA]]</f>
        <v>#DIV/0!</v>
      </c>
      <c r="Q57" s="215" t="e">
        <f>SUM((SUMIF($B$4:$B$35,PO_AVG[[#This Row],[Baller]],$Q$4:$Q$35))/PO_AVG[[#This Row],[Games Played]])</f>
        <v>#DIV/0!</v>
      </c>
      <c r="R57" s="215" t="e">
        <f>SUM((SUMIF($B$4:$B$35,PO_AVG[[#This Row],[Baller]],$R$4:$R$35))/PO_AVG[[#This Row],[Games Played]])</f>
        <v>#DIV/0!</v>
      </c>
      <c r="S57" s="215" t="e">
        <f>SUM((SUMIF($B$4:$B$35,PO_AVG[[#This Row],[Baller]],$S$4:$S$35))/PO_AVG[[#This Row],[Games Played]])</f>
        <v>#DIV/0!</v>
      </c>
      <c r="T57" s="215" t="e">
        <f>SUM((SUMIF($B$4:$B$35,PO_AVG[[#This Row],[Baller]],$T$4:$T$35))/PO_AVG[[#This Row],[Games Played]])</f>
        <v>#DIV/0!</v>
      </c>
      <c r="U57" s="215" t="e">
        <f>SUM((SUMIF($B$4:$B$35,PO_AVG[[#This Row],[Baller]],$U$4:$U$35))/PO_AVG[[#This Row],[Games Played]])</f>
        <v>#DIV/0!</v>
      </c>
      <c r="V57" s="215" t="e">
        <f>SUM((SUMIF($B$4:$B$35,PO_AVG[[#This Row],[Baller]],$V$4:$V$35))/PO_AVG[[#This Row],[Games Played]])</f>
        <v>#DIV/0!</v>
      </c>
      <c r="W57" s="215" t="e">
        <f>SUM((SUMIF($B$4:$B$35,PO_AVG[[#This Row],[Baller]],$W$4:$W$35))/PO_AVG[[#This Row],[Games Played]])</f>
        <v>#DIV/0!</v>
      </c>
      <c r="X57" s="215" t="e">
        <f>SUM((SUMIF($B$4:$B$35,PO_AVG[[#This Row],[Baller]],$X$4:$X$35))/PO_AVG[[#This Row],[Games Played]])</f>
        <v>#DIV/0!</v>
      </c>
      <c r="Y57" s="215" t="e">
        <f>SUM((SUMIF($B$4:$B$35,PO_AVG[[#This Row],[Baller]],$Y$4:$Y$35))/PO_AVG[[#This Row],[Games Played]])</f>
        <v>#DIV/0!</v>
      </c>
      <c r="Z57" s="204" t="e">
        <f>PO_AVG[[#This Row],[Dimes]]/PO_AVG[[#This Row],[Turnovers]]</f>
        <v>#DIV/0!</v>
      </c>
    </row>
    <row r="58" spans="1:26" hidden="1" x14ac:dyDescent="0.2">
      <c r="A58" s="14" t="s">
        <v>50</v>
      </c>
      <c r="B58" t="s">
        <v>93</v>
      </c>
      <c r="C58" t="s">
        <v>132</v>
      </c>
      <c r="D58" s="86">
        <f t="shared" si="0"/>
        <v>0</v>
      </c>
      <c r="E58" s="215" t="e">
        <f>SUM((SUMIF($B$4:$B$35,PO_AVG[[#This Row],[Baller]],$E$4:$E$35))/PO_AVG[[#This Row],[Games Played]])</f>
        <v>#DIV/0!</v>
      </c>
      <c r="F58" s="215" t="e">
        <f>SUM((SUMIF($B$4:$B$35,PO_AVG[[#This Row],[Baller]],$F$4:$F$35))/PO_AVG[[#This Row],[Games Played]])</f>
        <v>#DIV/0!</v>
      </c>
      <c r="G58" s="203" t="e">
        <f>PO_AVG[[#This Row],[Total FGM]]/PO_AVG[[#This Row],[Total FGA]]</f>
        <v>#DIV/0!</v>
      </c>
      <c r="H58" s="216" t="e">
        <f>SUM((SUMIF($B$4:$B$35,PO_AVG[[#This Row],[Baller]],$H$4:$H$35))/PO_AVG[[#This Row],[Games Played]])</f>
        <v>#DIV/0!</v>
      </c>
      <c r="I58" s="92" t="e">
        <f>SUM((SUMIF($B$4:$B$35,PO_AVG[[#This Row],[Baller]],$I$4:$I$35))/PO_AVG[[#This Row],[Games Played]])</f>
        <v>#DIV/0!</v>
      </c>
      <c r="J58" s="91" t="e">
        <f>PO_AVG[[#This Row],[2PT FGM]]/PO_AVG[[#This Row],[2PT FGA]]</f>
        <v>#DIV/0!</v>
      </c>
      <c r="K58" s="92" t="e">
        <f>SUM((SUMIF($B$4:$B$35,PO_AVG[[#This Row],[Baller]],$K$4:$K$35))/PO_AVG[[#This Row],[Games Played]])</f>
        <v>#DIV/0!</v>
      </c>
      <c r="L58" s="92" t="e">
        <f>SUM((SUMIF($B$4:$B$35,PO_AVG[[#This Row],[Baller]],$L$4:$L$35))/PO_AVG[[#This Row],[Games Played]])</f>
        <v>#DIV/0!</v>
      </c>
      <c r="M58" s="91" t="e">
        <f>PO_AVG[[#This Row],[3PT FGM]]/PO_AVG[[#This Row],[3PT FGA]]</f>
        <v>#DIV/0!</v>
      </c>
      <c r="N58" s="92" t="e">
        <f>SUM((SUMIF($B$4:$B$35,PO_AVG[[#This Row],[Baller]],$N$4:$N$35))/PO_AVG[[#This Row],[Games Played]])</f>
        <v>#DIV/0!</v>
      </c>
      <c r="O58" s="92" t="e">
        <f>SUM((SUMIF($B$4:$B$35,PO_AVG[[#This Row],[Baller]],$O$4:$O$35))/PO_AVG[[#This Row],[Games Played]])</f>
        <v>#DIV/0!</v>
      </c>
      <c r="P58" s="99" t="e">
        <f>PO_AVG[[#This Row],[FTM]]/PO_AVG[[#This Row],[FTA]]</f>
        <v>#DIV/0!</v>
      </c>
      <c r="Q58" s="215" t="e">
        <f>SUM((SUMIF($B$4:$B$35,PO_AVG[[#This Row],[Baller]],$Q$4:$Q$35))/PO_AVG[[#This Row],[Games Played]])</f>
        <v>#DIV/0!</v>
      </c>
      <c r="R58" s="215" t="e">
        <f>SUM((SUMIF($B$4:$B$35,PO_AVG[[#This Row],[Baller]],$R$4:$R$35))/PO_AVG[[#This Row],[Games Played]])</f>
        <v>#DIV/0!</v>
      </c>
      <c r="S58" s="215" t="e">
        <f>SUM((SUMIF($B$4:$B$35,PO_AVG[[#This Row],[Baller]],$S$4:$S$35))/PO_AVG[[#This Row],[Games Played]])</f>
        <v>#DIV/0!</v>
      </c>
      <c r="T58" s="215" t="e">
        <f>SUM((SUMIF($B$4:$B$35,PO_AVG[[#This Row],[Baller]],$T$4:$T$35))/PO_AVG[[#This Row],[Games Played]])</f>
        <v>#DIV/0!</v>
      </c>
      <c r="U58" s="215" t="e">
        <f>SUM((SUMIF($B$4:$B$35,PO_AVG[[#This Row],[Baller]],$U$4:$U$35))/PO_AVG[[#This Row],[Games Played]])</f>
        <v>#DIV/0!</v>
      </c>
      <c r="V58" s="215" t="e">
        <f>SUM((SUMIF($B$4:$B$35,PO_AVG[[#This Row],[Baller]],$V$4:$V$35))/PO_AVG[[#This Row],[Games Played]])</f>
        <v>#DIV/0!</v>
      </c>
      <c r="W58" s="215" t="e">
        <f>SUM((SUMIF($B$4:$B$35,PO_AVG[[#This Row],[Baller]],$W$4:$W$35))/PO_AVG[[#This Row],[Games Played]])</f>
        <v>#DIV/0!</v>
      </c>
      <c r="X58" s="215" t="e">
        <f>SUM((SUMIF($B$4:$B$35,PO_AVG[[#This Row],[Baller]],$X$4:$X$35))/PO_AVG[[#This Row],[Games Played]])</f>
        <v>#DIV/0!</v>
      </c>
      <c r="Y58" s="215" t="e">
        <f>SUM((SUMIF($B$4:$B$35,PO_AVG[[#This Row],[Baller]],$Y$4:$Y$35))/PO_AVG[[#This Row],[Games Played]])</f>
        <v>#DIV/0!</v>
      </c>
      <c r="Z58" s="204" t="e">
        <f>PO_AVG[[#This Row],[Dimes]]/PO_AVG[[#This Row],[Turnovers]]</f>
        <v>#DIV/0!</v>
      </c>
    </row>
    <row r="59" spans="1:26" hidden="1" x14ac:dyDescent="0.2">
      <c r="A59" s="14" t="s">
        <v>49</v>
      </c>
      <c r="B59" t="s">
        <v>94</v>
      </c>
      <c r="C59" t="s">
        <v>132</v>
      </c>
      <c r="D59" s="86">
        <f t="shared" si="0"/>
        <v>0</v>
      </c>
      <c r="E59" s="215" t="e">
        <f>SUM((SUMIF($B$4:$B$35,PO_AVG[[#This Row],[Baller]],$E$4:$E$35))/PO_AVG[[#This Row],[Games Played]])</f>
        <v>#DIV/0!</v>
      </c>
      <c r="F59" s="215" t="e">
        <f>SUM((SUMIF($B$4:$B$35,PO_AVG[[#This Row],[Baller]],$F$4:$F$35))/PO_AVG[[#This Row],[Games Played]])</f>
        <v>#DIV/0!</v>
      </c>
      <c r="G59" s="203" t="e">
        <f>PO_AVG[[#This Row],[Total FGM]]/PO_AVG[[#This Row],[Total FGA]]</f>
        <v>#DIV/0!</v>
      </c>
      <c r="H59" s="216" t="e">
        <f>SUM((SUMIF($B$4:$B$35,PO_AVG[[#This Row],[Baller]],$H$4:$H$35))/PO_AVG[[#This Row],[Games Played]])</f>
        <v>#DIV/0!</v>
      </c>
      <c r="I59" s="92" t="e">
        <f>SUM((SUMIF($B$4:$B$35,PO_AVG[[#This Row],[Baller]],$I$4:$I$35))/PO_AVG[[#This Row],[Games Played]])</f>
        <v>#DIV/0!</v>
      </c>
      <c r="J59" s="91" t="e">
        <f>PO_AVG[[#This Row],[2PT FGM]]/PO_AVG[[#This Row],[2PT FGA]]</f>
        <v>#DIV/0!</v>
      </c>
      <c r="K59" s="92" t="e">
        <f>SUM((SUMIF($B$4:$B$35,PO_AVG[[#This Row],[Baller]],$K$4:$K$35))/PO_AVG[[#This Row],[Games Played]])</f>
        <v>#DIV/0!</v>
      </c>
      <c r="L59" s="92" t="e">
        <f>SUM((SUMIF($B$4:$B$35,PO_AVG[[#This Row],[Baller]],$L$4:$L$35))/PO_AVG[[#This Row],[Games Played]])</f>
        <v>#DIV/0!</v>
      </c>
      <c r="M59" s="91" t="e">
        <f>PO_AVG[[#This Row],[3PT FGM]]/PO_AVG[[#This Row],[3PT FGA]]</f>
        <v>#DIV/0!</v>
      </c>
      <c r="N59" s="92" t="e">
        <f>SUM((SUMIF($B$4:$B$35,PO_AVG[[#This Row],[Baller]],$N$4:$N$35))/PO_AVG[[#This Row],[Games Played]])</f>
        <v>#DIV/0!</v>
      </c>
      <c r="O59" s="92" t="e">
        <f>SUM((SUMIF($B$4:$B$35,PO_AVG[[#This Row],[Baller]],$O$4:$O$35))/PO_AVG[[#This Row],[Games Played]])</f>
        <v>#DIV/0!</v>
      </c>
      <c r="P59" s="99" t="e">
        <f>PO_AVG[[#This Row],[FTM]]/PO_AVG[[#This Row],[FTA]]</f>
        <v>#DIV/0!</v>
      </c>
      <c r="Q59" s="215" t="e">
        <f>SUM((SUMIF($B$4:$B$35,PO_AVG[[#This Row],[Baller]],$Q$4:$Q$35))/PO_AVG[[#This Row],[Games Played]])</f>
        <v>#DIV/0!</v>
      </c>
      <c r="R59" s="215" t="e">
        <f>SUM((SUMIF($B$4:$B$35,PO_AVG[[#This Row],[Baller]],$R$4:$R$35))/PO_AVG[[#This Row],[Games Played]])</f>
        <v>#DIV/0!</v>
      </c>
      <c r="S59" s="215" t="e">
        <f>SUM((SUMIF($B$4:$B$35,PO_AVG[[#This Row],[Baller]],$S$4:$S$35))/PO_AVG[[#This Row],[Games Played]])</f>
        <v>#DIV/0!</v>
      </c>
      <c r="T59" s="215" t="e">
        <f>SUM((SUMIF($B$4:$B$35,PO_AVG[[#This Row],[Baller]],$T$4:$T$35))/PO_AVG[[#This Row],[Games Played]])</f>
        <v>#DIV/0!</v>
      </c>
      <c r="U59" s="215" t="e">
        <f>SUM((SUMIF($B$4:$B$35,PO_AVG[[#This Row],[Baller]],$U$4:$U$35))/PO_AVG[[#This Row],[Games Played]])</f>
        <v>#DIV/0!</v>
      </c>
      <c r="V59" s="215" t="e">
        <f>SUM((SUMIF($B$4:$B$35,PO_AVG[[#This Row],[Baller]],$V$4:$V$35))/PO_AVG[[#This Row],[Games Played]])</f>
        <v>#DIV/0!</v>
      </c>
      <c r="W59" s="215" t="e">
        <f>SUM((SUMIF($B$4:$B$35,PO_AVG[[#This Row],[Baller]],$W$4:$W$35))/PO_AVG[[#This Row],[Games Played]])</f>
        <v>#DIV/0!</v>
      </c>
      <c r="X59" s="215" t="e">
        <f>SUM((SUMIF($B$4:$B$35,PO_AVG[[#This Row],[Baller]],$X$4:$X$35))/PO_AVG[[#This Row],[Games Played]])</f>
        <v>#DIV/0!</v>
      </c>
      <c r="Y59" s="215" t="e">
        <f>SUM((SUMIF($B$4:$B$35,PO_AVG[[#This Row],[Baller]],$Y$4:$Y$35))/PO_AVG[[#This Row],[Games Played]])</f>
        <v>#DIV/0!</v>
      </c>
      <c r="Z59" s="204" t="e">
        <f>PO_AVG[[#This Row],[Dimes]]/PO_AVG[[#This Row],[Turnovers]]</f>
        <v>#DIV/0!</v>
      </c>
    </row>
    <row r="60" spans="1:26" hidden="1" x14ac:dyDescent="0.2">
      <c r="A60" s="14" t="s">
        <v>47</v>
      </c>
      <c r="B60" t="s">
        <v>97</v>
      </c>
      <c r="C60" t="s">
        <v>132</v>
      </c>
      <c r="D60" s="86">
        <f t="shared" si="0"/>
        <v>0</v>
      </c>
      <c r="E60" s="215" t="e">
        <f>SUM((SUMIF($B$4:$B$35,PO_AVG[[#This Row],[Baller]],$E$4:$E$35))/PO_AVG[[#This Row],[Games Played]])</f>
        <v>#DIV/0!</v>
      </c>
      <c r="F60" s="215" t="e">
        <f>SUM((SUMIF($B$4:$B$35,PO_AVG[[#This Row],[Baller]],$F$4:$F$35))/PO_AVG[[#This Row],[Games Played]])</f>
        <v>#DIV/0!</v>
      </c>
      <c r="G60" s="203" t="e">
        <f>PO_AVG[[#This Row],[Total FGM]]/PO_AVG[[#This Row],[Total FGA]]</f>
        <v>#DIV/0!</v>
      </c>
      <c r="H60" s="216" t="e">
        <f>SUM((SUMIF($B$4:$B$35,PO_AVG[[#This Row],[Baller]],$H$4:$H$35))/PO_AVG[[#This Row],[Games Played]])</f>
        <v>#DIV/0!</v>
      </c>
      <c r="I60" s="92" t="e">
        <f>SUM((SUMIF($B$4:$B$35,PO_AVG[[#This Row],[Baller]],$I$4:$I$35))/PO_AVG[[#This Row],[Games Played]])</f>
        <v>#DIV/0!</v>
      </c>
      <c r="J60" s="91" t="e">
        <f>PO_AVG[[#This Row],[2PT FGM]]/PO_AVG[[#This Row],[2PT FGA]]</f>
        <v>#DIV/0!</v>
      </c>
      <c r="K60" s="92" t="e">
        <f>SUM((SUMIF($B$4:$B$35,PO_AVG[[#This Row],[Baller]],$K$4:$K$35))/PO_AVG[[#This Row],[Games Played]])</f>
        <v>#DIV/0!</v>
      </c>
      <c r="L60" s="92" t="e">
        <f>SUM((SUMIF($B$4:$B$35,PO_AVG[[#This Row],[Baller]],$L$4:$L$35))/PO_AVG[[#This Row],[Games Played]])</f>
        <v>#DIV/0!</v>
      </c>
      <c r="M60" s="91" t="e">
        <f>PO_AVG[[#This Row],[3PT FGM]]/PO_AVG[[#This Row],[3PT FGA]]</f>
        <v>#DIV/0!</v>
      </c>
      <c r="N60" s="92" t="e">
        <f>SUM((SUMIF($B$4:$B$35,PO_AVG[[#This Row],[Baller]],$N$4:$N$35))/PO_AVG[[#This Row],[Games Played]])</f>
        <v>#DIV/0!</v>
      </c>
      <c r="O60" s="92" t="e">
        <f>SUM((SUMIF($B$4:$B$35,PO_AVG[[#This Row],[Baller]],$O$4:$O$35))/PO_AVG[[#This Row],[Games Played]])</f>
        <v>#DIV/0!</v>
      </c>
      <c r="P60" s="99" t="e">
        <f>PO_AVG[[#This Row],[FTM]]/PO_AVG[[#This Row],[FTA]]</f>
        <v>#DIV/0!</v>
      </c>
      <c r="Q60" s="215" t="e">
        <f>SUM((SUMIF($B$4:$B$35,PO_AVG[[#This Row],[Baller]],$Q$4:$Q$35))/PO_AVG[[#This Row],[Games Played]])</f>
        <v>#DIV/0!</v>
      </c>
      <c r="R60" s="215" t="e">
        <f>SUM((SUMIF($B$4:$B$35,PO_AVG[[#This Row],[Baller]],$R$4:$R$35))/PO_AVG[[#This Row],[Games Played]])</f>
        <v>#DIV/0!</v>
      </c>
      <c r="S60" s="215" t="e">
        <f>SUM((SUMIF($B$4:$B$35,PO_AVG[[#This Row],[Baller]],$S$4:$S$35))/PO_AVG[[#This Row],[Games Played]])</f>
        <v>#DIV/0!</v>
      </c>
      <c r="T60" s="215" t="e">
        <f>SUM((SUMIF($B$4:$B$35,PO_AVG[[#This Row],[Baller]],$T$4:$T$35))/PO_AVG[[#This Row],[Games Played]])</f>
        <v>#DIV/0!</v>
      </c>
      <c r="U60" s="215" t="e">
        <f>SUM((SUMIF($B$4:$B$35,PO_AVG[[#This Row],[Baller]],$U$4:$U$35))/PO_AVG[[#This Row],[Games Played]])</f>
        <v>#DIV/0!</v>
      </c>
      <c r="V60" s="215" t="e">
        <f>SUM((SUMIF($B$4:$B$35,PO_AVG[[#This Row],[Baller]],$V$4:$V$35))/PO_AVG[[#This Row],[Games Played]])</f>
        <v>#DIV/0!</v>
      </c>
      <c r="W60" s="215" t="e">
        <f>SUM((SUMIF($B$4:$B$35,PO_AVG[[#This Row],[Baller]],$W$4:$W$35))/PO_AVG[[#This Row],[Games Played]])</f>
        <v>#DIV/0!</v>
      </c>
      <c r="X60" s="215" t="e">
        <f>SUM((SUMIF($B$4:$B$35,PO_AVG[[#This Row],[Baller]],$X$4:$X$35))/PO_AVG[[#This Row],[Games Played]])</f>
        <v>#DIV/0!</v>
      </c>
      <c r="Y60" s="215" t="e">
        <f>SUM((SUMIF($B$4:$B$35,PO_AVG[[#This Row],[Baller]],$Y$4:$Y$35))/PO_AVG[[#This Row],[Games Played]])</f>
        <v>#DIV/0!</v>
      </c>
      <c r="Z60" s="204" t="e">
        <f>PO_AVG[[#This Row],[Dimes]]/PO_AVG[[#This Row],[Turnovers]]</f>
        <v>#DIV/0!</v>
      </c>
    </row>
    <row r="61" spans="1:26" hidden="1" x14ac:dyDescent="0.2">
      <c r="A61" s="14" t="s">
        <v>42</v>
      </c>
      <c r="B61" t="s">
        <v>101</v>
      </c>
      <c r="C61" t="s">
        <v>132</v>
      </c>
      <c r="D61" s="86">
        <f t="shared" si="0"/>
        <v>0</v>
      </c>
      <c r="E61" s="215" t="e">
        <f>SUM((SUMIF($B$4:$B$35,PO_AVG[[#This Row],[Baller]],$E$4:$E$35))/PO_AVG[[#This Row],[Games Played]])</f>
        <v>#DIV/0!</v>
      </c>
      <c r="F61" s="215" t="e">
        <f>SUM((SUMIF($B$4:$B$35,PO_AVG[[#This Row],[Baller]],$F$4:$F$35))/PO_AVG[[#This Row],[Games Played]])</f>
        <v>#DIV/0!</v>
      </c>
      <c r="G61" s="203" t="e">
        <f>PO_AVG[[#This Row],[Total FGM]]/PO_AVG[[#This Row],[Total FGA]]</f>
        <v>#DIV/0!</v>
      </c>
      <c r="H61" s="216" t="e">
        <f>SUM((SUMIF($B$4:$B$35,PO_AVG[[#This Row],[Baller]],$H$4:$H$35))/PO_AVG[[#This Row],[Games Played]])</f>
        <v>#DIV/0!</v>
      </c>
      <c r="I61" s="92" t="e">
        <f>SUM((SUMIF($B$4:$B$35,PO_AVG[[#This Row],[Baller]],$I$4:$I$35))/PO_AVG[[#This Row],[Games Played]])</f>
        <v>#DIV/0!</v>
      </c>
      <c r="J61" s="91" t="e">
        <f>PO_AVG[[#This Row],[2PT FGM]]/PO_AVG[[#This Row],[2PT FGA]]</f>
        <v>#DIV/0!</v>
      </c>
      <c r="K61" s="92" t="e">
        <f>SUM((SUMIF($B$4:$B$35,PO_AVG[[#This Row],[Baller]],$K$4:$K$35))/PO_AVG[[#This Row],[Games Played]])</f>
        <v>#DIV/0!</v>
      </c>
      <c r="L61" s="92" t="e">
        <f>SUM((SUMIF($B$4:$B$35,PO_AVG[[#This Row],[Baller]],$L$4:$L$35))/PO_AVG[[#This Row],[Games Played]])</f>
        <v>#DIV/0!</v>
      </c>
      <c r="M61" s="91" t="e">
        <f>PO_AVG[[#This Row],[3PT FGM]]/PO_AVG[[#This Row],[3PT FGA]]</f>
        <v>#DIV/0!</v>
      </c>
      <c r="N61" s="92" t="e">
        <f>SUM((SUMIF($B$4:$B$35,PO_AVG[[#This Row],[Baller]],$N$4:$N$35))/PO_AVG[[#This Row],[Games Played]])</f>
        <v>#DIV/0!</v>
      </c>
      <c r="O61" s="92" t="e">
        <f>SUM((SUMIF($B$4:$B$35,PO_AVG[[#This Row],[Baller]],$O$4:$O$35))/PO_AVG[[#This Row],[Games Played]])</f>
        <v>#DIV/0!</v>
      </c>
      <c r="P61" s="99" t="e">
        <f>PO_AVG[[#This Row],[FTM]]/PO_AVG[[#This Row],[FTA]]</f>
        <v>#DIV/0!</v>
      </c>
      <c r="Q61" s="215" t="e">
        <f>SUM((SUMIF($B$4:$B$35,PO_AVG[[#This Row],[Baller]],$Q$4:$Q$35))/PO_AVG[[#This Row],[Games Played]])</f>
        <v>#DIV/0!</v>
      </c>
      <c r="R61" s="215" t="e">
        <f>SUM((SUMIF($B$4:$B$35,PO_AVG[[#This Row],[Baller]],$R$4:$R$35))/PO_AVG[[#This Row],[Games Played]])</f>
        <v>#DIV/0!</v>
      </c>
      <c r="S61" s="215" t="e">
        <f>SUM((SUMIF($B$4:$B$35,PO_AVG[[#This Row],[Baller]],$S$4:$S$35))/PO_AVG[[#This Row],[Games Played]])</f>
        <v>#DIV/0!</v>
      </c>
      <c r="T61" s="215" t="e">
        <f>SUM((SUMIF($B$4:$B$35,PO_AVG[[#This Row],[Baller]],$T$4:$T$35))/PO_AVG[[#This Row],[Games Played]])</f>
        <v>#DIV/0!</v>
      </c>
      <c r="U61" s="215" t="e">
        <f>SUM((SUMIF($B$4:$B$35,PO_AVG[[#This Row],[Baller]],$U$4:$U$35))/PO_AVG[[#This Row],[Games Played]])</f>
        <v>#DIV/0!</v>
      </c>
      <c r="V61" s="215" t="e">
        <f>SUM((SUMIF($B$4:$B$35,PO_AVG[[#This Row],[Baller]],$V$4:$V$35))/PO_AVG[[#This Row],[Games Played]])</f>
        <v>#DIV/0!</v>
      </c>
      <c r="W61" s="215" t="e">
        <f>SUM((SUMIF($B$4:$B$35,PO_AVG[[#This Row],[Baller]],$W$4:$W$35))/PO_AVG[[#This Row],[Games Played]])</f>
        <v>#DIV/0!</v>
      </c>
      <c r="X61" s="215" t="e">
        <f>SUM((SUMIF($B$4:$B$35,PO_AVG[[#This Row],[Baller]],$X$4:$X$35))/PO_AVG[[#This Row],[Games Played]])</f>
        <v>#DIV/0!</v>
      </c>
      <c r="Y61" s="215" t="e">
        <f>SUM((SUMIF($B$4:$B$35,PO_AVG[[#This Row],[Baller]],$Y$4:$Y$35))/PO_AVG[[#This Row],[Games Played]])</f>
        <v>#DIV/0!</v>
      </c>
      <c r="Z61" s="204" t="e">
        <f>PO_AVG[[#This Row],[Dimes]]/PO_AVG[[#This Row],[Turnovers]]</f>
        <v>#DIV/0!</v>
      </c>
    </row>
    <row r="62" spans="1:26" hidden="1" x14ac:dyDescent="0.2">
      <c r="A62" s="14" t="s">
        <v>48</v>
      </c>
      <c r="B62" t="s">
        <v>99</v>
      </c>
      <c r="C62" t="s">
        <v>132</v>
      </c>
      <c r="D62" s="86">
        <f t="shared" si="0"/>
        <v>0</v>
      </c>
      <c r="E62" s="215" t="e">
        <f>SUM((SUMIF($B$4:$B$35,PO_AVG[[#This Row],[Baller]],$E$4:$E$35))/PO_AVG[[#This Row],[Games Played]])</f>
        <v>#DIV/0!</v>
      </c>
      <c r="F62" s="215" t="e">
        <f>SUM((SUMIF($B$4:$B$35,PO_AVG[[#This Row],[Baller]],$F$4:$F$35))/PO_AVG[[#This Row],[Games Played]])</f>
        <v>#DIV/0!</v>
      </c>
      <c r="G62" s="203" t="e">
        <f>PO_AVG[[#This Row],[Total FGM]]/PO_AVG[[#This Row],[Total FGA]]</f>
        <v>#DIV/0!</v>
      </c>
      <c r="H62" s="216" t="e">
        <f>SUM((SUMIF($B$4:$B$35,PO_AVG[[#This Row],[Baller]],$H$4:$H$35))/PO_AVG[[#This Row],[Games Played]])</f>
        <v>#DIV/0!</v>
      </c>
      <c r="I62" s="92" t="e">
        <f>SUM((SUMIF($B$4:$B$35,PO_AVG[[#This Row],[Baller]],$I$4:$I$35))/PO_AVG[[#This Row],[Games Played]])</f>
        <v>#DIV/0!</v>
      </c>
      <c r="J62" s="91" t="e">
        <f>PO_AVG[[#This Row],[2PT FGM]]/PO_AVG[[#This Row],[2PT FGA]]</f>
        <v>#DIV/0!</v>
      </c>
      <c r="K62" s="92" t="e">
        <f>SUM((SUMIF($B$4:$B$35,PO_AVG[[#This Row],[Baller]],$K$4:$K$35))/PO_AVG[[#This Row],[Games Played]])</f>
        <v>#DIV/0!</v>
      </c>
      <c r="L62" s="92" t="e">
        <f>SUM((SUMIF($B$4:$B$35,PO_AVG[[#This Row],[Baller]],$L$4:$L$35))/PO_AVG[[#This Row],[Games Played]])</f>
        <v>#DIV/0!</v>
      </c>
      <c r="M62" s="91" t="e">
        <f>PO_AVG[[#This Row],[3PT FGM]]/PO_AVG[[#This Row],[3PT FGA]]</f>
        <v>#DIV/0!</v>
      </c>
      <c r="N62" s="92" t="e">
        <f>SUM((SUMIF($B$4:$B$35,PO_AVG[[#This Row],[Baller]],$N$4:$N$35))/PO_AVG[[#This Row],[Games Played]])</f>
        <v>#DIV/0!</v>
      </c>
      <c r="O62" s="92" t="e">
        <f>SUM((SUMIF($B$4:$B$35,PO_AVG[[#This Row],[Baller]],$O$4:$O$35))/PO_AVG[[#This Row],[Games Played]])</f>
        <v>#DIV/0!</v>
      </c>
      <c r="P62" s="99" t="e">
        <f>PO_AVG[[#This Row],[FTM]]/PO_AVG[[#This Row],[FTA]]</f>
        <v>#DIV/0!</v>
      </c>
      <c r="Q62" s="215" t="e">
        <f>SUM((SUMIF($B$4:$B$35,PO_AVG[[#This Row],[Baller]],$Q$4:$Q$35))/PO_AVG[[#This Row],[Games Played]])</f>
        <v>#DIV/0!</v>
      </c>
      <c r="R62" s="215" t="e">
        <f>SUM((SUMIF($B$4:$B$35,PO_AVG[[#This Row],[Baller]],$R$4:$R$35))/PO_AVG[[#This Row],[Games Played]])</f>
        <v>#DIV/0!</v>
      </c>
      <c r="S62" s="215" t="e">
        <f>SUM((SUMIF($B$4:$B$35,PO_AVG[[#This Row],[Baller]],$S$4:$S$35))/PO_AVG[[#This Row],[Games Played]])</f>
        <v>#DIV/0!</v>
      </c>
      <c r="T62" s="215" t="e">
        <f>SUM((SUMIF($B$4:$B$35,PO_AVG[[#This Row],[Baller]],$T$4:$T$35))/PO_AVG[[#This Row],[Games Played]])</f>
        <v>#DIV/0!</v>
      </c>
      <c r="U62" s="215" t="e">
        <f>SUM((SUMIF($B$4:$B$35,PO_AVG[[#This Row],[Baller]],$U$4:$U$35))/PO_AVG[[#This Row],[Games Played]])</f>
        <v>#DIV/0!</v>
      </c>
      <c r="V62" s="215" t="e">
        <f>SUM((SUMIF($B$4:$B$35,PO_AVG[[#This Row],[Baller]],$V$4:$V$35))/PO_AVG[[#This Row],[Games Played]])</f>
        <v>#DIV/0!</v>
      </c>
      <c r="W62" s="215" t="e">
        <f>SUM((SUMIF($B$4:$B$35,PO_AVG[[#This Row],[Baller]],$W$4:$W$35))/PO_AVG[[#This Row],[Games Played]])</f>
        <v>#DIV/0!</v>
      </c>
      <c r="X62" s="215" t="e">
        <f>SUM((SUMIF($B$4:$B$35,PO_AVG[[#This Row],[Baller]],$X$4:$X$35))/PO_AVG[[#This Row],[Games Played]])</f>
        <v>#DIV/0!</v>
      </c>
      <c r="Y62" s="215" t="e">
        <f>SUM((SUMIF($B$4:$B$35,PO_AVG[[#This Row],[Baller]],$Y$4:$Y$35))/PO_AVG[[#This Row],[Games Played]])</f>
        <v>#DIV/0!</v>
      </c>
      <c r="Z62" s="204" t="e">
        <f>PO_AVG[[#This Row],[Dimes]]/PO_AVG[[#This Row],[Turnovers]]</f>
        <v>#DIV/0!</v>
      </c>
    </row>
    <row r="63" spans="1:26" hidden="1" x14ac:dyDescent="0.2">
      <c r="A63" s="14" t="s">
        <v>51</v>
      </c>
      <c r="B63" t="s">
        <v>102</v>
      </c>
      <c r="C63" t="s">
        <v>132</v>
      </c>
      <c r="D63" s="86">
        <f t="shared" si="0"/>
        <v>0</v>
      </c>
      <c r="E63" s="215" t="e">
        <f>SUM((SUMIF($B$4:$B$35,PO_AVG[[#This Row],[Baller]],$E$4:$E$35))/PO_AVG[[#This Row],[Games Played]])</f>
        <v>#DIV/0!</v>
      </c>
      <c r="F63" s="215" t="e">
        <f>SUM((SUMIF($B$4:$B$35,PO_AVG[[#This Row],[Baller]],$F$4:$F$35))/PO_AVG[[#This Row],[Games Played]])</f>
        <v>#DIV/0!</v>
      </c>
      <c r="G63" s="203" t="e">
        <f>PO_AVG[[#This Row],[Total FGM]]/PO_AVG[[#This Row],[Total FGA]]</f>
        <v>#DIV/0!</v>
      </c>
      <c r="H63" s="216" t="e">
        <f>SUM((SUMIF($B$4:$B$35,PO_AVG[[#This Row],[Baller]],$H$4:$H$35))/PO_AVG[[#This Row],[Games Played]])</f>
        <v>#DIV/0!</v>
      </c>
      <c r="I63" s="92" t="e">
        <f>SUM((SUMIF($B$4:$B$35,PO_AVG[[#This Row],[Baller]],$I$4:$I$35))/PO_AVG[[#This Row],[Games Played]])</f>
        <v>#DIV/0!</v>
      </c>
      <c r="J63" s="91" t="e">
        <f>PO_AVG[[#This Row],[2PT FGM]]/PO_AVG[[#This Row],[2PT FGA]]</f>
        <v>#DIV/0!</v>
      </c>
      <c r="K63" s="92" t="e">
        <f>SUM((SUMIF($B$4:$B$35,PO_AVG[[#This Row],[Baller]],$K$4:$K$35))/PO_AVG[[#This Row],[Games Played]])</f>
        <v>#DIV/0!</v>
      </c>
      <c r="L63" s="92" t="e">
        <f>SUM((SUMIF($B$4:$B$35,PO_AVG[[#This Row],[Baller]],$L$4:$L$35))/PO_AVG[[#This Row],[Games Played]])</f>
        <v>#DIV/0!</v>
      </c>
      <c r="M63" s="91" t="e">
        <f>PO_AVG[[#This Row],[3PT FGM]]/PO_AVG[[#This Row],[3PT FGA]]</f>
        <v>#DIV/0!</v>
      </c>
      <c r="N63" s="92" t="e">
        <f>SUM((SUMIF($B$4:$B$35,PO_AVG[[#This Row],[Baller]],$N$4:$N$35))/PO_AVG[[#This Row],[Games Played]])</f>
        <v>#DIV/0!</v>
      </c>
      <c r="O63" s="92" t="e">
        <f>SUM((SUMIF($B$4:$B$35,PO_AVG[[#This Row],[Baller]],$O$4:$O$35))/PO_AVG[[#This Row],[Games Played]])</f>
        <v>#DIV/0!</v>
      </c>
      <c r="P63" s="99" t="e">
        <f>PO_AVG[[#This Row],[FTM]]/PO_AVG[[#This Row],[FTA]]</f>
        <v>#DIV/0!</v>
      </c>
      <c r="Q63" s="215" t="e">
        <f>SUM((SUMIF($B$4:$B$35,PO_AVG[[#This Row],[Baller]],$Q$4:$Q$35))/PO_AVG[[#This Row],[Games Played]])</f>
        <v>#DIV/0!</v>
      </c>
      <c r="R63" s="215" t="e">
        <f>SUM((SUMIF($B$4:$B$35,PO_AVG[[#This Row],[Baller]],$R$4:$R$35))/PO_AVG[[#This Row],[Games Played]])</f>
        <v>#DIV/0!</v>
      </c>
      <c r="S63" s="215" t="e">
        <f>SUM((SUMIF($B$4:$B$35,PO_AVG[[#This Row],[Baller]],$S$4:$S$35))/PO_AVG[[#This Row],[Games Played]])</f>
        <v>#DIV/0!</v>
      </c>
      <c r="T63" s="215" t="e">
        <f>SUM((SUMIF($B$4:$B$35,PO_AVG[[#This Row],[Baller]],$T$4:$T$35))/PO_AVG[[#This Row],[Games Played]])</f>
        <v>#DIV/0!</v>
      </c>
      <c r="U63" s="215" t="e">
        <f>SUM((SUMIF($B$4:$B$35,PO_AVG[[#This Row],[Baller]],$U$4:$U$35))/PO_AVG[[#This Row],[Games Played]])</f>
        <v>#DIV/0!</v>
      </c>
      <c r="V63" s="215" t="e">
        <f>SUM((SUMIF($B$4:$B$35,PO_AVG[[#This Row],[Baller]],$V$4:$V$35))/PO_AVG[[#This Row],[Games Played]])</f>
        <v>#DIV/0!</v>
      </c>
      <c r="W63" s="215" t="e">
        <f>SUM((SUMIF($B$4:$B$35,PO_AVG[[#This Row],[Baller]],$W$4:$W$35))/PO_AVG[[#This Row],[Games Played]])</f>
        <v>#DIV/0!</v>
      </c>
      <c r="X63" s="215" t="e">
        <f>SUM((SUMIF($B$4:$B$35,PO_AVG[[#This Row],[Baller]],$X$4:$X$35))/PO_AVG[[#This Row],[Games Played]])</f>
        <v>#DIV/0!</v>
      </c>
      <c r="Y63" s="215" t="e">
        <f>SUM((SUMIF($B$4:$B$35,PO_AVG[[#This Row],[Baller]],$Y$4:$Y$35))/PO_AVG[[#This Row],[Games Played]])</f>
        <v>#DIV/0!</v>
      </c>
      <c r="Z63" s="204" t="e">
        <f>PO_AVG[[#This Row],[Dimes]]/PO_AVG[[#This Row],[Turnovers]]</f>
        <v>#DIV/0!</v>
      </c>
    </row>
    <row r="64" spans="1:26" hidden="1" x14ac:dyDescent="0.2">
      <c r="A64" s="14" t="s">
        <v>43</v>
      </c>
      <c r="B64" t="s">
        <v>104</v>
      </c>
      <c r="C64" t="s">
        <v>132</v>
      </c>
      <c r="D64" s="86">
        <f t="shared" si="0"/>
        <v>0</v>
      </c>
      <c r="E64" s="215" t="e">
        <f>SUM((SUMIF($B$4:$B$35,PO_AVG[[#This Row],[Baller]],$E$4:$E$35))/PO_AVG[[#This Row],[Games Played]])</f>
        <v>#DIV/0!</v>
      </c>
      <c r="F64" s="215" t="e">
        <f>SUM((SUMIF($B$4:$B$35,PO_AVG[[#This Row],[Baller]],$F$4:$F$35))/PO_AVG[[#This Row],[Games Played]])</f>
        <v>#DIV/0!</v>
      </c>
      <c r="G64" s="203" t="e">
        <f>PO_AVG[[#This Row],[Total FGM]]/PO_AVG[[#This Row],[Total FGA]]</f>
        <v>#DIV/0!</v>
      </c>
      <c r="H64" s="216" t="e">
        <f>SUM((SUMIF($B$4:$B$35,PO_AVG[[#This Row],[Baller]],$H$4:$H$35))/PO_AVG[[#This Row],[Games Played]])</f>
        <v>#DIV/0!</v>
      </c>
      <c r="I64" s="92" t="e">
        <f>SUM((SUMIF($B$4:$B$35,PO_AVG[[#This Row],[Baller]],$I$4:$I$35))/PO_AVG[[#This Row],[Games Played]])</f>
        <v>#DIV/0!</v>
      </c>
      <c r="J64" s="91" t="e">
        <f>PO_AVG[[#This Row],[2PT FGM]]/PO_AVG[[#This Row],[2PT FGA]]</f>
        <v>#DIV/0!</v>
      </c>
      <c r="K64" s="92" t="e">
        <f>SUM((SUMIF($B$4:$B$35,PO_AVG[[#This Row],[Baller]],$K$4:$K$35))/PO_AVG[[#This Row],[Games Played]])</f>
        <v>#DIV/0!</v>
      </c>
      <c r="L64" s="92" t="e">
        <f>SUM((SUMIF($B$4:$B$35,PO_AVG[[#This Row],[Baller]],$L$4:$L$35))/PO_AVG[[#This Row],[Games Played]])</f>
        <v>#DIV/0!</v>
      </c>
      <c r="M64" s="91" t="e">
        <f>PO_AVG[[#This Row],[3PT FGM]]/PO_AVG[[#This Row],[3PT FGA]]</f>
        <v>#DIV/0!</v>
      </c>
      <c r="N64" s="92" t="e">
        <f>SUM((SUMIF($B$4:$B$35,PO_AVG[[#This Row],[Baller]],$N$4:$N$35))/PO_AVG[[#This Row],[Games Played]])</f>
        <v>#DIV/0!</v>
      </c>
      <c r="O64" s="92" t="e">
        <f>SUM((SUMIF($B$4:$B$35,PO_AVG[[#This Row],[Baller]],$O$4:$O$35))/PO_AVG[[#This Row],[Games Played]])</f>
        <v>#DIV/0!</v>
      </c>
      <c r="P64" s="99" t="e">
        <f>PO_AVG[[#This Row],[FTM]]/PO_AVG[[#This Row],[FTA]]</f>
        <v>#DIV/0!</v>
      </c>
      <c r="Q64" s="215" t="e">
        <f>SUM((SUMIF($B$4:$B$35,PO_AVG[[#This Row],[Baller]],$Q$4:$Q$35))/PO_AVG[[#This Row],[Games Played]])</f>
        <v>#DIV/0!</v>
      </c>
      <c r="R64" s="215" t="e">
        <f>SUM((SUMIF($B$4:$B$35,PO_AVG[[#This Row],[Baller]],$R$4:$R$35))/PO_AVG[[#This Row],[Games Played]])</f>
        <v>#DIV/0!</v>
      </c>
      <c r="S64" s="215" t="e">
        <f>SUM((SUMIF($B$4:$B$35,PO_AVG[[#This Row],[Baller]],$S$4:$S$35))/PO_AVG[[#This Row],[Games Played]])</f>
        <v>#DIV/0!</v>
      </c>
      <c r="T64" s="215" t="e">
        <f>SUM((SUMIF($B$4:$B$35,PO_AVG[[#This Row],[Baller]],$T$4:$T$35))/PO_AVG[[#This Row],[Games Played]])</f>
        <v>#DIV/0!</v>
      </c>
      <c r="U64" s="215" t="e">
        <f>SUM((SUMIF($B$4:$B$35,PO_AVG[[#This Row],[Baller]],$U$4:$U$35))/PO_AVG[[#This Row],[Games Played]])</f>
        <v>#DIV/0!</v>
      </c>
      <c r="V64" s="215" t="e">
        <f>SUM((SUMIF($B$4:$B$35,PO_AVG[[#This Row],[Baller]],$V$4:$V$35))/PO_AVG[[#This Row],[Games Played]])</f>
        <v>#DIV/0!</v>
      </c>
      <c r="W64" s="215" t="e">
        <f>SUM((SUMIF($B$4:$B$35,PO_AVG[[#This Row],[Baller]],$W$4:$W$35))/PO_AVG[[#This Row],[Games Played]])</f>
        <v>#DIV/0!</v>
      </c>
      <c r="X64" s="215" t="e">
        <f>SUM((SUMIF($B$4:$B$35,PO_AVG[[#This Row],[Baller]],$X$4:$X$35))/PO_AVG[[#This Row],[Games Played]])</f>
        <v>#DIV/0!</v>
      </c>
      <c r="Y64" s="215" t="e">
        <f>SUM((SUMIF($B$4:$B$35,PO_AVG[[#This Row],[Baller]],$Y$4:$Y$35))/PO_AVG[[#This Row],[Games Played]])</f>
        <v>#DIV/0!</v>
      </c>
      <c r="Z64" s="204" t="e">
        <f>PO_AVG[[#This Row],[Dimes]]/PO_AVG[[#This Row],[Turnovers]]</f>
        <v>#DIV/0!</v>
      </c>
    </row>
    <row r="65" spans="1:26" hidden="1" x14ac:dyDescent="0.2">
      <c r="A65" s="14" t="s">
        <v>45</v>
      </c>
      <c r="B65" t="s">
        <v>90</v>
      </c>
      <c r="C65" t="s">
        <v>132</v>
      </c>
      <c r="D65" s="86">
        <f t="shared" si="0"/>
        <v>0</v>
      </c>
      <c r="E65" s="215" t="e">
        <f>SUM((SUMIF($B$4:$B$35,PO_AVG[[#This Row],[Baller]],$E$4:$E$35))/PO_AVG[[#This Row],[Games Played]])</f>
        <v>#DIV/0!</v>
      </c>
      <c r="F65" s="215" t="e">
        <f>SUM((SUMIF($B$4:$B$35,PO_AVG[[#This Row],[Baller]],$F$4:$F$35))/PO_AVG[[#This Row],[Games Played]])</f>
        <v>#DIV/0!</v>
      </c>
      <c r="G65" s="203" t="e">
        <f>PO_AVG[[#This Row],[Total FGM]]/PO_AVG[[#This Row],[Total FGA]]</f>
        <v>#DIV/0!</v>
      </c>
      <c r="H65" s="216" t="e">
        <f>SUM((SUMIF($B$4:$B$35,PO_AVG[[#This Row],[Baller]],$H$4:$H$35))/PO_AVG[[#This Row],[Games Played]])</f>
        <v>#DIV/0!</v>
      </c>
      <c r="I65" s="92" t="e">
        <f>SUM((SUMIF($B$4:$B$35,PO_AVG[[#This Row],[Baller]],$I$4:$I$35))/PO_AVG[[#This Row],[Games Played]])</f>
        <v>#DIV/0!</v>
      </c>
      <c r="J65" s="91" t="e">
        <f>PO_AVG[[#This Row],[2PT FGM]]/PO_AVG[[#This Row],[2PT FGA]]</f>
        <v>#DIV/0!</v>
      </c>
      <c r="K65" s="92" t="e">
        <f>SUM((SUMIF($B$4:$B$35,PO_AVG[[#This Row],[Baller]],$K$4:$K$35))/PO_AVG[[#This Row],[Games Played]])</f>
        <v>#DIV/0!</v>
      </c>
      <c r="L65" s="92" t="e">
        <f>SUM((SUMIF($B$4:$B$35,PO_AVG[[#This Row],[Baller]],$L$4:$L$35))/PO_AVG[[#This Row],[Games Played]])</f>
        <v>#DIV/0!</v>
      </c>
      <c r="M65" s="91" t="e">
        <f>PO_AVG[[#This Row],[3PT FGM]]/PO_AVG[[#This Row],[3PT FGA]]</f>
        <v>#DIV/0!</v>
      </c>
      <c r="N65" s="92" t="e">
        <f>SUM((SUMIF($B$4:$B$35,PO_AVG[[#This Row],[Baller]],$N$4:$N$35))/PO_AVG[[#This Row],[Games Played]])</f>
        <v>#DIV/0!</v>
      </c>
      <c r="O65" s="92" t="e">
        <f>SUM((SUMIF($B$4:$B$35,PO_AVG[[#This Row],[Baller]],$O$4:$O$35))/PO_AVG[[#This Row],[Games Played]])</f>
        <v>#DIV/0!</v>
      </c>
      <c r="P65" s="99" t="e">
        <f>PO_AVG[[#This Row],[FTM]]/PO_AVG[[#This Row],[FTA]]</f>
        <v>#DIV/0!</v>
      </c>
      <c r="Q65" s="215" t="e">
        <f>SUM((SUMIF($B$4:$B$35,PO_AVG[[#This Row],[Baller]],$Q$4:$Q$35))/PO_AVG[[#This Row],[Games Played]])</f>
        <v>#DIV/0!</v>
      </c>
      <c r="R65" s="215" t="e">
        <f>SUM((SUMIF($B$4:$B$35,PO_AVG[[#This Row],[Baller]],$R$4:$R$35))/PO_AVG[[#This Row],[Games Played]])</f>
        <v>#DIV/0!</v>
      </c>
      <c r="S65" s="215" t="e">
        <f>SUM((SUMIF($B$4:$B$35,PO_AVG[[#This Row],[Baller]],$S$4:$S$35))/PO_AVG[[#This Row],[Games Played]])</f>
        <v>#DIV/0!</v>
      </c>
      <c r="T65" s="215" t="e">
        <f>SUM((SUMIF($B$4:$B$35,PO_AVG[[#This Row],[Baller]],$T$4:$T$35))/PO_AVG[[#This Row],[Games Played]])</f>
        <v>#DIV/0!</v>
      </c>
      <c r="U65" s="215" t="e">
        <f>SUM((SUMIF($B$4:$B$35,PO_AVG[[#This Row],[Baller]],$U$4:$U$35))/PO_AVG[[#This Row],[Games Played]])</f>
        <v>#DIV/0!</v>
      </c>
      <c r="V65" s="215" t="e">
        <f>SUM((SUMIF($B$4:$B$35,PO_AVG[[#This Row],[Baller]],$V$4:$V$35))/PO_AVG[[#This Row],[Games Played]])</f>
        <v>#DIV/0!</v>
      </c>
      <c r="W65" s="215" t="e">
        <f>SUM((SUMIF($B$4:$B$35,PO_AVG[[#This Row],[Baller]],$W$4:$W$35))/PO_AVG[[#This Row],[Games Played]])</f>
        <v>#DIV/0!</v>
      </c>
      <c r="X65" s="215" t="e">
        <f>SUM((SUMIF($B$4:$B$35,PO_AVG[[#This Row],[Baller]],$X$4:$X$35))/PO_AVG[[#This Row],[Games Played]])</f>
        <v>#DIV/0!</v>
      </c>
      <c r="Y65" s="215" t="e">
        <f>SUM((SUMIF($B$4:$B$35,PO_AVG[[#This Row],[Baller]],$Y$4:$Y$35))/PO_AVG[[#This Row],[Games Played]])</f>
        <v>#DIV/0!</v>
      </c>
      <c r="Z65" s="204" t="e">
        <f>PO_AVG[[#This Row],[Dimes]]/PO_AVG[[#This Row],[Turnovers]]</f>
        <v>#DIV/0!</v>
      </c>
    </row>
    <row r="66" spans="1:26" x14ac:dyDescent="0.2">
      <c r="A66" s="16" t="s">
        <v>37</v>
      </c>
      <c r="B66" t="s">
        <v>100</v>
      </c>
      <c r="C66" t="s">
        <v>209</v>
      </c>
      <c r="D66" s="86">
        <f t="shared" si="0"/>
        <v>5</v>
      </c>
      <c r="E66" s="274">
        <f>SUM((SUMIF($B$4:$B$35,PO_AVG[[#This Row],[Baller]],$E$4:$E$35))/PO_AVG[[#This Row],[Games Played]])</f>
        <v>5.4</v>
      </c>
      <c r="F66" s="274">
        <f>SUM((SUMIF($B$4:$B$35,PO_AVG[[#This Row],[Baller]],$F$4:$F$35))/PO_AVG[[#This Row],[Games Played]])</f>
        <v>12.2</v>
      </c>
      <c r="G66" s="203">
        <f>PO_AVG[[#This Row],[Total FGM]]/PO_AVG[[#This Row],[Total FGA]]</f>
        <v>0.44262295081967218</v>
      </c>
      <c r="H66" s="216">
        <f>SUM((SUMIF($B$4:$B$35,PO_AVG[[#This Row],[Baller]],$H$4:$H$35))/PO_AVG[[#This Row],[Games Played]])</f>
        <v>2.2000000000000002</v>
      </c>
      <c r="I66" s="92">
        <f>SUM((SUMIF($B$4:$B$35,PO_AVG[[#This Row],[Baller]],$I$4:$I$35))/PO_AVG[[#This Row],[Games Played]])</f>
        <v>3.6</v>
      </c>
      <c r="J66" s="91">
        <f>PO_AVG[[#This Row],[2PT FGM]]/PO_AVG[[#This Row],[2PT FGA]]</f>
        <v>0.61111111111111116</v>
      </c>
      <c r="K66" s="250">
        <f>SUM((SUMIF($B$4:$B$35,PO_AVG[[#This Row],[Baller]],$K$4:$K$35))/PO_AVG[[#This Row],[Games Played]])</f>
        <v>3.2</v>
      </c>
      <c r="L66" s="250">
        <f>SUM((SUMIF($B$4:$B$35,PO_AVG[[#This Row],[Baller]],$L$4:$L$35))/PO_AVG[[#This Row],[Games Played]])</f>
        <v>8.6</v>
      </c>
      <c r="M66" s="91">
        <f>PO_AVG[[#This Row],[3PT FGM]]/PO_AVG[[#This Row],[3PT FGA]]</f>
        <v>0.372093023255814</v>
      </c>
      <c r="N66" s="92">
        <f>SUM((SUMIF($B$4:$B$35,PO_AVG[[#This Row],[Baller]],$N$4:$N$35))/PO_AVG[[#This Row],[Games Played]])</f>
        <v>0</v>
      </c>
      <c r="O66" s="92">
        <f>SUM((SUMIF($B$4:$B$35,PO_AVG[[#This Row],[Baller]],$O$4:$O$35))/PO_AVG[[#This Row],[Games Played]])</f>
        <v>0</v>
      </c>
      <c r="P66" s="99" t="e">
        <f>PO_AVG[[#This Row],[FTM]]/PO_AVG[[#This Row],[FTA]]</f>
        <v>#DIV/0!</v>
      </c>
      <c r="Q66" s="274">
        <f>SUM((SUMIF($B$4:$B$35,PO_AVG[[#This Row],[Baller]],$Q$4:$Q$35))/PO_AVG[[#This Row],[Games Played]])</f>
        <v>14</v>
      </c>
      <c r="R66" s="215">
        <f>SUM((SUMIF($B$4:$B$35,PO_AVG[[#This Row],[Baller]],$R$4:$R$35))/PO_AVG[[#This Row],[Games Played]])</f>
        <v>0</v>
      </c>
      <c r="S66" s="215">
        <f>SUM((SUMIF($B$4:$B$35,PO_AVG[[#This Row],[Baller]],$S$4:$S$35))/PO_AVG[[#This Row],[Games Played]])</f>
        <v>2.4</v>
      </c>
      <c r="T66" s="215">
        <f>SUM((SUMIF($B$4:$B$35,PO_AVG[[#This Row],[Baller]],$T$4:$T$35))/PO_AVG[[#This Row],[Games Played]])</f>
        <v>0.2</v>
      </c>
      <c r="U66" s="215">
        <f>SUM((SUMIF($B$4:$B$35,PO_AVG[[#This Row],[Baller]],$U$4:$U$35))/PO_AVG[[#This Row],[Games Played]])</f>
        <v>2.6</v>
      </c>
      <c r="V66" s="215">
        <f>SUM((SUMIF($B$4:$B$35,PO_AVG[[#This Row],[Baller]],$V$4:$V$35))/PO_AVG[[#This Row],[Games Played]])</f>
        <v>2.8</v>
      </c>
      <c r="W66" s="215">
        <f>SUM((SUMIF($B$4:$B$35,PO_AVG[[#This Row],[Baller]],$W$4:$W$35))/PO_AVG[[#This Row],[Games Played]])</f>
        <v>0.8</v>
      </c>
      <c r="X66" s="274">
        <f>SUM((SUMIF($B$4:$B$35,PO_AVG[[#This Row],[Baller]],$X$4:$X$35))/PO_AVG[[#This Row],[Games Played]])</f>
        <v>0.8</v>
      </c>
      <c r="Y66" s="215">
        <f>SUM((SUMIF($B$4:$B$35,PO_AVG[[#This Row],[Baller]],$Y$4:$Y$35))/PO_AVG[[#This Row],[Games Played]])</f>
        <v>1.2</v>
      </c>
      <c r="Z66" s="204">
        <f>PO_AVG[[#This Row],[Dimes]]/PO_AVG[[#This Row],[Turnovers]]</f>
        <v>2.3333333333333335</v>
      </c>
    </row>
    <row r="67" spans="1:26" x14ac:dyDescent="0.2">
      <c r="A67" s="14" t="s">
        <v>40</v>
      </c>
      <c r="B67" t="s">
        <v>83</v>
      </c>
      <c r="C67" t="s">
        <v>208</v>
      </c>
      <c r="D67" s="86">
        <f t="shared" si="0"/>
        <v>5</v>
      </c>
      <c r="E67" s="215">
        <f>SUM((SUMIF($B$4:$B$35,PO_AVG[[#This Row],[Baller]],$E$4:$E$35))/PO_AVG[[#This Row],[Games Played]])</f>
        <v>2.4</v>
      </c>
      <c r="F67" s="215">
        <f>SUM((SUMIF($B$4:$B$35,PO_AVG[[#This Row],[Baller]],$F$4:$F$35))/PO_AVG[[#This Row],[Games Played]])</f>
        <v>5</v>
      </c>
      <c r="G67" s="203">
        <f>PO_AVG[[#This Row],[Total FGM]]/PO_AVG[[#This Row],[Total FGA]]</f>
        <v>0.48</v>
      </c>
      <c r="H67" s="216">
        <f>SUM((SUMIF($B$4:$B$35,PO_AVG[[#This Row],[Baller]],$H$4:$H$35))/PO_AVG[[#This Row],[Games Played]])</f>
        <v>0.8</v>
      </c>
      <c r="I67" s="92">
        <f>SUM((SUMIF($B$4:$B$35,PO_AVG[[#This Row],[Baller]],$I$4:$I$35))/PO_AVG[[#This Row],[Games Played]])</f>
        <v>1.8</v>
      </c>
      <c r="J67" s="91">
        <f>PO_AVG[[#This Row],[2PT FGM]]/PO_AVG[[#This Row],[2PT FGA]]</f>
        <v>0.44444444444444448</v>
      </c>
      <c r="K67" s="92">
        <f>SUM((SUMIF($B$4:$B$35,PO_AVG[[#This Row],[Baller]],$K$4:$K$35))/PO_AVG[[#This Row],[Games Played]])</f>
        <v>1.6</v>
      </c>
      <c r="L67" s="92">
        <f>SUM((SUMIF($B$4:$B$35,PO_AVG[[#This Row],[Baller]],$L$4:$L$35))/PO_AVG[[#This Row],[Games Played]])</f>
        <v>3.2</v>
      </c>
      <c r="M67" s="244">
        <f>PO_AVG[[#This Row],[3PT FGM]]/PO_AVG[[#This Row],[3PT FGA]]</f>
        <v>0.5</v>
      </c>
      <c r="N67" s="92">
        <f>SUM((SUMIF($B$4:$B$35,PO_AVG[[#This Row],[Baller]],$N$4:$N$35))/PO_AVG[[#This Row],[Games Played]])</f>
        <v>0</v>
      </c>
      <c r="O67" s="92">
        <f>SUM((SUMIF($B$4:$B$35,PO_AVG[[#This Row],[Baller]],$O$4:$O$35))/PO_AVG[[#This Row],[Games Played]])</f>
        <v>0</v>
      </c>
      <c r="P67" s="99" t="e">
        <f>PO_AVG[[#This Row],[FTM]]/PO_AVG[[#This Row],[FTA]]</f>
        <v>#DIV/0!</v>
      </c>
      <c r="Q67" s="215">
        <f>SUM((SUMIF($B$4:$B$35,PO_AVG[[#This Row],[Baller]],$Q$4:$Q$35))/PO_AVG[[#This Row],[Games Played]])</f>
        <v>6.4</v>
      </c>
      <c r="R67" s="215">
        <f>SUM((SUMIF($B$4:$B$35,PO_AVG[[#This Row],[Baller]],$R$4:$R$35))/PO_AVG[[#This Row],[Games Played]])</f>
        <v>0</v>
      </c>
      <c r="S67" s="215">
        <f>SUM((SUMIF($B$4:$B$35,PO_AVG[[#This Row],[Baller]],$S$4:$S$35))/PO_AVG[[#This Row],[Games Played]])</f>
        <v>0.6</v>
      </c>
      <c r="T67" s="215">
        <f>SUM((SUMIF($B$4:$B$35,PO_AVG[[#This Row],[Baller]],$T$4:$T$35))/PO_AVG[[#This Row],[Games Played]])</f>
        <v>0.2</v>
      </c>
      <c r="U67" s="215">
        <f>SUM((SUMIF($B$4:$B$35,PO_AVG[[#This Row],[Baller]],$U$4:$U$35))/PO_AVG[[#This Row],[Games Played]])</f>
        <v>0.8</v>
      </c>
      <c r="V67" s="215">
        <f>SUM((SUMIF($B$4:$B$35,PO_AVG[[#This Row],[Baller]],$V$4:$V$35))/PO_AVG[[#This Row],[Games Played]])</f>
        <v>0.6</v>
      </c>
      <c r="W67" s="215">
        <f>SUM((SUMIF($B$4:$B$35,PO_AVG[[#This Row],[Baller]],$W$4:$W$35))/PO_AVG[[#This Row],[Games Played]])</f>
        <v>0.6</v>
      </c>
      <c r="X67" s="215">
        <f>SUM((SUMIF($B$4:$B$35,PO_AVG[[#This Row],[Baller]],$X$4:$X$35))/PO_AVG[[#This Row],[Games Played]])</f>
        <v>0</v>
      </c>
      <c r="Y67" s="274">
        <f>SUM((SUMIF($B$4:$B$35,PO_AVG[[#This Row],[Baller]],$Y$4:$Y$35))/PO_AVG[[#This Row],[Games Played]])</f>
        <v>0.4</v>
      </c>
      <c r="Z67" s="204">
        <f>PO_AVG[[#This Row],[Dimes]]/PO_AVG[[#This Row],[Turnovers]]</f>
        <v>1.4999999999999998</v>
      </c>
    </row>
    <row r="68" spans="1:26" x14ac:dyDescent="0.2">
      <c r="A68" s="14" t="s">
        <v>55</v>
      </c>
      <c r="B68" t="s">
        <v>85</v>
      </c>
      <c r="C68" t="s">
        <v>209</v>
      </c>
      <c r="D68" s="86">
        <f t="shared" si="0"/>
        <v>2</v>
      </c>
      <c r="E68" s="215">
        <f>SUM((SUMIF($B$4:$B$35,PO_AVG[[#This Row],[Baller]],$E$4:$E$35))/PO_AVG[[#This Row],[Games Played]])</f>
        <v>2</v>
      </c>
      <c r="F68" s="215">
        <f>SUM((SUMIF($B$4:$B$35,PO_AVG[[#This Row],[Baller]],$F$4:$F$35))/PO_AVG[[#This Row],[Games Played]])</f>
        <v>4.5</v>
      </c>
      <c r="G68" s="203">
        <f>PO_AVG[[#This Row],[Total FGM]]/PO_AVG[[#This Row],[Total FGA]]</f>
        <v>0.44444444444444442</v>
      </c>
      <c r="H68" s="216">
        <f>SUM((SUMIF($B$4:$B$35,PO_AVG[[#This Row],[Baller]],$H$4:$H$35))/PO_AVG[[#This Row],[Games Played]])</f>
        <v>0.5</v>
      </c>
      <c r="I68" s="92">
        <f>SUM((SUMIF($B$4:$B$35,PO_AVG[[#This Row],[Baller]],$I$4:$I$35))/PO_AVG[[#This Row],[Games Played]])</f>
        <v>1.5</v>
      </c>
      <c r="J68" s="91">
        <f>PO_AVG[[#This Row],[2PT FGM]]/PO_AVG[[#This Row],[2PT FGA]]</f>
        <v>0.33333333333333331</v>
      </c>
      <c r="K68" s="92">
        <f>SUM((SUMIF($B$4:$B$35,PO_AVG[[#This Row],[Baller]],$K$4:$K$35))/PO_AVG[[#This Row],[Games Played]])</f>
        <v>1.5</v>
      </c>
      <c r="L68" s="92">
        <f>SUM((SUMIF($B$4:$B$35,PO_AVG[[#This Row],[Baller]],$L$4:$L$35))/PO_AVG[[#This Row],[Games Played]])</f>
        <v>3</v>
      </c>
      <c r="M68" s="244">
        <f>PO_AVG[[#This Row],[3PT FGM]]/PO_AVG[[#This Row],[3PT FGA]]</f>
        <v>0.5</v>
      </c>
      <c r="N68" s="92">
        <f>SUM((SUMIF($B$4:$B$35,PO_AVG[[#This Row],[Baller]],$N$4:$N$35))/PO_AVG[[#This Row],[Games Played]])</f>
        <v>0</v>
      </c>
      <c r="O68" s="92">
        <f>SUM((SUMIF($B$4:$B$35,PO_AVG[[#This Row],[Baller]],$O$4:$O$35))/PO_AVG[[#This Row],[Games Played]])</f>
        <v>0</v>
      </c>
      <c r="P68" s="99" t="e">
        <f>PO_AVG[[#This Row],[FTM]]/PO_AVG[[#This Row],[FTA]]</f>
        <v>#DIV/0!</v>
      </c>
      <c r="Q68" s="215">
        <f>SUM((SUMIF($B$4:$B$35,PO_AVG[[#This Row],[Baller]],$Q$4:$Q$35))/PO_AVG[[#This Row],[Games Played]])</f>
        <v>5.5</v>
      </c>
      <c r="R68" s="215">
        <f>SUM((SUMIF($B$4:$B$35,PO_AVG[[#This Row],[Baller]],$R$4:$R$35))/PO_AVG[[#This Row],[Games Played]])</f>
        <v>0</v>
      </c>
      <c r="S68" s="215">
        <f>SUM((SUMIF($B$4:$B$35,PO_AVG[[#This Row],[Baller]],$S$4:$S$35))/PO_AVG[[#This Row],[Games Played]])</f>
        <v>0.5</v>
      </c>
      <c r="T68" s="215">
        <f>SUM((SUMIF($B$4:$B$35,PO_AVG[[#This Row],[Baller]],$T$4:$T$35))/PO_AVG[[#This Row],[Games Played]])</f>
        <v>0.5</v>
      </c>
      <c r="U68" s="215">
        <f>SUM((SUMIF($B$4:$B$35,PO_AVG[[#This Row],[Baller]],$U$4:$U$35))/PO_AVG[[#This Row],[Games Played]])</f>
        <v>1</v>
      </c>
      <c r="V68" s="215">
        <f>SUM((SUMIF($B$4:$B$35,PO_AVG[[#This Row],[Baller]],$V$4:$V$35))/PO_AVG[[#This Row],[Games Played]])</f>
        <v>0</v>
      </c>
      <c r="W68" s="215">
        <f>SUM((SUMIF($B$4:$B$35,PO_AVG[[#This Row],[Baller]],$W$4:$W$35))/PO_AVG[[#This Row],[Games Played]])</f>
        <v>0.5</v>
      </c>
      <c r="X68" s="215">
        <f>SUM((SUMIF($B$4:$B$35,PO_AVG[[#This Row],[Baller]],$X$4:$X$35))/PO_AVG[[#This Row],[Games Played]])</f>
        <v>0</v>
      </c>
      <c r="Y68" s="215">
        <f>SUM((SUMIF($B$4:$B$35,PO_AVG[[#This Row],[Baller]],$Y$4:$Y$35))/PO_AVG[[#This Row],[Games Played]])</f>
        <v>1</v>
      </c>
      <c r="Z68" s="272">
        <f>PO_AVG[[#This Row],[Dimes]]/PO_AVG[[#This Row],[Turnovers]]</f>
        <v>0</v>
      </c>
    </row>
    <row r="69" spans="1:26" x14ac:dyDescent="0.2">
      <c r="A69" s="14" t="s">
        <v>206</v>
      </c>
      <c r="B69" t="s">
        <v>207</v>
      </c>
      <c r="C69" t="s">
        <v>208</v>
      </c>
      <c r="D69" s="86">
        <f t="shared" si="0"/>
        <v>5</v>
      </c>
      <c r="E69" s="215">
        <f>SUM((SUMIF($B$4:$B$35,PO_AVG[[#This Row],[Baller]],$E$4:$E$35))/PO_AVG[[#This Row],[Games Played]])</f>
        <v>3.6</v>
      </c>
      <c r="F69" s="215">
        <f>SUM((SUMIF($B$4:$B$35,PO_AVG[[#This Row],[Baller]],$F$4:$F$35))/PO_AVG[[#This Row],[Games Played]])</f>
        <v>7.6</v>
      </c>
      <c r="G69" s="203">
        <f>PO_AVG[[#This Row],[Total FGM]]/PO_AVG[[#This Row],[Total FGA]]</f>
        <v>0.47368421052631582</v>
      </c>
      <c r="H69" s="216">
        <f>SUM((SUMIF($B$4:$B$35,PO_AVG[[#This Row],[Baller]],$H$4:$H$35))/PO_AVG[[#This Row],[Games Played]])</f>
        <v>2.8</v>
      </c>
      <c r="I69" s="92">
        <f>SUM((SUMIF($B$4:$B$35,PO_AVG[[#This Row],[Baller]],$I$4:$I$35))/PO_AVG[[#This Row],[Games Played]])</f>
        <v>4.4000000000000004</v>
      </c>
      <c r="J69" s="91">
        <f>PO_AVG[[#This Row],[2PT FGM]]/PO_AVG[[#This Row],[2PT FGA]]</f>
        <v>0.63636363636363624</v>
      </c>
      <c r="K69" s="92">
        <f>SUM((SUMIF($B$4:$B$35,PO_AVG[[#This Row],[Baller]],$K$4:$K$35))/PO_AVG[[#This Row],[Games Played]])</f>
        <v>0.8</v>
      </c>
      <c r="L69" s="92">
        <f>SUM((SUMIF($B$4:$B$35,PO_AVG[[#This Row],[Baller]],$L$4:$L$35))/PO_AVG[[#This Row],[Games Played]])</f>
        <v>3.2</v>
      </c>
      <c r="M69" s="91">
        <f>PO_AVG[[#This Row],[3PT FGM]]/PO_AVG[[#This Row],[3PT FGA]]</f>
        <v>0.25</v>
      </c>
      <c r="N69" s="92">
        <f>SUM((SUMIF($B$4:$B$35,PO_AVG[[#This Row],[Baller]],$N$4:$N$35))/PO_AVG[[#This Row],[Games Played]])</f>
        <v>0</v>
      </c>
      <c r="O69" s="92">
        <f>SUM((SUMIF($B$4:$B$35,PO_AVG[[#This Row],[Baller]],$O$4:$O$35))/PO_AVG[[#This Row],[Games Played]])</f>
        <v>0</v>
      </c>
      <c r="P69" s="99" t="e">
        <f>PO_AVG[[#This Row],[FTM]]/PO_AVG[[#This Row],[FTA]]</f>
        <v>#DIV/0!</v>
      </c>
      <c r="Q69" s="215">
        <f>SUM((SUMIF($B$4:$B$35,PO_AVG[[#This Row],[Baller]],$Q$4:$Q$35))/PO_AVG[[#This Row],[Games Played]])</f>
        <v>8</v>
      </c>
      <c r="R69" s="215">
        <f>SUM((SUMIF($B$4:$B$35,PO_AVG[[#This Row],[Baller]],$R$4:$R$35))/PO_AVG[[#This Row],[Games Played]])</f>
        <v>2</v>
      </c>
      <c r="S69" s="215">
        <f>SUM((SUMIF($B$4:$B$35,PO_AVG[[#This Row],[Baller]],$S$4:$S$35))/PO_AVG[[#This Row],[Games Played]])</f>
        <v>2.4</v>
      </c>
      <c r="T69" s="215">
        <f>SUM((SUMIF($B$4:$B$35,PO_AVG[[#This Row],[Baller]],$T$4:$T$35))/PO_AVG[[#This Row],[Games Played]])</f>
        <v>1.8</v>
      </c>
      <c r="U69" s="215">
        <f>SUM((SUMIF($B$4:$B$35,PO_AVG[[#This Row],[Baller]],$U$4:$U$35))/PO_AVG[[#This Row],[Games Played]])</f>
        <v>4.2</v>
      </c>
      <c r="V69" s="215">
        <f>SUM((SUMIF($B$4:$B$35,PO_AVG[[#This Row],[Baller]],$V$4:$V$35))/PO_AVG[[#This Row],[Games Played]])</f>
        <v>0.6</v>
      </c>
      <c r="W69" s="215">
        <f>SUM((SUMIF($B$4:$B$35,PO_AVG[[#This Row],[Baller]],$W$4:$W$35))/PO_AVG[[#This Row],[Games Played]])</f>
        <v>0.4</v>
      </c>
      <c r="X69" s="215">
        <f>SUM((SUMIF($B$4:$B$35,PO_AVG[[#This Row],[Baller]],$X$4:$X$35))/PO_AVG[[#This Row],[Games Played]])</f>
        <v>0.2</v>
      </c>
      <c r="Y69" s="215">
        <f>SUM((SUMIF($B$4:$B$35,PO_AVG[[#This Row],[Baller]],$Y$4:$Y$35))/PO_AVG[[#This Row],[Games Played]])</f>
        <v>1</v>
      </c>
      <c r="Z69" s="204">
        <f>PO_AVG[[#This Row],[Dimes]]/PO_AVG[[#This Row],[Turnovers]]</f>
        <v>0.6</v>
      </c>
    </row>
    <row r="70" spans="1:26" ht="16" thickBot="1" x14ac:dyDescent="0.25">
      <c r="A70" s="14" t="s">
        <v>35</v>
      </c>
      <c r="B70" t="s">
        <v>265</v>
      </c>
      <c r="C70" t="s">
        <v>208</v>
      </c>
      <c r="D70" s="86">
        <v>4</v>
      </c>
      <c r="E70" s="215">
        <f>SUM((SUMIF($B$4:$B$35,PO_AVG[[#This Row],[Baller]],$E$4:$E$35))/PO_AVG[[#This Row],[Games Played]])</f>
        <v>0.75</v>
      </c>
      <c r="F70" s="215">
        <f>SUM((SUMIF($B$4:$B$35,PO_AVG[[#This Row],[Baller]],$F$4:$F$35))/PO_AVG[[#This Row],[Games Played]])</f>
        <v>5.25</v>
      </c>
      <c r="G70" s="203">
        <f>PO_AVG[[#This Row],[Total FGM]]/PO_AVG[[#This Row],[Total FGA]]</f>
        <v>0.14285714285714285</v>
      </c>
      <c r="H70" s="217">
        <f>SUM((SUMIF($B$4:$B$35,PO_AVG[[#This Row],[Baller]],$H$4:$H$35))/PO_AVG[[#This Row],[Games Played]])</f>
        <v>0.75</v>
      </c>
      <c r="I70" s="218">
        <f>SUM((SUMIF($B$4:$B$35,PO_AVG[[#This Row],[Baller]],$I$4:$I$35))/PO_AVG[[#This Row],[Games Played]])</f>
        <v>3.25</v>
      </c>
      <c r="J70" s="213">
        <f>PO_AVG[[#This Row],[2PT FGM]]/PO_AVG[[#This Row],[2PT FGA]]</f>
        <v>0.23076923076923078</v>
      </c>
      <c r="K70" s="218">
        <f>SUM((SUMIF($B$4:$B$35,PO_AVG[[#This Row],[Baller]],$K$4:$K$35))/PO_AVG[[#This Row],[Games Played]])</f>
        <v>0</v>
      </c>
      <c r="L70" s="218">
        <f>SUM((SUMIF($B$4:$B$35,PO_AVG[[#This Row],[Baller]],$L$4:$L$35))/PO_AVG[[#This Row],[Games Played]])</f>
        <v>2</v>
      </c>
      <c r="M70" s="213">
        <f>PO_AVG[[#This Row],[3PT FGM]]/PO_AVG[[#This Row],[3PT FGA]]</f>
        <v>0</v>
      </c>
      <c r="N70" s="218">
        <f>SUM((SUMIF($B$4:$B$35,PO_AVG[[#This Row],[Baller]],$N$4:$N$35))/PO_AVG[[#This Row],[Games Played]])</f>
        <v>0</v>
      </c>
      <c r="O70" s="218">
        <f>SUM((SUMIF($B$4:$B$35,PO_AVG[[#This Row],[Baller]],$O$4:$O$35))/PO_AVG[[#This Row],[Games Played]])</f>
        <v>0</v>
      </c>
      <c r="P70" s="214" t="e">
        <f>PO_AVG[[#This Row],[FTM]]/PO_AVG[[#This Row],[FTA]]</f>
        <v>#DIV/0!</v>
      </c>
      <c r="Q70" s="215">
        <f>SUM((SUMIF($B$4:$B$35,PO_AVG[[#This Row],[Baller]],$Q$4:$Q$35))/PO_AVG[[#This Row],[Games Played]])</f>
        <v>1.5</v>
      </c>
      <c r="R70" s="215">
        <f>SUM((SUMIF($B$4:$B$35,PO_AVG[[#This Row],[Baller]],$R$4:$R$35))/PO_AVG[[#This Row],[Games Played]])</f>
        <v>0</v>
      </c>
      <c r="S70" s="215">
        <f>SUM((SUMIF($B$4:$B$35,PO_AVG[[#This Row],[Baller]],$S$4:$S$35))/PO_AVG[[#This Row],[Games Played]])</f>
        <v>2</v>
      </c>
      <c r="T70" s="215">
        <f>SUM((SUMIF($B$4:$B$35,PO_AVG[[#This Row],[Baller]],$T$4:$T$35))/PO_AVG[[#This Row],[Games Played]])</f>
        <v>0.75</v>
      </c>
      <c r="U70" s="215">
        <f>SUM((SUMIF($B$4:$B$35,PO_AVG[[#This Row],[Baller]],$U$4:$U$35))/PO_AVG[[#This Row],[Games Played]])</f>
        <v>2.75</v>
      </c>
      <c r="V70" s="215">
        <f>SUM((SUMIF($B$4:$B$35,PO_AVG[[#This Row],[Baller]],$V$4:$V$35))/PO_AVG[[#This Row],[Games Played]])</f>
        <v>1</v>
      </c>
      <c r="W70" s="215">
        <f>SUM((SUMIF($B$4:$B$35,PO_AVG[[#This Row],[Baller]],$W$4:$W$35))/PO_AVG[[#This Row],[Games Played]])</f>
        <v>0.25</v>
      </c>
      <c r="X70" s="215">
        <f>SUM((SUMIF($B$4:$B$35,PO_AVG[[#This Row],[Baller]],$X$4:$X$35))/PO_AVG[[#This Row],[Games Played]])</f>
        <v>0</v>
      </c>
      <c r="Y70" s="215">
        <f>SUM((SUMIF($B$4:$B$35,PO_AVG[[#This Row],[Baller]],$Y$4:$Y$35))/PO_AVG[[#This Row],[Games Played]])</f>
        <v>1</v>
      </c>
      <c r="Z70" s="204">
        <f>PO_AVG[[#This Row],[Dimes]]/PO_AVG[[#This Row],[Turnovers]]</f>
        <v>1</v>
      </c>
    </row>
    <row r="73" spans="1:26" x14ac:dyDescent="0.2">
      <c r="A73" s="27" t="s">
        <v>35</v>
      </c>
      <c r="B73" s="27" t="s">
        <v>98</v>
      </c>
      <c r="C73" s="27" t="s">
        <v>278</v>
      </c>
      <c r="D73" s="267">
        <v>5</v>
      </c>
      <c r="E73" s="267">
        <f>SUMIF($A$4:$A$35,$A$73,PO_TOT[Total FGM])</f>
        <v>7</v>
      </c>
      <c r="F73" s="267">
        <f>SUMIF($A$4:$A$35,$A$73,PO_TOT[Total FGA])</f>
        <v>28</v>
      </c>
      <c r="G73" s="268">
        <f>E73/F73</f>
        <v>0.25</v>
      </c>
      <c r="H73" s="267">
        <f>SUMIF($A$4:$A$35,$A$73,PO_TOT[2PT FGM])</f>
        <v>6</v>
      </c>
      <c r="I73" s="267">
        <f>SUMIF($A$4:$A$35,$A$73,PO_TOT[2PT FGA])</f>
        <v>18</v>
      </c>
      <c r="J73" s="268">
        <f>H73/I73</f>
        <v>0.33333333333333331</v>
      </c>
      <c r="K73" s="267">
        <f>SUMIF($A$4:$A$35,$A$73,PO_TOT[3PT FGM])</f>
        <v>1</v>
      </c>
      <c r="L73" s="267">
        <f>SUMIF($A$4:$A$35,$A$73,PO_TOT[3PT FGA])</f>
        <v>10</v>
      </c>
      <c r="M73" s="268">
        <f>K73/L73</f>
        <v>0.1</v>
      </c>
      <c r="N73" s="267">
        <f>SUMIF($A$4:$A$35,$A$73,PO_TOT[FTM])</f>
        <v>0</v>
      </c>
      <c r="O73" s="267">
        <f>SUMIF($A$4:$A$35,$A$73,PO_TOT[FTA])</f>
        <v>0</v>
      </c>
      <c r="P73" s="267" t="e">
        <f>N73/O73</f>
        <v>#DIV/0!</v>
      </c>
      <c r="Q73" s="267">
        <f>SUMIF($A$4:$A$35,$A$73,PO_TOT[TOTAL POINTS])</f>
        <v>15</v>
      </c>
      <c r="R73" s="267">
        <f>SUMIF($A$4:$A$35,$A$73,PO_TOT[Dunks])</f>
        <v>0</v>
      </c>
      <c r="S73" s="267">
        <f>SUMIF($A$4:$A$35,$A$73,PO_TOT[Def. Boards])</f>
        <v>9</v>
      </c>
      <c r="T73" s="267">
        <f>SUMIF($A$4:$A$35,$A$73,PO_TOT[Off. Boards])</f>
        <v>6</v>
      </c>
      <c r="U73" s="267">
        <f>SUMIF($A$4:$A$35,$A$73,PO_TOT[Total Boards])</f>
        <v>15</v>
      </c>
      <c r="V73" s="267">
        <f>SUMIF($A$4:$A$35,$A$73,PO_TOT[Dimes])</f>
        <v>4</v>
      </c>
      <c r="W73" s="267">
        <f>SUMIF($A$4:$A$35,$A$73,PO_TOT[Cookies])</f>
        <v>2</v>
      </c>
      <c r="X73" s="267">
        <f>SUMIF($A$4:$A$35,$A$73,PO_TOT[Swats])</f>
        <v>0</v>
      </c>
      <c r="Y73" s="267">
        <f>SUMIF($A$4:$A$35,$A$73,PO_TOT[Turnovers])</f>
        <v>6</v>
      </c>
      <c r="Z73" s="269">
        <f>V73/Y73</f>
        <v>0.66666666666666663</v>
      </c>
    </row>
    <row r="74" spans="1:26" x14ac:dyDescent="0.2">
      <c r="A74" s="27" t="s">
        <v>35</v>
      </c>
      <c r="B74" s="27" t="s">
        <v>98</v>
      </c>
      <c r="C74" s="27" t="s">
        <v>278</v>
      </c>
      <c r="D74" s="267">
        <f>D73</f>
        <v>5</v>
      </c>
      <c r="E74" s="267">
        <f>E73/5</f>
        <v>1.4</v>
      </c>
      <c r="F74" s="267">
        <f>F73/5</f>
        <v>5.6</v>
      </c>
      <c r="G74" s="268">
        <f>G73</f>
        <v>0.25</v>
      </c>
      <c r="H74" s="267">
        <f>H73/5</f>
        <v>1.2</v>
      </c>
      <c r="I74" s="267">
        <f>I73/5</f>
        <v>3.6</v>
      </c>
      <c r="J74" s="268">
        <f>J73</f>
        <v>0.33333333333333331</v>
      </c>
      <c r="K74" s="267">
        <f>K73/5</f>
        <v>0.2</v>
      </c>
      <c r="L74" s="267">
        <f>L73/5</f>
        <v>2</v>
      </c>
      <c r="M74" s="268">
        <f>M73</f>
        <v>0.1</v>
      </c>
      <c r="N74" s="267">
        <f>N73/5</f>
        <v>0</v>
      </c>
      <c r="O74" s="267">
        <f>O73/5</f>
        <v>0</v>
      </c>
      <c r="P74" s="267" t="e">
        <f>P73</f>
        <v>#DIV/0!</v>
      </c>
      <c r="Q74" s="267">
        <f>Q73/5</f>
        <v>3</v>
      </c>
      <c r="R74" s="267">
        <f t="shared" ref="R74:Y74" si="1">R73/5</f>
        <v>0</v>
      </c>
      <c r="S74" s="267">
        <f t="shared" si="1"/>
        <v>1.8</v>
      </c>
      <c r="T74" s="267">
        <f t="shared" si="1"/>
        <v>1.2</v>
      </c>
      <c r="U74" s="267">
        <f t="shared" si="1"/>
        <v>3</v>
      </c>
      <c r="V74" s="267">
        <f t="shared" si="1"/>
        <v>0.8</v>
      </c>
      <c r="W74" s="267">
        <f t="shared" si="1"/>
        <v>0.4</v>
      </c>
      <c r="X74" s="267">
        <f t="shared" si="1"/>
        <v>0</v>
      </c>
      <c r="Y74" s="267">
        <f t="shared" si="1"/>
        <v>1.2</v>
      </c>
      <c r="Z74" s="269">
        <f>Z73</f>
        <v>0.66666666666666663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47E26-89FD-4631-920E-9C379F2EA5F4}">
  <dimension ref="A1:X25"/>
  <sheetViews>
    <sheetView showGridLines="0" zoomScale="95" zoomScaleNormal="95" workbookViewId="0">
      <selection activeCell="J32" sqref="J32"/>
    </sheetView>
  </sheetViews>
  <sheetFormatPr baseColWidth="10" defaultColWidth="8.83203125" defaultRowHeight="15" x14ac:dyDescent="0.2"/>
  <cols>
    <col min="1" max="1" width="25.5" customWidth="1"/>
    <col min="2" max="2" width="15.5" customWidth="1"/>
    <col min="3" max="3" width="12.33203125" customWidth="1"/>
    <col min="4" max="4" width="11.6640625" customWidth="1"/>
    <col min="5" max="5" width="14" customWidth="1"/>
    <col min="6" max="6" width="11" customWidth="1"/>
    <col min="7" max="7" width="10.5" customWidth="1"/>
    <col min="8" max="8" width="10.6640625" customWidth="1"/>
    <col min="9" max="9" width="11" customWidth="1"/>
    <col min="10" max="10" width="10.5" customWidth="1"/>
    <col min="11" max="11" width="10.6640625" customWidth="1"/>
    <col min="15" max="15" width="11.83203125" customWidth="1"/>
    <col min="17" max="17" width="13.5" customWidth="1"/>
    <col min="18" max="18" width="13.1640625" customWidth="1"/>
    <col min="19" max="19" width="11.5" customWidth="1"/>
    <col min="21" max="21" width="10.1640625" customWidth="1"/>
    <col min="23" max="23" width="12.33203125" customWidth="1"/>
    <col min="24" max="24" width="11.6640625" customWidth="1"/>
  </cols>
  <sheetData>
    <row r="1" spans="1:24" x14ac:dyDescent="0.2">
      <c r="A1" t="s">
        <v>143</v>
      </c>
    </row>
    <row r="2" spans="1:24" ht="16" thickBot="1" x14ac:dyDescent="0.25">
      <c r="A2" s="121" t="s">
        <v>75</v>
      </c>
      <c r="B2" s="121"/>
      <c r="C2" s="121"/>
      <c r="D2" s="122"/>
      <c r="E2" s="121"/>
      <c r="F2" s="121"/>
      <c r="G2" s="122"/>
      <c r="H2" s="121"/>
      <c r="I2" s="121"/>
      <c r="J2" s="122"/>
      <c r="K2" s="121"/>
      <c r="L2" s="121"/>
      <c r="M2" s="122"/>
      <c r="N2" s="121"/>
      <c r="O2" s="121"/>
      <c r="P2" s="121"/>
      <c r="Q2" s="121"/>
      <c r="R2" s="121"/>
      <c r="S2" s="121"/>
      <c r="T2" s="121"/>
      <c r="U2" s="121"/>
      <c r="V2" s="121"/>
      <c r="W2" s="122"/>
      <c r="X2" s="121"/>
    </row>
    <row r="3" spans="1:24" ht="16" x14ac:dyDescent="0.2">
      <c r="A3" s="123" t="s">
        <v>23</v>
      </c>
      <c r="B3" s="123" t="s">
        <v>138</v>
      </c>
      <c r="C3" s="54" t="s">
        <v>0</v>
      </c>
      <c r="D3" s="54" t="s">
        <v>1</v>
      </c>
      <c r="E3" s="88" t="s">
        <v>2</v>
      </c>
      <c r="F3" s="110" t="s">
        <v>3</v>
      </c>
      <c r="G3" s="111" t="s">
        <v>4</v>
      </c>
      <c r="H3" s="112" t="s">
        <v>5</v>
      </c>
      <c r="I3" s="111" t="s">
        <v>6</v>
      </c>
      <c r="J3" s="111" t="s">
        <v>7</v>
      </c>
      <c r="K3" s="112" t="s">
        <v>8</v>
      </c>
      <c r="L3" s="111" t="s">
        <v>9</v>
      </c>
      <c r="M3" s="111" t="s">
        <v>10</v>
      </c>
      <c r="N3" s="113" t="s">
        <v>11</v>
      </c>
      <c r="O3" s="54" t="s">
        <v>12</v>
      </c>
      <c r="P3" s="54" t="s">
        <v>13</v>
      </c>
      <c r="Q3" s="54" t="s">
        <v>14</v>
      </c>
      <c r="R3" s="54" t="s">
        <v>15</v>
      </c>
      <c r="S3" s="54" t="s">
        <v>16</v>
      </c>
      <c r="T3" s="54" t="s">
        <v>17</v>
      </c>
      <c r="U3" s="54" t="s">
        <v>18</v>
      </c>
      <c r="V3" s="54" t="s">
        <v>19</v>
      </c>
      <c r="W3" s="54" t="s">
        <v>20</v>
      </c>
      <c r="X3" s="88" t="s">
        <v>21</v>
      </c>
    </row>
    <row r="4" spans="1:24" x14ac:dyDescent="0.2">
      <c r="A4" s="164" t="s">
        <v>208</v>
      </c>
      <c r="B4" s="86">
        <v>5</v>
      </c>
      <c r="C4" s="194">
        <f>SUMIF(Playoffs!$C$3:$C$35,A4,Playoffs!$E$3:$E$35)</f>
        <v>64</v>
      </c>
      <c r="D4" s="252">
        <f>SUMIF(Playoffs!$C$3:$C$35,A4,Playoffs!$F$3:$F$35)</f>
        <v>185</v>
      </c>
      <c r="E4" s="195">
        <f>PO_TEAM_TOT[[#This Row],[Total FGM]]/PO_TEAM_TOT[[#This Row],[Total FGA]]</f>
        <v>0.34594594594594597</v>
      </c>
      <c r="F4" s="196">
        <f>SUMIF(Playoffs!$C$3:$C$35,A4,Playoffs!$H$3:$H$35)</f>
        <v>39</v>
      </c>
      <c r="G4" s="255">
        <f>SUMIF(Playoffs!$C$3:$C$35,A4,Playoffs!$I$3:$I$35)</f>
        <v>89</v>
      </c>
      <c r="H4" s="198">
        <f>PO_TEAM_TOT[[#This Row],[2PT FGM]]/PO_TEAM_TOT[[#This Row],[2PT FGA]]</f>
        <v>0.43820224719101125</v>
      </c>
      <c r="I4" s="197">
        <f>SUMIF(Playoffs!$C$3:$C$35,A4,Playoffs!$K$3:$K$35)</f>
        <v>25</v>
      </c>
      <c r="J4" s="255">
        <f>SUMIF(Playoffs!$C$3:$C$35,A4,Playoffs!$L$3:$L$35)</f>
        <v>96</v>
      </c>
      <c r="K4" s="198">
        <f>PO_TEAM_TOT[[#This Row],[3PT FGM]]/PO_TEAM_TOT[[#This Row],[3PT FGA]]</f>
        <v>0.26041666666666669</v>
      </c>
      <c r="L4" s="197">
        <f>SUMIF(Playoffs!$C$3:$C$35,A4,Playoffs!$N$3:$N$35)</f>
        <v>2</v>
      </c>
      <c r="M4" s="197">
        <f>SUMIF(Playoffs!$C$3:$C$35,A4,Playoffs!$O$3:$O$35)</f>
        <v>2</v>
      </c>
      <c r="N4" s="199">
        <f>PO_TEAM_TOT[[#This Row],[FTM]]/PO_TEAM_TOT[[#This Row],[FTA]]</f>
        <v>1</v>
      </c>
      <c r="O4" s="194">
        <f>SUMIF(Playoffs!$C$3:$C$35,A4,Playoffs!$Q$3:$Q$35)</f>
        <v>155</v>
      </c>
      <c r="P4" s="194">
        <f>SUMIF(Playoffs!$C$3:$C$35,A4,Playoffs!$R$3:$R$35)</f>
        <v>12</v>
      </c>
      <c r="Q4" s="194">
        <f>SUMIF(Playoffs!$C$3:$C$35,A4,Playoffs!$S$3:$S$35)</f>
        <v>58</v>
      </c>
      <c r="R4" s="252">
        <f>SUMIF(Playoffs!$C$3:$C$35,A4,Playoffs!$T$3:$T$35)</f>
        <v>29</v>
      </c>
      <c r="S4" s="194">
        <f>SUMIF(Playoffs!$C$3:$C$35,A4,Playoffs!$U$3:$U$35)</f>
        <v>87</v>
      </c>
      <c r="T4" s="194">
        <f>SUMIF(Playoffs!$C$3:$C$35,A4,Playoffs!$V$3:$V$35)</f>
        <v>42</v>
      </c>
      <c r="U4" s="194">
        <f>SUMIF(Playoffs!$C$3:$C$35,A4,Playoffs!$W$3:$W$35)</f>
        <v>22</v>
      </c>
      <c r="V4" s="194">
        <f>SUMIF(Playoffs!$C$3:$C$35,A4,Playoffs!$X$3:$X$35)</f>
        <v>5</v>
      </c>
      <c r="W4" s="252">
        <f>SUMIF(Playoffs!$C$3:$C$35,A4,Playoffs!$Y$3:$Y$35)</f>
        <v>33</v>
      </c>
      <c r="X4" s="169">
        <f>PO_TEAM_TOT[[#This Row],[Dimes]]/PO_TEAM_TOT[[#This Row],[Turnovers]]</f>
        <v>1.2727272727272727</v>
      </c>
    </row>
    <row r="5" spans="1:24" x14ac:dyDescent="0.2">
      <c r="A5" s="164" t="s">
        <v>209</v>
      </c>
      <c r="B5" s="86">
        <v>5</v>
      </c>
      <c r="C5" s="252">
        <f>SUMIF(Playoffs!$C$3:$C$35,A5,Playoffs!$E$3:$E$35)</f>
        <v>85</v>
      </c>
      <c r="D5" s="194">
        <f>SUMIF(Playoffs!$C$3:$C$35,A5,Playoffs!$F$3:$F$35)</f>
        <v>179</v>
      </c>
      <c r="E5" s="253">
        <f>PO_TEAM_TOT[[#This Row],[Total FGM]]/PO_TEAM_TOT[[#This Row],[Total FGA]]</f>
        <v>0.47486033519553073</v>
      </c>
      <c r="F5" s="254">
        <f>SUMIF(Playoffs!$C$3:$C$35,A5,Playoffs!$H$3:$H$35)</f>
        <v>55</v>
      </c>
      <c r="G5" s="197">
        <f>SUMIF(Playoffs!$C$3:$C$35,A5,Playoffs!$I$3:$I$35)</f>
        <v>87</v>
      </c>
      <c r="H5" s="256">
        <f>PO_TEAM_TOT[[#This Row],[2PT FGM]]/PO_TEAM_TOT[[#This Row],[2PT FGA]]</f>
        <v>0.63218390804597702</v>
      </c>
      <c r="I5" s="255">
        <f>SUMIF(Playoffs!$C$3:$C$35,A5,Playoffs!$K$3:$K$35)</f>
        <v>30</v>
      </c>
      <c r="J5" s="197">
        <f>SUMIF(Playoffs!$C$3:$C$35,A5,Playoffs!$L$3:$L$35)</f>
        <v>92</v>
      </c>
      <c r="K5" s="256">
        <f>PO_TEAM_TOT[[#This Row],[3PT FGM]]/PO_TEAM_TOT[[#This Row],[3PT FGA]]</f>
        <v>0.32608695652173914</v>
      </c>
      <c r="L5" s="197">
        <f>SUMIF(Playoffs!$C$3:$C$35,A5,Playoffs!$N$3:$N$35)</f>
        <v>1</v>
      </c>
      <c r="M5" s="197">
        <f>SUMIF(Playoffs!$C$3:$C$35,A5,Playoffs!$O$3:$O$35)</f>
        <v>2</v>
      </c>
      <c r="N5" s="199">
        <f>PO_TEAM_TOT[[#This Row],[FTM]]/PO_TEAM_TOT[[#This Row],[FTA]]</f>
        <v>0.5</v>
      </c>
      <c r="O5" s="252">
        <f>SUMIF(Playoffs!$C$3:$C$35,A5,Playoffs!$Q$3:$Q$35)</f>
        <v>201</v>
      </c>
      <c r="P5" s="252">
        <f>SUMIF(Playoffs!$C$3:$C$35,A5,Playoffs!$R$3:$R$35)</f>
        <v>21</v>
      </c>
      <c r="Q5" s="252">
        <f>SUMIF(Playoffs!$C$3:$C$35,A5,Playoffs!$S$3:$S$35)</f>
        <v>81</v>
      </c>
      <c r="R5" s="194">
        <f>SUMIF(Playoffs!$C$3:$C$35,A5,Playoffs!$T$3:$T$35)</f>
        <v>24</v>
      </c>
      <c r="S5" s="252">
        <f>SUMIF(Playoffs!$C$3:$C$35,A5,Playoffs!$U$3:$U$35)</f>
        <v>105</v>
      </c>
      <c r="T5" s="252">
        <f>SUMIF(Playoffs!$C$3:$C$35,A5,Playoffs!$V$3:$V$35)</f>
        <v>62</v>
      </c>
      <c r="U5" s="252">
        <f>SUMIF(Playoffs!$C$3:$C$35,A5,Playoffs!$W$3:$W$35)</f>
        <v>25</v>
      </c>
      <c r="V5" s="252">
        <f>SUMIF(Playoffs!$C$3:$C$35,A5,Playoffs!$X$3:$X$35)</f>
        <v>11</v>
      </c>
      <c r="W5" s="261">
        <f>SUMIF(Playoffs!$C$3:$C$35,A5,Playoffs!$Y$3:$Y$35)</f>
        <v>34</v>
      </c>
      <c r="X5" s="257">
        <f>PO_TEAM_TOT[[#This Row],[Dimes]]/PO_TEAM_TOT[[#This Row],[Turnovers]]</f>
        <v>1.8235294117647058</v>
      </c>
    </row>
    <row r="6" spans="1:24" hidden="1" x14ac:dyDescent="0.2">
      <c r="A6" s="164"/>
      <c r="B6" s="86"/>
      <c r="C6" s="194">
        <f>SUMIF(Playoffs!$C$3:$C$35,A6,Playoffs!$E$3:$E$35)</f>
        <v>0</v>
      </c>
      <c r="D6" s="194">
        <f>SUMIF(Playoffs!$C$3:$C$35,A6,Playoffs!$F$3:$F$35)</f>
        <v>0</v>
      </c>
      <c r="E6" s="195" t="e">
        <f>PO_TEAM_TOT[[#This Row],[Total FGM]]/PO_TEAM_TOT[[#This Row],[Total FGA]]</f>
        <v>#DIV/0!</v>
      </c>
      <c r="F6" s="196">
        <f>SUMIF(Playoffs!$C$3:$C$35,A6,Playoffs!$H$3:$H$35)</f>
        <v>0</v>
      </c>
      <c r="G6" s="197">
        <f>SUMIF(Playoffs!$C$3:$C$35,A6,Playoffs!$I$3:$I$35)</f>
        <v>0</v>
      </c>
      <c r="H6" s="198" t="e">
        <f>PO_TEAM_TOT[[#This Row],[2PT FGM]]/PO_TEAM_TOT[[#This Row],[2PT FGA]]</f>
        <v>#DIV/0!</v>
      </c>
      <c r="I6" s="197">
        <f>SUMIF(Playoffs!$C$3:$C$35,A6,Playoffs!$K$3:$K$35)</f>
        <v>0</v>
      </c>
      <c r="J6" s="197">
        <f>SUMIF(Playoffs!$C$3:$C$35,A6,Playoffs!$L$3:$L$35)</f>
        <v>0</v>
      </c>
      <c r="K6" s="198" t="e">
        <f>PO_TEAM_TOT[[#This Row],[3PT FGM]]/PO_TEAM_TOT[[#This Row],[3PT FGA]]</f>
        <v>#DIV/0!</v>
      </c>
      <c r="L6" s="197">
        <f>SUMIF(Playoffs!$C$3:$C$35,A6,Playoffs!$N$3:$N$35)</f>
        <v>0</v>
      </c>
      <c r="M6" s="197">
        <f>SUMIF(Playoffs!$C$3:$C$35,A6,Playoffs!$O$3:$O$35)</f>
        <v>0</v>
      </c>
      <c r="N6" s="199" t="e">
        <f>PO_TEAM_TOT[[#This Row],[FTM]]/PO_TEAM_TOT[[#This Row],[FTA]]</f>
        <v>#DIV/0!</v>
      </c>
      <c r="O6" s="194">
        <f>SUMIF(Playoffs!$C$3:$C$35,A6,Playoffs!$Q$3:$Q$35)</f>
        <v>0</v>
      </c>
      <c r="P6" s="194">
        <f>SUMIF(Playoffs!$C$3:$C$35,A6,Playoffs!$R$3:$R$35)</f>
        <v>0</v>
      </c>
      <c r="Q6" s="194">
        <f>SUMIF(Playoffs!$C$3:$C$35,A6,Playoffs!$S$3:$S$35)</f>
        <v>0</v>
      </c>
      <c r="R6" s="194">
        <f>SUMIF(Playoffs!$C$3:$C$35,A6,Playoffs!$T$3:$T$35)</f>
        <v>0</v>
      </c>
      <c r="S6" s="194">
        <f>SUMIF(Playoffs!$C$3:$C$35,A6,Playoffs!$U$3:$U$35)</f>
        <v>0</v>
      </c>
      <c r="T6" s="194">
        <f>SUMIF(Playoffs!$C$3:$C$35,A6,Playoffs!$V$3:$V$35)</f>
        <v>0</v>
      </c>
      <c r="U6" s="194">
        <f>SUMIF(Playoffs!$C$3:$C$35,A6,Playoffs!$W$3:$W$35)</f>
        <v>0</v>
      </c>
      <c r="V6" s="194">
        <f>SUMIF(Playoffs!$C$3:$C$35,A6,Playoffs!$X$3:$X$35)</f>
        <v>0</v>
      </c>
      <c r="W6" s="194">
        <f>SUMIF(Playoffs!$C$3:$C$35,A6,Playoffs!$Y$3:$Y$35)</f>
        <v>0</v>
      </c>
      <c r="X6" s="169" t="e">
        <f>PO_TEAM_TOT[[#This Row],[Dimes]]/PO_TEAM_TOT[[#This Row],[Turnovers]]</f>
        <v>#DIV/0!</v>
      </c>
    </row>
    <row r="7" spans="1:24" hidden="1" x14ac:dyDescent="0.2">
      <c r="A7" s="164"/>
      <c r="B7" s="86"/>
      <c r="C7" s="194">
        <f>SUMIF(Playoffs!$C$3:$C$35,A7,Playoffs!$E$3:$E$35)</f>
        <v>0</v>
      </c>
      <c r="D7" s="194">
        <f>SUMIF(Playoffs!$C$3:$C$35,A7,Playoffs!$F$3:$F$35)</f>
        <v>0</v>
      </c>
      <c r="E7" s="195" t="e">
        <f>PO_TEAM_TOT[[#This Row],[Total FGM]]/PO_TEAM_TOT[[#This Row],[Total FGA]]</f>
        <v>#DIV/0!</v>
      </c>
      <c r="F7" s="196">
        <f>SUMIF(Playoffs!$C$3:$C$35,A7,Playoffs!$H$3:$H$35)</f>
        <v>0</v>
      </c>
      <c r="G7" s="197">
        <f>SUMIF(Playoffs!$C$3:$C$35,A7,Playoffs!$I$3:$I$35)</f>
        <v>0</v>
      </c>
      <c r="H7" s="198" t="e">
        <f>PO_TEAM_TOT[[#This Row],[2PT FGM]]/PO_TEAM_TOT[[#This Row],[2PT FGA]]</f>
        <v>#DIV/0!</v>
      </c>
      <c r="I7" s="197">
        <f>SUMIF(Playoffs!$C$3:$C$35,A7,Playoffs!$K$3:$K$35)</f>
        <v>0</v>
      </c>
      <c r="J7" s="197">
        <f>SUMIF(Playoffs!$C$3:$C$35,A7,Playoffs!$L$3:$L$35)</f>
        <v>0</v>
      </c>
      <c r="K7" s="198" t="e">
        <f>PO_TEAM_TOT[[#This Row],[3PT FGM]]/PO_TEAM_TOT[[#This Row],[3PT FGA]]</f>
        <v>#DIV/0!</v>
      </c>
      <c r="L7" s="197">
        <f>SUMIF(Playoffs!$C$3:$C$35,A7,Playoffs!$N$3:$N$35)</f>
        <v>0</v>
      </c>
      <c r="M7" s="197">
        <f>SUMIF(Playoffs!$C$3:$C$35,A7,Playoffs!$O$3:$O$35)</f>
        <v>0</v>
      </c>
      <c r="N7" s="199" t="e">
        <f>PO_TEAM_TOT[[#This Row],[FTM]]/PO_TEAM_TOT[[#This Row],[FTA]]</f>
        <v>#DIV/0!</v>
      </c>
      <c r="O7" s="194">
        <f>SUMIF(Playoffs!$C$3:$C$35,A7,Playoffs!$Q$3:$Q$35)</f>
        <v>0</v>
      </c>
      <c r="P7" s="194">
        <f>SUMIF(Playoffs!$C$3:$C$35,A7,Playoffs!$R$3:$R$35)</f>
        <v>0</v>
      </c>
      <c r="Q7" s="194">
        <f>SUMIF(Playoffs!$C$3:$C$35,A7,Playoffs!$S$3:$S$35)</f>
        <v>0</v>
      </c>
      <c r="R7" s="194">
        <f>SUMIF(Playoffs!$C$3:$C$35,A7,Playoffs!$T$3:$T$35)</f>
        <v>0</v>
      </c>
      <c r="S7" s="194">
        <f>SUMIF(Playoffs!$C$3:$C$35,A7,Playoffs!$U$3:$U$35)</f>
        <v>0</v>
      </c>
      <c r="T7" s="194">
        <f>SUMIF(Playoffs!$C$3:$C$35,A7,Playoffs!$V$3:$V$35)</f>
        <v>0</v>
      </c>
      <c r="U7" s="194">
        <f>SUMIF(Playoffs!$C$3:$C$35,A7,Playoffs!$W$3:$W$35)</f>
        <v>0</v>
      </c>
      <c r="V7" s="194">
        <f>SUMIF(Playoffs!$C$3:$C$35,A7,Playoffs!$X$3:$X$35)</f>
        <v>0</v>
      </c>
      <c r="W7" s="194">
        <f>SUMIF(Playoffs!$C$3:$C$35,A7,Playoffs!$Y$3:$Y$35)</f>
        <v>0</v>
      </c>
      <c r="X7" s="169" t="e">
        <f>PO_TEAM_TOT[[#This Row],[Dimes]]/PO_TEAM_TOT[[#This Row],[Turnovers]]</f>
        <v>#DIV/0!</v>
      </c>
    </row>
    <row r="8" spans="1:24" hidden="1" x14ac:dyDescent="0.2">
      <c r="B8" s="86"/>
      <c r="C8" s="86">
        <f>SUMIF(Playoffs!$C$3:$C$35,A8,Playoffs!$E$3:$E$35)</f>
        <v>0</v>
      </c>
      <c r="D8" s="86">
        <f>SUMIF(Playoffs!$C$3:$C$35,A8,Playoffs!$F$3:$F$35)</f>
        <v>0</v>
      </c>
      <c r="E8" s="124" t="e">
        <f>PO_TEAM_TOT[[#This Row],[Total FGM]]/PO_TEAM_TOT[[#This Row],[Total FGA]]</f>
        <v>#DIV/0!</v>
      </c>
      <c r="F8" s="126">
        <f>SUMIF(Playoffs!$C$3:$C$35,A8,Playoffs!$H$3:$H$35)</f>
        <v>0</v>
      </c>
      <c r="G8" s="127">
        <f>SUMIF(Playoffs!$C$3:$C$35,A8,Playoffs!$I$3:$I$35)</f>
        <v>0</v>
      </c>
      <c r="H8" s="128" t="e">
        <f>PO_TEAM_TOT[[#This Row],[2PT FGM]]/PO_TEAM_TOT[[#This Row],[2PT FGA]]</f>
        <v>#DIV/0!</v>
      </c>
      <c r="I8" s="127">
        <f>SUMIF(Playoffs!$C$3:$C$35,A8,Playoffs!$K$3:$K$35)</f>
        <v>0</v>
      </c>
      <c r="J8" s="127">
        <f>SUMIF(Playoffs!$C$3:$C$35,A8,Playoffs!$L$3:$L$35)</f>
        <v>0</v>
      </c>
      <c r="K8" s="128" t="e">
        <f>PO_TEAM_TOT[[#This Row],[3PT FGM]]/PO_TEAM_TOT[[#This Row],[3PT FGA]]</f>
        <v>#DIV/0!</v>
      </c>
      <c r="L8" s="127">
        <f>SUMIF(Playoffs!$C$3:$C$35,A8,Playoffs!$N$3:$N$35)</f>
        <v>0</v>
      </c>
      <c r="M8" s="127">
        <f>SUMIF(Playoffs!$C$3:$C$35,A8,Playoffs!$O$3:$O$35)</f>
        <v>0</v>
      </c>
      <c r="N8" s="129">
        <v>0</v>
      </c>
      <c r="O8" s="86">
        <f>SUMIF(Playoffs!$C$3:$C$35,A8,Playoffs!$Q$3:$Q$35)</f>
        <v>0</v>
      </c>
      <c r="P8" s="86">
        <f>SUMIF(Playoffs!$C$3:$C$35,A8,Playoffs!$R$3:$R$35)</f>
        <v>0</v>
      </c>
      <c r="Q8" s="86">
        <f>SUMIF(Playoffs!$C$3:$C$35,A8,Playoffs!$S$3:$S$35)</f>
        <v>0</v>
      </c>
      <c r="R8" s="86">
        <f>SUMIF(Playoffs!$C$3:$C$35,A8,Playoffs!$T$3:$T$35)</f>
        <v>0</v>
      </c>
      <c r="S8" s="86">
        <f>SUMIF(Playoffs!$C$3:$C$35,A8,Playoffs!$U$3:$U$35)</f>
        <v>0</v>
      </c>
      <c r="T8" s="86">
        <f>SUMIF(Playoffs!$C$3:$C$35,A8,Playoffs!$V$3:$V$35)</f>
        <v>0</v>
      </c>
      <c r="U8" s="86">
        <f>SUMIF(Playoffs!$C$3:$C$35,A8,Playoffs!$W$3:$W$35)</f>
        <v>0</v>
      </c>
      <c r="V8" s="86">
        <f>SUMIF(Playoffs!$C$3:$C$35,A8,Playoffs!$X$3:$X$35)</f>
        <v>0</v>
      </c>
      <c r="W8" s="86">
        <f>SUMIF(Playoffs!$C$3:$C$35,A8,Playoffs!$Y$3:$Y$35)</f>
        <v>0</v>
      </c>
      <c r="X8" s="125" t="e">
        <f>PO_TEAM_TOT[[#This Row],[Dimes]]/PO_TEAM_TOT[[#This Row],[Turnovers]]</f>
        <v>#DIV/0!</v>
      </c>
    </row>
    <row r="9" spans="1:24" ht="16" thickBot="1" x14ac:dyDescent="0.25">
      <c r="B9" s="86"/>
      <c r="C9" s="86">
        <f>SUBTOTAL(109,PO_TEAM_TOT[Total FGM])</f>
        <v>149</v>
      </c>
      <c r="D9" s="86">
        <f>SUBTOTAL(109,PO_TEAM_TOT[Total FGA])</f>
        <v>364</v>
      </c>
      <c r="E9" s="132">
        <f>PO_TEAM_TOT[[#Totals],[Total FGM]]/PO_TEAM_TOT[[#Totals],[Total FGA]]</f>
        <v>0.40934065934065933</v>
      </c>
      <c r="F9" s="143">
        <f>SUBTOTAL(109,PO_TEAM_TOT[2PT FGM])</f>
        <v>94</v>
      </c>
      <c r="G9" s="144">
        <f>SUBTOTAL(109,PO_TEAM_TOT[2PT FGA])</f>
        <v>176</v>
      </c>
      <c r="H9" s="145">
        <f>PO_TEAM_TOT[[#Totals],[2PT FGM]]/PO_TEAM_TOT[[#Totals],[2PT FGA]]</f>
        <v>0.53409090909090906</v>
      </c>
      <c r="I9" s="144">
        <f>SUBTOTAL(109,PO_TEAM_TOT[3PT FGM])</f>
        <v>55</v>
      </c>
      <c r="J9" s="144">
        <f>SUBTOTAL(109,PO_TEAM_TOT[3PT FGA])</f>
        <v>188</v>
      </c>
      <c r="K9" s="145">
        <f>PO_TEAM_TOT[[#Totals],[3PT FGM]]/PO_TEAM_TOT[[#Totals],[3PT FGA]]</f>
        <v>0.29255319148936171</v>
      </c>
      <c r="L9" s="144">
        <f>SUBTOTAL(109,PO_TEAM_TOT[FTM])</f>
        <v>3</v>
      </c>
      <c r="M9" s="144">
        <f>SUBTOTAL(109,PO_TEAM_TOT[FTA])</f>
        <v>4</v>
      </c>
      <c r="N9" s="146">
        <f>PO_TEAM_TOT[[#Totals],[FTM]]/PO_TEAM_TOT[[#Totals],[FTA]]</f>
        <v>0.75</v>
      </c>
      <c r="O9" s="86">
        <f>SUBTOTAL(109,PO_TEAM_TOT[TOTAL POINTS])</f>
        <v>356</v>
      </c>
      <c r="P9" s="86">
        <f>SUBTOTAL(109,PO_TEAM_TOT[Dunks])</f>
        <v>33</v>
      </c>
      <c r="Q9" s="86">
        <f>SUBTOTAL(109,PO_TEAM_TOT[Def. Boards])</f>
        <v>139</v>
      </c>
      <c r="R9" s="86">
        <f>SUBTOTAL(109,PO_TEAM_TOT[Off. Boards])</f>
        <v>53</v>
      </c>
      <c r="S9" s="86">
        <f>SUBTOTAL(109,PO_TEAM_TOT[Total Boards])</f>
        <v>192</v>
      </c>
      <c r="T9" s="86">
        <f>SUBTOTAL(109,PO_TEAM_TOT[Dimes])</f>
        <v>104</v>
      </c>
      <c r="U9" s="86">
        <f>SUBTOTAL(109,PO_TEAM_TOT[Cookies])</f>
        <v>47</v>
      </c>
      <c r="V9" s="86">
        <f>SUBTOTAL(109,PO_TEAM_TOT[Swats])</f>
        <v>16</v>
      </c>
      <c r="W9" s="86">
        <f>SUBTOTAL(109,PO_TEAM_TOT[Turnovers])</f>
        <v>67</v>
      </c>
      <c r="X9" s="125">
        <f>SUBTOTAL(101,PO_TEAM_TOT[Dimes:TO])</f>
        <v>1.5481283422459893</v>
      </c>
    </row>
    <row r="12" spans="1:24" ht="16" thickBot="1" x14ac:dyDescent="0.25">
      <c r="A12" s="134" t="s">
        <v>139</v>
      </c>
      <c r="B12" s="134"/>
      <c r="C12" s="134"/>
      <c r="D12" s="135"/>
      <c r="E12" s="134"/>
      <c r="F12" s="134"/>
      <c r="G12" s="135"/>
      <c r="H12" s="134"/>
      <c r="I12" s="134"/>
      <c r="J12" s="135"/>
      <c r="K12" s="134"/>
      <c r="L12" s="134"/>
      <c r="M12" s="135"/>
      <c r="N12" s="134"/>
      <c r="O12" s="134"/>
      <c r="P12" s="134"/>
      <c r="Q12" s="134"/>
      <c r="R12" s="134"/>
      <c r="S12" s="134"/>
      <c r="T12" s="134"/>
      <c r="U12" s="134"/>
      <c r="V12" s="134"/>
      <c r="W12" s="135"/>
      <c r="X12" s="134"/>
    </row>
    <row r="13" spans="1:24" ht="16" x14ac:dyDescent="0.2">
      <c r="A13" s="123" t="s">
        <v>23</v>
      </c>
      <c r="B13" s="123" t="s">
        <v>138</v>
      </c>
      <c r="C13" s="54" t="s">
        <v>0</v>
      </c>
      <c r="D13" s="54" t="s">
        <v>1</v>
      </c>
      <c r="E13" s="88" t="s">
        <v>2</v>
      </c>
      <c r="F13" s="110" t="s">
        <v>3</v>
      </c>
      <c r="G13" s="111" t="s">
        <v>4</v>
      </c>
      <c r="H13" s="112" t="s">
        <v>5</v>
      </c>
      <c r="I13" s="111" t="s">
        <v>6</v>
      </c>
      <c r="J13" s="111" t="s">
        <v>7</v>
      </c>
      <c r="K13" s="112" t="s">
        <v>8</v>
      </c>
      <c r="L13" s="111" t="s">
        <v>9</v>
      </c>
      <c r="M13" s="111" t="s">
        <v>10</v>
      </c>
      <c r="N13" s="113" t="s">
        <v>11</v>
      </c>
      <c r="O13" s="54" t="s">
        <v>12</v>
      </c>
      <c r="P13" s="54" t="s">
        <v>13</v>
      </c>
      <c r="Q13" s="54" t="s">
        <v>14</v>
      </c>
      <c r="R13" s="54" t="s">
        <v>15</v>
      </c>
      <c r="S13" s="54" t="s">
        <v>16</v>
      </c>
      <c r="T13" s="54" t="s">
        <v>17</v>
      </c>
      <c r="U13" s="54" t="s">
        <v>18</v>
      </c>
      <c r="V13" s="54" t="s">
        <v>19</v>
      </c>
      <c r="W13" s="54" t="s">
        <v>20</v>
      </c>
      <c r="X13" s="88" t="s">
        <v>21</v>
      </c>
    </row>
    <row r="14" spans="1:24" x14ac:dyDescent="0.2">
      <c r="A14" s="164" t="s">
        <v>208</v>
      </c>
      <c r="B14" s="86">
        <f>SUMIF(PO_TEAM_TOT[[#All],[Team]],PO_TEAM_AVG[[#This Row],[Team]],PO_TEAM_TOT[[#All],[Games Played]])</f>
        <v>5</v>
      </c>
      <c r="C14" s="200">
        <f>SUM(SUMIF($A$4:$A$8,PO_TEAM_AVG[[#This Row],[Team]],$C$4:$C$8)/B14)</f>
        <v>12.8</v>
      </c>
      <c r="D14" s="258">
        <f>SUM(SUMIF($A$4:$A$8,PO_TEAM_AVG[[#This Row],[Team]],$D$4:$D$8)/B14)</f>
        <v>37</v>
      </c>
      <c r="E14" s="195">
        <f>PO_TEAM_AVG[[#This Row],[Total FGM]]/PO_TEAM_AVG[[#This Row],[Total FGA]]</f>
        <v>0.34594594594594597</v>
      </c>
      <c r="F14" s="201">
        <f>SUM(SUMIF($A$4:$A$8,PO_TEAM_AVG[[#This Row],[Team]],$F$4:$F$8)/B14)</f>
        <v>7.8</v>
      </c>
      <c r="G14" s="260">
        <f>SUM(SUMIF($A$4:$A$8,PO_TEAM_AVG[[#This Row],[Team]],$G$4:$G$8)/B14)</f>
        <v>17.8</v>
      </c>
      <c r="H14" s="198">
        <f>PO_TEAM_AVG[[#This Row],[2PT FGM]]/PO_TEAM_AVG[[#This Row],[2PT FGA]]</f>
        <v>0.4382022471910112</v>
      </c>
      <c r="I14" s="202">
        <f>SUM(SUMIF($A$4:$A$8,PO_TEAM_AVG[[#This Row],[Team]],$I$4:$I$8)/B14)</f>
        <v>5</v>
      </c>
      <c r="J14" s="260">
        <f>SUM(SUMIF($A$4:$A$8,PO_TEAM_AVG[[#This Row],[Team]],$J$4:$J$8)/B14)</f>
        <v>19.2</v>
      </c>
      <c r="K14" s="198">
        <f>PO_TEAM_AVG[[#This Row],[3PT FGM]]/PO_TEAM_AVG[[#This Row],[3PT FGA]]</f>
        <v>0.26041666666666669</v>
      </c>
      <c r="L14" s="202">
        <f>SUM(SUMIF($A$4:$A$8,PO_TEAM_AVG[[#This Row],[Team]],$L$4:$L$8)/B14)</f>
        <v>0.4</v>
      </c>
      <c r="M14" s="202">
        <f>SUM(SUMIF($A$4:$A$8,PO_TEAM_AVG[[#This Row],[Team]],$M$4:$M$8)/B14)</f>
        <v>0.4</v>
      </c>
      <c r="N14" s="199">
        <f>PO_TEAM_AVG[[#This Row],[FTM]]/PO_TEAM_AVG[[#This Row],[FTA]]</f>
        <v>1</v>
      </c>
      <c r="O14" s="200">
        <f>SUM(SUMIF($A$4:$A$8,PO_TEAM_AVG[[#This Row],[Team]],$O$4:$O$8)/B14)</f>
        <v>31</v>
      </c>
      <c r="P14" s="200">
        <f>SUM(SUMIF($A$4:$A$8,PO_TEAM_AVG[[#This Row],[Team]],$P$4:$P$8)/B14)</f>
        <v>2.4</v>
      </c>
      <c r="Q14" s="200">
        <f>SUM(SUMIF($A$4:$A$8,PO_TEAM_AVG[[#This Row],[Team]],$Q$4:$Q$8)/B14)</f>
        <v>11.6</v>
      </c>
      <c r="R14" s="258">
        <f>SUM(SUMIF($A$4:$A$8,PO_TEAM_AVG[[#This Row],[Team]],$R$4:$R$8)/B14)</f>
        <v>5.8</v>
      </c>
      <c r="S14" s="200">
        <f>SUM(SUMIF($A$4:$A$8,PO_TEAM_AVG[[#This Row],[Team]],$S$4:$S$8)/B14)</f>
        <v>17.399999999999999</v>
      </c>
      <c r="T14" s="200">
        <f>SUM(SUMIF($A$4:$A$8,PO_TEAM_AVG[[#This Row],[Team]],$T$4:$T$8)/B14)</f>
        <v>8.4</v>
      </c>
      <c r="U14" s="200">
        <f>SUM(SUMIF($A$4:$A$8,PO_TEAM_AVG[[#This Row],[Team]],$U$4:$U$8)/B14)</f>
        <v>4.4000000000000004</v>
      </c>
      <c r="V14" s="200">
        <f>SUM(SUMIF($A$4:$A$8,PO_TEAM_AVG[[#This Row],[Team]],$V$4:$V$8)/B14)</f>
        <v>1</v>
      </c>
      <c r="W14" s="258">
        <f>SUM(SUMIF($A$4:$A$8,PO_TEAM_AVG[[#This Row],[Team]],$W$4:$W$8)/B14)</f>
        <v>6.6</v>
      </c>
      <c r="X14" s="169">
        <f>PO_TEAM_AVG[[#This Row],[Dimes]]/PO_TEAM_AVG[[#This Row],[Turnovers]]</f>
        <v>1.2727272727272729</v>
      </c>
    </row>
    <row r="15" spans="1:24" x14ac:dyDescent="0.2">
      <c r="A15" s="164" t="s">
        <v>209</v>
      </c>
      <c r="B15" s="86">
        <f>SUMIF(PO_TEAM_TOT[[#All],[Team]],PO_TEAM_AVG[[#This Row],[Team]],PO_TEAM_TOT[[#All],[Games Played]])</f>
        <v>5</v>
      </c>
      <c r="C15" s="258">
        <f>SUM(SUMIF($A$4:$A$8,PO_TEAM_AVG[[#This Row],[Team]],$C$4:$C$8)/B15)</f>
        <v>17</v>
      </c>
      <c r="D15" s="200">
        <f>SUM(SUMIF($A$4:$A$8,PO_TEAM_AVG[[#This Row],[Team]],$D$4:$D$8)/B15)</f>
        <v>35.799999999999997</v>
      </c>
      <c r="E15" s="253">
        <f>PO_TEAM_AVG[[#This Row],[Total FGM]]/PO_TEAM_AVG[[#This Row],[Total FGA]]</f>
        <v>0.47486033519553078</v>
      </c>
      <c r="F15" s="259">
        <f>SUM(SUMIF($A$4:$A$8,PO_TEAM_AVG[[#This Row],[Team]],$F$4:$F$8)/B15)</f>
        <v>11</v>
      </c>
      <c r="G15" s="202">
        <f>SUM(SUMIF($A$4:$A$8,PO_TEAM_AVG[[#This Row],[Team]],$G$4:$G$8)/B15)</f>
        <v>17.399999999999999</v>
      </c>
      <c r="H15" s="256">
        <f>PO_TEAM_AVG[[#This Row],[2PT FGM]]/PO_TEAM_AVG[[#This Row],[2PT FGA]]</f>
        <v>0.63218390804597702</v>
      </c>
      <c r="I15" s="260">
        <f>SUM(SUMIF($A$4:$A$8,PO_TEAM_AVG[[#This Row],[Team]],$I$4:$I$8)/B15)</f>
        <v>6</v>
      </c>
      <c r="J15" s="202">
        <f>SUM(SUMIF($A$4:$A$8,PO_TEAM_AVG[[#This Row],[Team]],$J$4:$J$8)/B15)</f>
        <v>18.399999999999999</v>
      </c>
      <c r="K15" s="256">
        <f>PO_TEAM_AVG[[#This Row],[3PT FGM]]/PO_TEAM_AVG[[#This Row],[3PT FGA]]</f>
        <v>0.32608695652173914</v>
      </c>
      <c r="L15" s="202">
        <f>SUM(SUMIF($A$4:$A$8,PO_TEAM_AVG[[#This Row],[Team]],$L$4:$L$8)/B15)</f>
        <v>0.2</v>
      </c>
      <c r="M15" s="202">
        <f>SUM(SUMIF($A$4:$A$8,PO_TEAM_AVG[[#This Row],[Team]],$M$4:$M$8)/B15)</f>
        <v>0.4</v>
      </c>
      <c r="N15" s="199">
        <f>PO_TEAM_AVG[[#This Row],[FTM]]/PO_TEAM_AVG[[#This Row],[FTA]]</f>
        <v>0.5</v>
      </c>
      <c r="O15" s="258">
        <f>SUM(SUMIF($A$4:$A$8,PO_TEAM_AVG[[#This Row],[Team]],$O$4:$O$8)/B15)</f>
        <v>40.200000000000003</v>
      </c>
      <c r="P15" s="258">
        <f>SUM(SUMIF($A$4:$A$8,PO_TEAM_AVG[[#This Row],[Team]],$P$4:$P$8)/B15)</f>
        <v>4.2</v>
      </c>
      <c r="Q15" s="258">
        <f>SUM(SUMIF($A$4:$A$8,PO_TEAM_AVG[[#This Row],[Team]],$Q$4:$Q$8)/B15)</f>
        <v>16.2</v>
      </c>
      <c r="R15" s="200">
        <f>SUM(SUMIF($A$4:$A$8,PO_TEAM_AVG[[#This Row],[Team]],$R$4:$R$8)/B15)</f>
        <v>4.8</v>
      </c>
      <c r="S15" s="258">
        <f>SUM(SUMIF($A$4:$A$8,PO_TEAM_AVG[[#This Row],[Team]],$S$4:$S$8)/B15)</f>
        <v>21</v>
      </c>
      <c r="T15" s="258">
        <f>SUM(SUMIF($A$4:$A$8,PO_TEAM_AVG[[#This Row],[Team]],$T$4:$T$8)/B15)</f>
        <v>12.4</v>
      </c>
      <c r="U15" s="258">
        <f>SUM(SUMIF($A$4:$A$8,PO_TEAM_AVG[[#This Row],[Team]],$U$4:$U$8)/B15)</f>
        <v>5</v>
      </c>
      <c r="V15" s="258">
        <f>SUM(SUMIF($A$4:$A$8,PO_TEAM_AVG[[#This Row],[Team]],$V$4:$V$8)/B15)</f>
        <v>2.2000000000000002</v>
      </c>
      <c r="W15" s="262">
        <f>SUM(SUMIF($A$4:$A$8,PO_TEAM_AVG[[#This Row],[Team]],$W$4:$W$8)/B15)</f>
        <v>6.8</v>
      </c>
      <c r="X15" s="257">
        <f>PO_TEAM_AVG[[#This Row],[Dimes]]/PO_TEAM_AVG[[#This Row],[Turnovers]]</f>
        <v>1.8235294117647061</v>
      </c>
    </row>
    <row r="16" spans="1:24" hidden="1" x14ac:dyDescent="0.2">
      <c r="A16" s="164"/>
      <c r="B16" s="86">
        <f>SUMIF(PO_TEAM_TOT[[#All],[Team]],PO_TEAM_AVG[[#This Row],[Team]],PO_TEAM_TOT[[#All],[Games Played]])</f>
        <v>0</v>
      </c>
      <c r="C16" s="200" t="e">
        <f>SUM(SUMIF($A$4:$A$8,PO_TEAM_AVG[[#This Row],[Team]],$C$4:$C$8)/B16)</f>
        <v>#DIV/0!</v>
      </c>
      <c r="D16" s="200" t="e">
        <f>SUM(SUMIF($A$4:$A$8,PO_TEAM_AVG[[#This Row],[Team]],$D$4:$D$8)/B16)</f>
        <v>#DIV/0!</v>
      </c>
      <c r="E16" s="195" t="e">
        <f>PO_TEAM_AVG[[#This Row],[Total FGM]]/PO_TEAM_AVG[[#This Row],[Total FGA]]</f>
        <v>#DIV/0!</v>
      </c>
      <c r="F16" s="201" t="e">
        <f>SUM(SUMIF($A$4:$A$8,PO_TEAM_AVG[[#This Row],[Team]],$F$4:$F$8)/B16)</f>
        <v>#DIV/0!</v>
      </c>
      <c r="G16" s="202" t="e">
        <f>SUM(SUMIF($A$4:$A$8,PO_TEAM_AVG[[#This Row],[Team]],$G$4:$G$8)/B16)</f>
        <v>#DIV/0!</v>
      </c>
      <c r="H16" s="198" t="e">
        <f>PO_TEAM_AVG[[#This Row],[2PT FGM]]/PO_TEAM_AVG[[#This Row],[2PT FGA]]</f>
        <v>#DIV/0!</v>
      </c>
      <c r="I16" s="202" t="e">
        <f>SUM(SUMIF($A$4:$A$8,PO_TEAM_AVG[[#This Row],[Team]],$I$4:$I$8)/B16)</f>
        <v>#DIV/0!</v>
      </c>
      <c r="J16" s="202" t="e">
        <f>SUM(SUMIF($A$4:$A$8,PO_TEAM_AVG[[#This Row],[Team]],$J$4:$J$8)/B16)</f>
        <v>#DIV/0!</v>
      </c>
      <c r="K16" s="198" t="e">
        <f>PO_TEAM_AVG[[#This Row],[3PT FGM]]/PO_TEAM_AVG[[#This Row],[3PT FGA]]</f>
        <v>#DIV/0!</v>
      </c>
      <c r="L16" s="202" t="e">
        <f>SUM(SUMIF($A$4:$A$8,PO_TEAM_AVG[[#This Row],[Team]],$L$4:$L$8)/B16)</f>
        <v>#DIV/0!</v>
      </c>
      <c r="M16" s="202" t="e">
        <f>SUM(SUMIF($A$4:$A$8,PO_TEAM_AVG[[#This Row],[Team]],$M$4:$M$8)/B16)</f>
        <v>#DIV/0!</v>
      </c>
      <c r="N16" s="199" t="e">
        <f>PO_TEAM_AVG[[#This Row],[FTM]]/PO_TEAM_AVG[[#This Row],[FTA]]</f>
        <v>#DIV/0!</v>
      </c>
      <c r="O16" s="200" t="e">
        <f>SUM(SUMIF($A$4:$A$8,PO_TEAM_AVG[[#This Row],[Team]],$O$4:$O$8)/B16)</f>
        <v>#DIV/0!</v>
      </c>
      <c r="P16" s="200" t="e">
        <f>SUM(SUMIF($A$4:$A$8,PO_TEAM_AVG[[#This Row],[Team]],$P$4:$P$8)/B16)</f>
        <v>#DIV/0!</v>
      </c>
      <c r="Q16" s="200" t="e">
        <f>SUM(SUMIF($A$4:$A$8,PO_TEAM_AVG[[#This Row],[Team]],$Q$4:$Q$8)/B16)</f>
        <v>#DIV/0!</v>
      </c>
      <c r="R16" s="200" t="e">
        <f>SUM(SUMIF($A$4:$A$8,PO_TEAM_AVG[[#This Row],[Team]],$R$4:$R$8)/B16)</f>
        <v>#DIV/0!</v>
      </c>
      <c r="S16" s="200" t="e">
        <f>SUM(SUMIF($A$4:$A$8,PO_TEAM_AVG[[#This Row],[Team]],$S$4:$S$8)/B16)</f>
        <v>#DIV/0!</v>
      </c>
      <c r="T16" s="200" t="e">
        <f>SUM(SUMIF($A$4:$A$8,PO_TEAM_AVG[[#This Row],[Team]],$T$4:$T$8)/B16)</f>
        <v>#DIV/0!</v>
      </c>
      <c r="U16" s="200" t="e">
        <f>SUM(SUMIF($A$4:$A$8,PO_TEAM_AVG[[#This Row],[Team]],$U$4:$U$8)/B16)</f>
        <v>#DIV/0!</v>
      </c>
      <c r="V16" s="200" t="e">
        <f>SUM(SUMIF($A$4:$A$8,PO_TEAM_AVG[[#This Row],[Team]],$V$4:$V$8)/B16)</f>
        <v>#DIV/0!</v>
      </c>
      <c r="W16" s="200" t="e">
        <f>SUM(SUMIF($A$4:$A$8,PO_TEAM_AVG[[#This Row],[Team]],$W$4:$W$8)/B16)</f>
        <v>#DIV/0!</v>
      </c>
      <c r="X16" s="169" t="e">
        <f>PO_TEAM_AVG[[#This Row],[Dimes]]/PO_TEAM_AVG[[#This Row],[Turnovers]]</f>
        <v>#DIV/0!</v>
      </c>
    </row>
    <row r="17" spans="1:24" hidden="1" x14ac:dyDescent="0.2">
      <c r="A17" s="164"/>
      <c r="B17" s="86">
        <f>SUMIF(PO_TEAM_TOT[[#All],[Team]],PO_TEAM_AVG[[#This Row],[Team]],PO_TEAM_TOT[[#All],[Games Played]])</f>
        <v>0</v>
      </c>
      <c r="C17" s="200" t="e">
        <f>SUM(SUMIF($A$4:$A$8,PO_TEAM_AVG[[#This Row],[Team]],$C$4:$C$8)/B17)</f>
        <v>#DIV/0!</v>
      </c>
      <c r="D17" s="200" t="e">
        <f>SUM(SUMIF($A$4:$A$8,PO_TEAM_AVG[[#This Row],[Team]],$D$4:$D$8)/B17)</f>
        <v>#DIV/0!</v>
      </c>
      <c r="E17" s="195" t="e">
        <f>PO_TEAM_AVG[[#This Row],[Total FGM]]/PO_TEAM_AVG[[#This Row],[Total FGA]]</f>
        <v>#DIV/0!</v>
      </c>
      <c r="F17" s="201" t="e">
        <f>SUM(SUMIF($A$4:$A$8,PO_TEAM_AVG[[#This Row],[Team]],$F$4:$F$8)/B17)</f>
        <v>#DIV/0!</v>
      </c>
      <c r="G17" s="202" t="e">
        <f>SUM(SUMIF($A$4:$A$8,PO_TEAM_AVG[[#This Row],[Team]],$G$4:$G$8)/B17)</f>
        <v>#DIV/0!</v>
      </c>
      <c r="H17" s="198" t="e">
        <f>PO_TEAM_AVG[[#This Row],[2PT FGM]]/PO_TEAM_AVG[[#This Row],[2PT FGA]]</f>
        <v>#DIV/0!</v>
      </c>
      <c r="I17" s="202" t="e">
        <f>SUM(SUMIF($A$4:$A$8,PO_TEAM_AVG[[#This Row],[Team]],$I$4:$I$8)/B17)</f>
        <v>#DIV/0!</v>
      </c>
      <c r="J17" s="202" t="e">
        <f>SUM(SUMIF($A$4:$A$8,PO_TEAM_AVG[[#This Row],[Team]],$J$4:$J$8)/B17)</f>
        <v>#DIV/0!</v>
      </c>
      <c r="K17" s="198" t="e">
        <f>PO_TEAM_AVG[[#This Row],[3PT FGM]]/PO_TEAM_AVG[[#This Row],[3PT FGA]]</f>
        <v>#DIV/0!</v>
      </c>
      <c r="L17" s="202" t="e">
        <f>SUM(SUMIF($A$4:$A$8,PO_TEAM_AVG[[#This Row],[Team]],$L$4:$L$8)/B17)</f>
        <v>#DIV/0!</v>
      </c>
      <c r="M17" s="202" t="e">
        <f>SUM(SUMIF($A$4:$A$8,PO_TEAM_AVG[[#This Row],[Team]],$M$4:$M$8)/B17)</f>
        <v>#DIV/0!</v>
      </c>
      <c r="N17" s="199" t="e">
        <f>PO_TEAM_AVG[[#This Row],[FTM]]/PO_TEAM_AVG[[#This Row],[FTA]]</f>
        <v>#DIV/0!</v>
      </c>
      <c r="O17" s="200" t="e">
        <f>SUM(SUMIF($A$4:$A$8,PO_TEAM_AVG[[#This Row],[Team]],$O$4:$O$8)/B17)</f>
        <v>#DIV/0!</v>
      </c>
      <c r="P17" s="200" t="e">
        <f>SUM(SUMIF($A$4:$A$8,PO_TEAM_AVG[[#This Row],[Team]],$P$4:$P$8)/B17)</f>
        <v>#DIV/0!</v>
      </c>
      <c r="Q17" s="200" t="e">
        <f>SUM(SUMIF($A$4:$A$8,PO_TEAM_AVG[[#This Row],[Team]],$Q$4:$Q$8)/B17)</f>
        <v>#DIV/0!</v>
      </c>
      <c r="R17" s="200" t="e">
        <f>SUM(SUMIF($A$4:$A$8,PO_TEAM_AVG[[#This Row],[Team]],$R$4:$R$8)/B17)</f>
        <v>#DIV/0!</v>
      </c>
      <c r="S17" s="200" t="e">
        <f>SUM(SUMIF($A$4:$A$8,PO_TEAM_AVG[[#This Row],[Team]],$S$4:$S$8)/B17)</f>
        <v>#DIV/0!</v>
      </c>
      <c r="T17" s="200" t="e">
        <f>SUM(SUMIF($A$4:$A$8,PO_TEAM_AVG[[#This Row],[Team]],$T$4:$T$8)/B17)</f>
        <v>#DIV/0!</v>
      </c>
      <c r="U17" s="200" t="e">
        <f>SUM(SUMIF($A$4:$A$8,PO_TEAM_AVG[[#This Row],[Team]],$U$4:$U$8)/B17)</f>
        <v>#DIV/0!</v>
      </c>
      <c r="V17" s="200" t="e">
        <f>SUM(SUMIF($A$4:$A$8,PO_TEAM_AVG[[#This Row],[Team]],$V$4:$V$8)/B17)</f>
        <v>#DIV/0!</v>
      </c>
      <c r="W17" s="200" t="e">
        <f>SUM(SUMIF($A$4:$A$8,PO_TEAM_AVG[[#This Row],[Team]],$W$4:$W$8)/B17)</f>
        <v>#DIV/0!</v>
      </c>
      <c r="X17" s="169" t="e">
        <f>PO_TEAM_AVG[[#This Row],[Dimes]]/PO_TEAM_AVG[[#This Row],[Turnovers]]</f>
        <v>#DIV/0!</v>
      </c>
    </row>
    <row r="18" spans="1:24" ht="16" hidden="1" thickBot="1" x14ac:dyDescent="0.25">
      <c r="B18" s="86"/>
      <c r="C18" s="136" t="e">
        <f>SUM(SUMIF($A$4:$A$8,PO_TEAM_AVG[[#This Row],[Team]],$C$4:$C$8)/B18)</f>
        <v>#DIV/0!</v>
      </c>
      <c r="D18" s="136" t="e">
        <f>SUM(SUMIF($A$4:$A$8,PO_TEAM_AVG[[#This Row],[Team]],$D$4:$D$8)/B18)</f>
        <v>#DIV/0!</v>
      </c>
      <c r="E18" s="124" t="e">
        <f>PO_TEAM_AVG[[#This Row],[Total FGM]]/PO_TEAM_AVG[[#This Row],[Total FGA]]</f>
        <v>#DIV/0!</v>
      </c>
      <c r="F18" s="138" t="e">
        <f>SUM(SUMIF($A$4:$A$8,PO_TEAM_AVG[[#This Row],[Team]],$F$4:$F$8)/B18)</f>
        <v>#DIV/0!</v>
      </c>
      <c r="G18" s="139" t="e">
        <f>SUM(SUMIF($A$4:$A$8,PO_TEAM_AVG[[#This Row],[Team]],$G$4:$G$8)/B18)</f>
        <v>#DIV/0!</v>
      </c>
      <c r="H18" s="130" t="e">
        <f>PO_TEAM_AVG[[#This Row],[2PT FGM]]/PO_TEAM_AVG[[#This Row],[2PT FGA]]</f>
        <v>#DIV/0!</v>
      </c>
      <c r="I18" s="139" t="e">
        <f>SUM(SUMIF($A$4:$A$8,PO_TEAM_AVG[[#This Row],[Team]],$I$4:$I$8)/B18)</f>
        <v>#DIV/0!</v>
      </c>
      <c r="J18" s="139" t="e">
        <f>SUM(SUMIF($A$4:$A$8,PO_TEAM_AVG[[#This Row],[Team]],$J$4:$J$8)/B18)</f>
        <v>#DIV/0!</v>
      </c>
      <c r="K18" s="130" t="e">
        <f>PO_TEAM_AVG[[#This Row],[3PT FGM]]/PO_TEAM_AVG[[#This Row],[3PT FGA]]</f>
        <v>#DIV/0!</v>
      </c>
      <c r="L18" s="139" t="e">
        <f>SUM(SUMIF($A$4:$A$8,PO_TEAM_AVG[[#This Row],[Team]],$L$4:$L$8)/B18)</f>
        <v>#DIV/0!</v>
      </c>
      <c r="M18" s="139" t="e">
        <f>SUM(SUMIF($A$4:$A$8,PO_TEAM_AVG[[#This Row],[Team]],$M$4:$M$8)/B18)</f>
        <v>#DIV/0!</v>
      </c>
      <c r="N18" s="131">
        <v>0</v>
      </c>
      <c r="O18" s="136" t="e">
        <f>SUM(SUMIF($A$4:$A$8,PO_TEAM_AVG[[#This Row],[Team]],$O$4:$O$8)/B18)</f>
        <v>#DIV/0!</v>
      </c>
      <c r="P18" s="136" t="e">
        <f>SUM(SUMIF($A$4:$A$8,PO_TEAM_AVG[[#This Row],[Team]],$P$4:$P$8)/B18)</f>
        <v>#DIV/0!</v>
      </c>
      <c r="Q18" s="136" t="e">
        <f>SUM(SUMIF($A$4:$A$8,PO_TEAM_AVG[[#This Row],[Team]],$Q$4:$Q$8)/B18)</f>
        <v>#DIV/0!</v>
      </c>
      <c r="R18" s="136" t="e">
        <f>SUM(SUMIF($A$4:$A$8,PO_TEAM_AVG[[#This Row],[Team]],$R$4:$R$8)/B18)</f>
        <v>#DIV/0!</v>
      </c>
      <c r="S18" s="136" t="e">
        <f>SUM(SUMIF($A$4:$A$8,PO_TEAM_AVG[[#This Row],[Team]],$S$4:$S$8)/B18)</f>
        <v>#DIV/0!</v>
      </c>
      <c r="T18" s="136" t="e">
        <f>SUM(SUMIF($A$4:$A$8,PO_TEAM_AVG[[#This Row],[Team]],$T$4:$T$8)/B18)</f>
        <v>#DIV/0!</v>
      </c>
      <c r="U18" s="136" t="e">
        <f>SUM(SUMIF($A$4:$A$8,PO_TEAM_AVG[[#This Row],[Team]],$U$4:$U$8)/B18)</f>
        <v>#DIV/0!</v>
      </c>
      <c r="V18" s="136" t="e">
        <f>SUM(SUMIF($A$4:$A$8,PO_TEAM_AVG[[#This Row],[Team]],$V$4:$V$8)/B18)</f>
        <v>#DIV/0!</v>
      </c>
      <c r="W18" s="136" t="e">
        <f>SUM(SUMIF($A$4:$A$8,PO_TEAM_AVG[[#This Row],[Team]],$W$4:$W$8)/B18)</f>
        <v>#DIV/0!</v>
      </c>
      <c r="X18" s="125" t="e">
        <f>PO_TEAM_AVG[[#This Row],[Dimes]]/PO_TEAM_AVG[[#This Row],[Turnovers]]</f>
        <v>#DIV/0!</v>
      </c>
    </row>
    <row r="19" spans="1:24" x14ac:dyDescent="0.2">
      <c r="B19" s="86"/>
      <c r="C19" s="136">
        <f>SUBTOTAL(101,PO_TEAM_AVG[Total FGM])</f>
        <v>14.9</v>
      </c>
      <c r="D19" s="136">
        <f>SUBTOTAL(101,PO_TEAM_AVG[Total FGA])</f>
        <v>36.4</v>
      </c>
      <c r="E19" s="140">
        <f>PO_TEAM_AVG[[#Totals],[Total FGM]]/PO_TEAM_AVG[[#Totals],[Total FGA]]</f>
        <v>0.40934065934065939</v>
      </c>
      <c r="F19" s="137">
        <f>SUBTOTAL(101,PO_TEAM_AVG[2PT FGM])</f>
        <v>9.4</v>
      </c>
      <c r="G19" s="136">
        <f>SUBTOTAL(101,PO_TEAM_AVG[2PT FGA])</f>
        <v>17.600000000000001</v>
      </c>
      <c r="H19" s="140">
        <f>PO_TEAM_AVG[[#Totals],[2PT FGM]]/PO_TEAM_AVG[[#Totals],[2PT FGA]]</f>
        <v>0.53409090909090906</v>
      </c>
      <c r="I19" s="136">
        <f>SUBTOTAL(101,PO_TEAM_AVG[3PT FGM])</f>
        <v>5.5</v>
      </c>
      <c r="J19" s="136">
        <f>SUBTOTAL(101,PO_TEAM_AVG[3PT FGA])</f>
        <v>18.799999999999997</v>
      </c>
      <c r="K19" s="140">
        <f>PO_TEAM_AVG[[#Totals],[3PT FGM]]/PO_TEAM_AVG[[#Totals],[3PT FGA]]</f>
        <v>0.29255319148936176</v>
      </c>
      <c r="L19" s="136">
        <f>SUBTOTAL(101,PO_TEAM_AVG[FTM])</f>
        <v>0.30000000000000004</v>
      </c>
      <c r="M19" s="136">
        <f>SUBTOTAL(101,PO_TEAM_AVG[FTA])</f>
        <v>0.4</v>
      </c>
      <c r="N19" s="141">
        <f>PO_TEAM_AVG[[#Totals],[FTM]]/PO_TEAM_AVG[[#Totals],[FTA]]</f>
        <v>0.75000000000000011</v>
      </c>
      <c r="O19" s="136">
        <f>SUBTOTAL(101,PO_TEAM_AVG[TOTAL POINTS])</f>
        <v>35.6</v>
      </c>
      <c r="P19" s="136">
        <f>SUBTOTAL(101,PO_TEAM_AVG[Dunks])</f>
        <v>3.3</v>
      </c>
      <c r="Q19" s="136">
        <f>SUBTOTAL(101,PO_TEAM_AVG[Def. Boards])</f>
        <v>13.899999999999999</v>
      </c>
      <c r="R19" s="136">
        <f>SUBTOTAL(101,PO_TEAM_AVG[Off. Boards])</f>
        <v>5.3</v>
      </c>
      <c r="S19" s="136">
        <f>SUBTOTAL(101,PO_TEAM_AVG[Total Boards])</f>
        <v>19.2</v>
      </c>
      <c r="T19" s="136">
        <f>SUBTOTAL(101,PO_TEAM_AVG[Dimes])</f>
        <v>10.4</v>
      </c>
      <c r="U19" s="136">
        <f>SUBTOTAL(101,PO_TEAM_AVG[Cookies])</f>
        <v>4.7</v>
      </c>
      <c r="V19" s="136">
        <f>SUBTOTAL(101,PO_TEAM_AVG[Swats])</f>
        <v>1.6</v>
      </c>
      <c r="W19" s="136">
        <f>SUBTOTAL(101,PO_TEAM_AVG[Turnovers])</f>
        <v>6.6999999999999993</v>
      </c>
      <c r="X19" s="125">
        <f>SUBTOTAL(101,PO_TEAM_AVG[Dimes:TO])</f>
        <v>1.5481283422459895</v>
      </c>
    </row>
    <row r="25" spans="1:24" x14ac:dyDescent="0.2">
      <c r="K25" s="13"/>
    </row>
  </sheetData>
  <pageMargins left="0.7" right="0.7" top="0.75" bottom="0.75" header="0.3" footer="0.3"/>
  <tableParts count="2">
    <tablePart r:id="rId1"/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64F4B-01DD-4636-A4C8-6EF357A7CE0A}">
  <dimension ref="A1:W194"/>
  <sheetViews>
    <sheetView showGridLines="0" zoomScale="80" zoomScaleNormal="80" workbookViewId="0">
      <selection activeCell="Q27" sqref="Q27"/>
    </sheetView>
  </sheetViews>
  <sheetFormatPr baseColWidth="10" defaultColWidth="8.83203125" defaultRowHeight="15" x14ac:dyDescent="0.2"/>
  <cols>
    <col min="1" max="1" width="24.1640625" bestFit="1" customWidth="1"/>
    <col min="2" max="2" width="15.5" bestFit="1" customWidth="1"/>
    <col min="3" max="3" width="22.6640625" bestFit="1" customWidth="1"/>
    <col min="4" max="4" width="12" bestFit="1" customWidth="1"/>
    <col min="5" max="5" width="16.5" bestFit="1" customWidth="1"/>
    <col min="6" max="6" width="12.83203125" bestFit="1" customWidth="1"/>
    <col min="7" max="7" width="14.33203125" bestFit="1" customWidth="1"/>
    <col min="8" max="8" width="14.5" bestFit="1" customWidth="1"/>
    <col min="9" max="9" width="13.83203125" bestFit="1" customWidth="1"/>
    <col min="10" max="10" width="14.33203125" bestFit="1" customWidth="1"/>
    <col min="11" max="11" width="10.5" bestFit="1" customWidth="1"/>
    <col min="12" max="12" width="10" bestFit="1" customWidth="1"/>
    <col min="13" max="13" width="10.83203125" bestFit="1" customWidth="1"/>
    <col min="14" max="14" width="19.33203125" bestFit="1" customWidth="1"/>
    <col min="15" max="15" width="12" bestFit="1" customWidth="1"/>
    <col min="16" max="16" width="16.6640625" bestFit="1" customWidth="1"/>
    <col min="17" max="17" width="16.33203125" bestFit="1" customWidth="1"/>
    <col min="18" max="18" width="17.33203125" bestFit="1" customWidth="1"/>
    <col min="19" max="19" width="12.1640625" bestFit="1" customWidth="1"/>
    <col min="20" max="20" width="13.33203125" bestFit="1" customWidth="1"/>
    <col min="21" max="21" width="11.83203125" bestFit="1" customWidth="1"/>
    <col min="22" max="23" width="15.1640625" bestFit="1" customWidth="1"/>
  </cols>
  <sheetData>
    <row r="1" spans="1:23" x14ac:dyDescent="0.2">
      <c r="A1" t="s">
        <v>145</v>
      </c>
    </row>
    <row r="2" spans="1:23" x14ac:dyDescent="0.2">
      <c r="C2" s="86"/>
      <c r="D2" s="86"/>
      <c r="E2" s="86"/>
    </row>
    <row r="3" spans="1:23" ht="24" x14ac:dyDescent="0.2">
      <c r="A3" s="171" t="s">
        <v>181</v>
      </c>
      <c r="B3" s="172" t="s">
        <v>127</v>
      </c>
      <c r="C3" s="172" t="s">
        <v>208</v>
      </c>
      <c r="D3" s="172" t="s">
        <v>134</v>
      </c>
      <c r="E3" s="172" t="s">
        <v>209</v>
      </c>
      <c r="F3" s="173"/>
      <c r="G3" s="173"/>
      <c r="H3" s="174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</row>
    <row r="4" spans="1:23" ht="24" x14ac:dyDescent="0.2">
      <c r="A4" s="84"/>
      <c r="B4" s="85" t="s">
        <v>205</v>
      </c>
      <c r="C4" s="85">
        <f>N13</f>
        <v>155</v>
      </c>
      <c r="D4" s="85"/>
      <c r="E4" s="85">
        <f>N24</f>
        <v>201</v>
      </c>
      <c r="H4" s="23"/>
    </row>
    <row r="6" spans="1:23" ht="16" thickBot="1" x14ac:dyDescent="0.25">
      <c r="A6" s="13" t="s">
        <v>182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16" x14ac:dyDescent="0.2">
      <c r="A7" s="166" t="s">
        <v>208</v>
      </c>
      <c r="B7" s="11" t="s">
        <v>0</v>
      </c>
      <c r="C7" s="11" t="s">
        <v>1</v>
      </c>
      <c r="D7" s="11" t="s">
        <v>2</v>
      </c>
      <c r="E7" s="95" t="s">
        <v>3</v>
      </c>
      <c r="F7" s="96" t="s">
        <v>4</v>
      </c>
      <c r="G7" s="96" t="s">
        <v>5</v>
      </c>
      <c r="H7" s="96" t="s">
        <v>6</v>
      </c>
      <c r="I7" s="96" t="s">
        <v>7</v>
      </c>
      <c r="J7" s="96" t="s">
        <v>8</v>
      </c>
      <c r="K7" s="96" t="s">
        <v>9</v>
      </c>
      <c r="L7" s="96" t="s">
        <v>10</v>
      </c>
      <c r="M7" s="97" t="s">
        <v>11</v>
      </c>
      <c r="N7" s="11" t="s">
        <v>12</v>
      </c>
      <c r="O7" s="10" t="s">
        <v>13</v>
      </c>
      <c r="P7" s="11" t="s">
        <v>14</v>
      </c>
      <c r="Q7" s="11" t="s">
        <v>15</v>
      </c>
      <c r="R7" s="11" t="s">
        <v>16</v>
      </c>
      <c r="S7" s="10" t="s">
        <v>17</v>
      </c>
      <c r="T7" s="10" t="s">
        <v>18</v>
      </c>
      <c r="U7" s="10" t="s">
        <v>19</v>
      </c>
      <c r="V7" s="10" t="s">
        <v>20</v>
      </c>
      <c r="W7" s="10" t="s">
        <v>21</v>
      </c>
    </row>
    <row r="8" spans="1:23" x14ac:dyDescent="0.2">
      <c r="A8" s="13" t="s">
        <v>96</v>
      </c>
      <c r="B8" s="243">
        <f>LITI_Q1_TOT[[#This Row],[2PT FGM]]+LITI_Q1_TOT[[#This Row],[3PT FGM]]</f>
        <v>18</v>
      </c>
      <c r="C8" s="90">
        <f>LITI_Q1_TOT[[#This Row],[2PT FGA]]+LITI_Q1_TOT[[#This Row],[3PT FGA]]</f>
        <v>49</v>
      </c>
      <c r="D8" s="91">
        <f>LITI_Q1_TOT[[#This Row],[Total FGM]]/LITI_Q1_TOT[[#This Row],[Total FGA]]</f>
        <v>0.36734693877551022</v>
      </c>
      <c r="E8" s="142">
        <f t="shared" ref="E8:F10" si="0">E31+E52+E82+E103+E115</f>
        <v>7</v>
      </c>
      <c r="F8" s="170">
        <f t="shared" si="0"/>
        <v>15</v>
      </c>
      <c r="G8" s="91">
        <f>LITI_Q1_TOT[[#This Row],[2PT FGM]]/LITI_Q1_TOT[[#This Row],[2PT FGA]]</f>
        <v>0.46666666666666667</v>
      </c>
      <c r="H8" s="247">
        <f t="shared" ref="H8:I10" si="1">H31+H52+H82+H103+H115</f>
        <v>11</v>
      </c>
      <c r="I8" s="247">
        <f t="shared" si="1"/>
        <v>34</v>
      </c>
      <c r="J8" s="91">
        <f>LITI_Q1_TOT[[#This Row],[3PT FGM]]/LITI_Q1_TOT[[#This Row],[3PT FGA]]</f>
        <v>0.3235294117647059</v>
      </c>
      <c r="K8" s="247">
        <f t="shared" ref="K8:L10" si="2">K31+K52+K82+K103+K115</f>
        <v>2</v>
      </c>
      <c r="L8" s="247">
        <f t="shared" si="2"/>
        <v>2</v>
      </c>
      <c r="M8" s="251">
        <f>LITI_Q1_TOT[[#This Row],[FTM]]/LITI_Q1_TOT[[#This Row],[FTA]]</f>
        <v>1</v>
      </c>
      <c r="N8" s="246">
        <f>SUM(LITI_Q1_TOT[[#This Row],[2PT FGM]]*2,LITI_Q1_TOT[[#This Row],[3PT FGM]]*3,LITI_Q1_TOT[[#This Row],[FTM]])</f>
        <v>49</v>
      </c>
      <c r="O8" s="170">
        <f t="shared" ref="O8:Q10" si="3">O31+O52+O82+O103+O115</f>
        <v>2</v>
      </c>
      <c r="P8" s="247">
        <f t="shared" si="3"/>
        <v>18</v>
      </c>
      <c r="Q8" s="170">
        <f t="shared" si="3"/>
        <v>7</v>
      </c>
      <c r="R8" s="19">
        <f>LITI_Q1_TOT[[#This Row],[Def. Boards]]+LITI_Q1_TOT[[#This Row],[Off. Boards]]</f>
        <v>25</v>
      </c>
      <c r="S8" s="170">
        <f t="shared" ref="S8:V10" si="4">S31+S52+S82+S103+S115</f>
        <v>11</v>
      </c>
      <c r="T8" s="170">
        <f t="shared" si="4"/>
        <v>6</v>
      </c>
      <c r="U8" s="247">
        <f t="shared" si="4"/>
        <v>2</v>
      </c>
      <c r="V8" s="170">
        <f t="shared" si="4"/>
        <v>8</v>
      </c>
      <c r="W8" s="92">
        <f>LITI_Q1_TOT[[#This Row],[Dimes]]/LITI_Q1_TOT[[#This Row],[Turnovers]]</f>
        <v>1.375</v>
      </c>
    </row>
    <row r="9" spans="1:23" x14ac:dyDescent="0.2">
      <c r="A9" s="13" t="s">
        <v>207</v>
      </c>
      <c r="B9" s="243">
        <f>LITI_Q1_TOT[[#This Row],[2PT FGM]]+LITI_Q1_TOT[[#This Row],[3PT FGM]]</f>
        <v>18</v>
      </c>
      <c r="C9" s="90">
        <f>LITI_Q1_TOT[[#This Row],[2PT FGA]]+LITI_Q1_TOT[[#This Row],[3PT FGA]]</f>
        <v>38</v>
      </c>
      <c r="D9" s="91">
        <f>LITI_Q1_TOT[[#This Row],[Total FGM]]/LITI_Q1_TOT[[#This Row],[Total FGA]]</f>
        <v>0.47368421052631576</v>
      </c>
      <c r="E9" s="277">
        <f t="shared" si="0"/>
        <v>14</v>
      </c>
      <c r="F9" s="170">
        <f t="shared" si="0"/>
        <v>22</v>
      </c>
      <c r="G9" s="244">
        <f>LITI_Q1_TOT[[#This Row],[2PT FGM]]/LITI_Q1_TOT[[#This Row],[2PT FGA]]</f>
        <v>0.63636363636363635</v>
      </c>
      <c r="H9" s="170">
        <f t="shared" si="1"/>
        <v>4</v>
      </c>
      <c r="I9" s="170">
        <f t="shared" si="1"/>
        <v>16</v>
      </c>
      <c r="J9" s="91">
        <f>LITI_Q1_TOT[[#This Row],[3PT FGM]]/LITI_Q1_TOT[[#This Row],[3PT FGA]]</f>
        <v>0.25</v>
      </c>
      <c r="K9" s="170">
        <f t="shared" si="2"/>
        <v>0</v>
      </c>
      <c r="L9" s="170">
        <f t="shared" si="2"/>
        <v>0</v>
      </c>
      <c r="M9" s="99" t="e">
        <f>LITI_Q1_TOT[[#This Row],[FTM]]/LITI_Q1_TOT[[#This Row],[FTA]]</f>
        <v>#DIV/0!</v>
      </c>
      <c r="N9" s="19">
        <f>SUM(LITI_Q1_TOT[[#This Row],[2PT FGM]]*2,LITI_Q1_TOT[[#This Row],[3PT FGM]]*3,LITI_Q1_TOT[[#This Row],[FTM]])</f>
        <v>40</v>
      </c>
      <c r="O9" s="247">
        <f t="shared" si="3"/>
        <v>10</v>
      </c>
      <c r="P9" s="170">
        <f t="shared" si="3"/>
        <v>12</v>
      </c>
      <c r="Q9" s="247">
        <f t="shared" si="3"/>
        <v>9</v>
      </c>
      <c r="R9" s="19">
        <f>LITI_Q1_TOT[[#This Row],[Def. Boards]]+LITI_Q1_TOT[[#This Row],[Off. Boards]]</f>
        <v>21</v>
      </c>
      <c r="S9" s="170">
        <f t="shared" si="4"/>
        <v>3</v>
      </c>
      <c r="T9" s="170">
        <f t="shared" si="4"/>
        <v>2</v>
      </c>
      <c r="U9" s="170">
        <f t="shared" si="4"/>
        <v>1</v>
      </c>
      <c r="V9" s="170">
        <f t="shared" si="4"/>
        <v>5</v>
      </c>
      <c r="W9" s="278">
        <f>LITI_Q1_TOT[[#This Row],[Dimes]]/LITI_Q1_TOT[[#This Row],[Turnovers]]</f>
        <v>0.6</v>
      </c>
    </row>
    <row r="10" spans="1:23" x14ac:dyDescent="0.2">
      <c r="A10" s="13" t="s">
        <v>88</v>
      </c>
      <c r="B10" s="90">
        <f>LITI_Q1_TOT[[#This Row],[2PT FGM]]+LITI_Q1_TOT[[#This Row],[3PT FGM]]</f>
        <v>13</v>
      </c>
      <c r="C10" s="243">
        <f>LITI_Q1_TOT[[#This Row],[2PT FGA]]+LITI_Q1_TOT[[#This Row],[3PT FGA]]</f>
        <v>52</v>
      </c>
      <c r="D10" s="91">
        <f>LITI_Q1_TOT[[#This Row],[Total FGM]]/LITI_Q1_TOT[[#This Row],[Total FGA]]</f>
        <v>0.25</v>
      </c>
      <c r="E10" s="142">
        <f t="shared" si="0"/>
        <v>11</v>
      </c>
      <c r="F10" s="247">
        <f t="shared" si="0"/>
        <v>30</v>
      </c>
      <c r="G10" s="91">
        <f>LITI_Q1_TOT[[#This Row],[2PT FGM]]/LITI_Q1_TOT[[#This Row],[2PT FGA]]</f>
        <v>0.36666666666666664</v>
      </c>
      <c r="H10" s="170">
        <f t="shared" si="1"/>
        <v>2</v>
      </c>
      <c r="I10" s="170">
        <f t="shared" si="1"/>
        <v>22</v>
      </c>
      <c r="J10" s="91">
        <f>LITI_Q1_TOT[[#This Row],[3PT FGM]]/LITI_Q1_TOT[[#This Row],[3PT FGA]]</f>
        <v>9.0909090909090912E-2</v>
      </c>
      <c r="K10" s="170">
        <f t="shared" si="2"/>
        <v>0</v>
      </c>
      <c r="L10" s="170">
        <f t="shared" si="2"/>
        <v>0</v>
      </c>
      <c r="M10" s="99" t="e">
        <f>LITI_Q1_TOT[[#This Row],[FTM]]/LITI_Q1_TOT[[#This Row],[FTA]]</f>
        <v>#DIV/0!</v>
      </c>
      <c r="N10" s="19">
        <f>SUM(LITI_Q1_TOT[[#This Row],[2PT FGM]]*2,LITI_Q1_TOT[[#This Row],[3PT FGM]]*3,LITI_Q1_TOT[[#This Row],[FTM]])</f>
        <v>28</v>
      </c>
      <c r="O10" s="170">
        <f t="shared" si="3"/>
        <v>0</v>
      </c>
      <c r="P10" s="170">
        <f t="shared" si="3"/>
        <v>17</v>
      </c>
      <c r="Q10" s="247">
        <f t="shared" si="3"/>
        <v>9</v>
      </c>
      <c r="R10" s="246">
        <f>LITI_Q1_TOT[[#This Row],[Def. Boards]]+LITI_Q1_TOT[[#This Row],[Off. Boards]]</f>
        <v>26</v>
      </c>
      <c r="S10" s="247">
        <f t="shared" si="4"/>
        <v>21</v>
      </c>
      <c r="T10" s="247">
        <f t="shared" si="4"/>
        <v>10</v>
      </c>
      <c r="U10" s="247">
        <f t="shared" si="4"/>
        <v>2</v>
      </c>
      <c r="V10" s="248">
        <f t="shared" si="4"/>
        <v>14</v>
      </c>
      <c r="W10" s="250">
        <f>LITI_Q1_TOT[[#This Row],[Dimes]]/LITI_Q1_TOT[[#This Row],[Turnovers]]</f>
        <v>1.5</v>
      </c>
    </row>
    <row r="11" spans="1:23" x14ac:dyDescent="0.2">
      <c r="A11" s="13" t="s">
        <v>265</v>
      </c>
      <c r="B11" s="90">
        <f>LITI_Q1_TOT[[#This Row],[2PT FGM]]+LITI_Q1_TOT[[#This Row],[3PT FGM]]</f>
        <v>3</v>
      </c>
      <c r="C11" s="90">
        <f>LITI_Q1_TOT[[#This Row],[2PT FGA]]+LITI_Q1_TOT[[#This Row],[3PT FGA]]</f>
        <v>21</v>
      </c>
      <c r="D11" s="91">
        <f>LITI_Q1_TOT[[#This Row],[Total FGM]]/LITI_Q1_TOT[[#This Row],[Total FGA]]</f>
        <v>0.14285714285714285</v>
      </c>
      <c r="E11" s="142">
        <f>E34+E55+E85+E106</f>
        <v>3</v>
      </c>
      <c r="F11" s="170">
        <f>F34+F55+F85+F106</f>
        <v>13</v>
      </c>
      <c r="G11" s="91">
        <f>LITI_Q1_TOT[[#This Row],[2PT FGM]]/LITI_Q1_TOT[[#This Row],[2PT FGA]]</f>
        <v>0.23076923076923078</v>
      </c>
      <c r="H11" s="170">
        <f>H34+H55+H85+H106</f>
        <v>0</v>
      </c>
      <c r="I11" s="170">
        <f>I34+I55+I85+I106</f>
        <v>8</v>
      </c>
      <c r="J11" s="91">
        <f>LITI_Q1_TOT[[#This Row],[3PT FGM]]/LITI_Q1_TOT[[#This Row],[3PT FGA]]</f>
        <v>0</v>
      </c>
      <c r="K11" s="170">
        <f>K34+K55+K85+K106</f>
        <v>0</v>
      </c>
      <c r="L11" s="170">
        <f>L34+L55+L85+L106</f>
        <v>0</v>
      </c>
      <c r="M11" s="99" t="e">
        <f>LITI_Q1_TOT[[#This Row],[FTM]]/LITI_Q1_TOT[[#This Row],[FTA]]</f>
        <v>#DIV/0!</v>
      </c>
      <c r="N11" s="19">
        <f>SUM(LITI_Q1_TOT[[#This Row],[2PT FGM]]*2,LITI_Q1_TOT[[#This Row],[3PT FGM]]*3,LITI_Q1_TOT[[#This Row],[FTM]])</f>
        <v>6</v>
      </c>
      <c r="O11" s="170">
        <f>O34+O55+O85+O106</f>
        <v>0</v>
      </c>
      <c r="P11" s="170">
        <f>P34+P55+P85+P106</f>
        <v>8</v>
      </c>
      <c r="Q11" s="170">
        <f>Q34+Q55+Q85+Q106</f>
        <v>3</v>
      </c>
      <c r="R11" s="19">
        <f>LITI_Q1_TOT[[#This Row],[Def. Boards]]+LITI_Q1_TOT[[#This Row],[Off. Boards]]</f>
        <v>11</v>
      </c>
      <c r="S11" s="170">
        <f>S34+S55+S85+S106</f>
        <v>4</v>
      </c>
      <c r="T11" s="170">
        <f>T34+T55+T85+T106</f>
        <v>1</v>
      </c>
      <c r="U11" s="170">
        <f>U34+U55+U85+U106</f>
        <v>0</v>
      </c>
      <c r="V11" s="170">
        <f>V34+V55+V85+V106</f>
        <v>4</v>
      </c>
      <c r="W11" s="92">
        <f>LITI_Q1_TOT[[#This Row],[Dimes]]/LITI_Q1_TOT[[#This Row],[Turnovers]]</f>
        <v>1</v>
      </c>
    </row>
    <row r="12" spans="1:23" x14ac:dyDescent="0.2">
      <c r="A12" s="13" t="s">
        <v>83</v>
      </c>
      <c r="B12" s="90">
        <f>LITI_Q1_TOT[[#This Row],[2PT FGM]]+LITI_Q1_TOT[[#This Row],[3PT FGM]]</f>
        <v>12</v>
      </c>
      <c r="C12" s="90">
        <f>LITI_Q1_TOT[[#This Row],[2PT FGA]]+LITI_Q1_TOT[[#This Row],[3PT FGA]]</f>
        <v>25</v>
      </c>
      <c r="D12" s="244">
        <f>LITI_Q1_TOT[[#This Row],[Total FGM]]/LITI_Q1_TOT[[#This Row],[Total FGA]]</f>
        <v>0.48</v>
      </c>
      <c r="E12" s="142">
        <f>E35+E56+E86+E107+E118</f>
        <v>4</v>
      </c>
      <c r="F12" s="170">
        <f>F35+F56+F86+F107+F118</f>
        <v>9</v>
      </c>
      <c r="G12" s="91">
        <f>LITI_Q1_TOT[[#This Row],[2PT FGM]]/LITI_Q1_TOT[[#This Row],[2PT FGA]]</f>
        <v>0.44444444444444442</v>
      </c>
      <c r="H12" s="170">
        <f>H35+H56+H86+H107+H118</f>
        <v>8</v>
      </c>
      <c r="I12" s="170">
        <f>I35+I56+I86+I107+I118</f>
        <v>16</v>
      </c>
      <c r="J12" s="244">
        <f>LITI_Q1_TOT[[#This Row],[3PT FGM]]/LITI_Q1_TOT[[#This Row],[3PT FGA]]</f>
        <v>0.5</v>
      </c>
      <c r="K12" s="170">
        <f>K35+K56+K86+K107+K118</f>
        <v>0</v>
      </c>
      <c r="L12" s="170">
        <f>L35+L56+L86+L107+L118</f>
        <v>0</v>
      </c>
      <c r="M12" s="99" t="e">
        <f>LITI_Q1_TOT[[#This Row],[FTM]]/LITI_Q1_TOT[[#This Row],[FTA]]</f>
        <v>#DIV/0!</v>
      </c>
      <c r="N12" s="19">
        <f>SUM(LITI_Q1_TOT[[#This Row],[2PT FGM]]*2,LITI_Q1_TOT[[#This Row],[3PT FGM]]*3,LITI_Q1_TOT[[#This Row],[FTM]])</f>
        <v>32</v>
      </c>
      <c r="O12" s="170">
        <f>O35+O56+O86+O107+O118</f>
        <v>0</v>
      </c>
      <c r="P12" s="170">
        <f>P35+P56+P86+P107+P118</f>
        <v>3</v>
      </c>
      <c r="Q12" s="170">
        <f>Q35+Q56+Q86+Q107+Q118</f>
        <v>1</v>
      </c>
      <c r="R12" s="19">
        <f>LITI_Q1_TOT[[#This Row],[Def. Boards]]+LITI_Q1_TOT[[#This Row],[Off. Boards]]</f>
        <v>4</v>
      </c>
      <c r="S12" s="170">
        <f>S35+S56+S86+S107+S118</f>
        <v>3</v>
      </c>
      <c r="T12" s="170">
        <f>T35+T56+T86+T107+T118</f>
        <v>3</v>
      </c>
      <c r="U12" s="170">
        <f>U35+U56+U86+U107+U118</f>
        <v>0</v>
      </c>
      <c r="V12" s="247">
        <f>V35+V56+V86+V107+V118</f>
        <v>2</v>
      </c>
      <c r="W12" s="250">
        <f>LITI_Q1_TOT[[#This Row],[Dimes]]/LITI_Q1_TOT[[#This Row],[Turnovers]]</f>
        <v>1.5</v>
      </c>
    </row>
    <row r="13" spans="1:23" ht="16" thickBot="1" x14ac:dyDescent="0.25">
      <c r="A13" s="82" t="s">
        <v>76</v>
      </c>
      <c r="B13" s="100">
        <f>SUM(B8:B12)</f>
        <v>64</v>
      </c>
      <c r="C13" s="100">
        <f>SUM(C8:C12)</f>
        <v>185</v>
      </c>
      <c r="D13" s="101">
        <f>LITI_Q1_TOT[[#This Row],[Total FGM]]/LITI_Q1_TOT[[#This Row],[Total FGA]]</f>
        <v>0.34594594594594597</v>
      </c>
      <c r="E13" s="102">
        <f>SUM(E8:E12)</f>
        <v>39</v>
      </c>
      <c r="F13" s="103">
        <f>SUM(F8:F12)</f>
        <v>89</v>
      </c>
      <c r="G13" s="108">
        <f>LITI_Q1_TOT[[#This Row],[2PT FGM]]/LITI_Q1_TOT[[#This Row],[2PT FGA]]</f>
        <v>0.43820224719101125</v>
      </c>
      <c r="H13" s="103">
        <f>SUM(H8:H12)</f>
        <v>25</v>
      </c>
      <c r="I13" s="103">
        <f>SUM(I8:I12)</f>
        <v>96</v>
      </c>
      <c r="J13" s="104">
        <f>LITI_Q1_TOT[[#This Row],[3PT FGM]]/LITI_Q1_TOT[[#This Row],[3PT FGA]]</f>
        <v>0.26041666666666669</v>
      </c>
      <c r="K13" s="103">
        <f>SUM(K8:K12)</f>
        <v>2</v>
      </c>
      <c r="L13" s="103">
        <f>SUM(L8:L12)</f>
        <v>2</v>
      </c>
      <c r="M13" s="105">
        <f>LITI_Q1_TOT[[#This Row],[FTM]]/LITI_Q1_TOT[[#This Row],[FTA]]</f>
        <v>1</v>
      </c>
      <c r="N13" s="62">
        <f>SUM(LITI_Q1_TOT[[#This Row],[2PT FGM]]*2,LITI_Q1_TOT[[#This Row],[3PT FGM]]*3,LITI_Q1_TOT[[#This Row],[FTM]])</f>
        <v>155</v>
      </c>
      <c r="O13" s="106">
        <f t="shared" ref="O13:V13" si="5">SUM(O8:O12)</f>
        <v>12</v>
      </c>
      <c r="P13" s="106">
        <f t="shared" si="5"/>
        <v>58</v>
      </c>
      <c r="Q13" s="106">
        <f t="shared" si="5"/>
        <v>29</v>
      </c>
      <c r="R13" s="106">
        <f t="shared" si="5"/>
        <v>87</v>
      </c>
      <c r="S13" s="106">
        <f t="shared" si="5"/>
        <v>42</v>
      </c>
      <c r="T13" s="106">
        <f t="shared" si="5"/>
        <v>22</v>
      </c>
      <c r="U13" s="106">
        <f t="shared" si="5"/>
        <v>5</v>
      </c>
      <c r="V13" s="106">
        <f t="shared" si="5"/>
        <v>33</v>
      </c>
      <c r="W13" s="107">
        <f>LITI_Q1_TOT[[#This Row],[Dimes]]/LITI_Q1_TOT[[#This Row],[Turnovers]]</f>
        <v>1.2727272727272727</v>
      </c>
    </row>
    <row r="16" spans="1:23" ht="16" thickBot="1" x14ac:dyDescent="0.25">
      <c r="A16" s="13" t="s">
        <v>182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1:23" ht="16" x14ac:dyDescent="0.2">
      <c r="A17" s="166" t="s">
        <v>209</v>
      </c>
      <c r="B17" s="11" t="s">
        <v>0</v>
      </c>
      <c r="C17" s="11" t="s">
        <v>1</v>
      </c>
      <c r="D17" s="11" t="s">
        <v>2</v>
      </c>
      <c r="E17" s="95" t="s">
        <v>3</v>
      </c>
      <c r="F17" s="96" t="s">
        <v>4</v>
      </c>
      <c r="G17" s="96" t="s">
        <v>5</v>
      </c>
      <c r="H17" s="96" t="s">
        <v>6</v>
      </c>
      <c r="I17" s="96" t="s">
        <v>7</v>
      </c>
      <c r="J17" s="96" t="s">
        <v>8</v>
      </c>
      <c r="K17" s="96" t="s">
        <v>9</v>
      </c>
      <c r="L17" s="96" t="s">
        <v>10</v>
      </c>
      <c r="M17" s="97" t="s">
        <v>11</v>
      </c>
      <c r="N17" s="11" t="s">
        <v>12</v>
      </c>
      <c r="O17" s="10" t="s">
        <v>13</v>
      </c>
      <c r="P17" s="11" t="s">
        <v>14</v>
      </c>
      <c r="Q17" s="11" t="s">
        <v>15</v>
      </c>
      <c r="R17" s="11" t="s">
        <v>16</v>
      </c>
      <c r="S17" s="10" t="s">
        <v>17</v>
      </c>
      <c r="T17" s="10" t="s">
        <v>18</v>
      </c>
      <c r="U17" s="10" t="s">
        <v>19</v>
      </c>
      <c r="V17" s="10" t="s">
        <v>20</v>
      </c>
      <c r="W17" s="10" t="s">
        <v>21</v>
      </c>
    </row>
    <row r="18" spans="1:23" x14ac:dyDescent="0.2">
      <c r="A18" t="s">
        <v>24</v>
      </c>
      <c r="B18" s="90">
        <f>GN_Q1_TOT[[#This Row],[2PT FGM]]+GN_Q1_TOT[[#This Row],[3PT FGM]]</f>
        <v>19</v>
      </c>
      <c r="C18" s="90">
        <f>GN_Q1_TOT[[#This Row],[2PT FGA]]+GN_Q1_TOT[[#This Row],[3PT FGA]]</f>
        <v>33</v>
      </c>
      <c r="D18" s="91">
        <f>GN_Q1_TOT[[#This Row],[Total FGM]]/GN_Q1_TOT[[#This Row],[Total FGA]]</f>
        <v>0.5757575757575758</v>
      </c>
      <c r="E18" s="98">
        <f>E40+E61+E73+E94+E124</f>
        <v>13</v>
      </c>
      <c r="F18" s="19">
        <f>F40+F61+F73+F94+F124</f>
        <v>18</v>
      </c>
      <c r="G18" s="91">
        <f>GN_Q1_TOT[[#This Row],[2PT FGM]]/GN_Q1_TOT[[#This Row],[2PT FGA]]</f>
        <v>0.72222222222222221</v>
      </c>
      <c r="H18" s="19">
        <f>H40+H61+H73+H94+H124</f>
        <v>6</v>
      </c>
      <c r="I18" s="19">
        <f>I40+I61+I73+I94+I124</f>
        <v>15</v>
      </c>
      <c r="J18" s="91">
        <f>GN_Q1_TOT[[#This Row],[3PT FGM]]/GN_Q1_TOT[[#This Row],[3PT FGA]]</f>
        <v>0.4</v>
      </c>
      <c r="K18" s="246">
        <f>K40+K61+K73+K94+K124</f>
        <v>1</v>
      </c>
      <c r="L18" s="246">
        <f>L40+L61+L73+L94+L124</f>
        <v>1</v>
      </c>
      <c r="M18" s="251">
        <f>GN_Q1_TOT[[#This Row],[FTM]]/GN_Q1_TOT[[#This Row],[FTA]]</f>
        <v>1</v>
      </c>
      <c r="N18" s="19">
        <f>SUM(GN_Q1_TOT[[#This Row],[2PT FGM]]*2,GN_Q1_TOT[[#This Row],[3PT FGM]]*3,GN_Q1_TOT[[#This Row],[FTM]])</f>
        <v>45</v>
      </c>
      <c r="O18" s="19">
        <f>O40+O61+O73+O94+O124</f>
        <v>2</v>
      </c>
      <c r="P18" s="246">
        <f>P40+P61+P73+P94+P124</f>
        <v>24</v>
      </c>
      <c r="Q18" s="19">
        <f>Q40+Q61+Q73+Q94+Q124</f>
        <v>3</v>
      </c>
      <c r="R18" s="19">
        <f>GN_Q1_TOT[[#This Row],[Def. Boards]]+GN_Q1_TOT[[#This Row],[Off. Boards]]</f>
        <v>27</v>
      </c>
      <c r="S18" s="19">
        <f>S40+S61+S73+S94+S124</f>
        <v>19</v>
      </c>
      <c r="T18" s="246">
        <f>T40+T61+T73+T94+T124</f>
        <v>7</v>
      </c>
      <c r="U18" s="19">
        <f>U40+U61+U73+U94+U124</f>
        <v>1</v>
      </c>
      <c r="V18" s="246">
        <f>V40+V61+V73+V94+V124</f>
        <v>2</v>
      </c>
      <c r="W18" s="250">
        <f>GN_Q1_TOT[[#This Row],[Dimes]]/GN_Q1_TOT[[#This Row],[Turnovers]]</f>
        <v>9.5</v>
      </c>
    </row>
    <row r="19" spans="1:23" x14ac:dyDescent="0.2">
      <c r="A19" t="s">
        <v>135</v>
      </c>
      <c r="B19" s="90">
        <f>GN_Q1_TOT[[#This Row],[2PT FGM]]+GN_Q1_TOT[[#This Row],[3PT FGM]]</f>
        <v>21</v>
      </c>
      <c r="C19" s="90">
        <f>GN_Q1_TOT[[#This Row],[2PT FGA]]+GN_Q1_TOT[[#This Row],[3PT FGA]]</f>
        <v>29</v>
      </c>
      <c r="D19" s="244">
        <f>GN_Q1_TOT[[#This Row],[Total FGM]]/GN_Q1_TOT[[#This Row],[Total FGA]]</f>
        <v>0.72413793103448276</v>
      </c>
      <c r="E19" s="245">
        <f t="shared" ref="E19:F21" si="6">E41+E62+E74+E95+E125</f>
        <v>21</v>
      </c>
      <c r="F19" s="246">
        <f t="shared" si="6"/>
        <v>28</v>
      </c>
      <c r="G19" s="244">
        <f>GN_Q1_TOT[[#This Row],[2PT FGM]]/GN_Q1_TOT[[#This Row],[2PT FGA]]</f>
        <v>0.75</v>
      </c>
      <c r="H19" s="19">
        <f t="shared" ref="H19:I19" si="7">H41+H62+H74+H95+H125</f>
        <v>0</v>
      </c>
      <c r="I19" s="19">
        <f t="shared" si="7"/>
        <v>1</v>
      </c>
      <c r="J19" s="91">
        <f>GN_Q1_TOT[[#This Row],[3PT FGM]]/GN_Q1_TOT[[#This Row],[3PT FGA]]</f>
        <v>0</v>
      </c>
      <c r="K19" s="19">
        <f t="shared" ref="K19:L22" si="8">K41+K62+K74+K95+K125</f>
        <v>0</v>
      </c>
      <c r="L19" s="19">
        <f t="shared" si="8"/>
        <v>1</v>
      </c>
      <c r="M19" s="99">
        <f>GN_Q1_TOT[[#This Row],[FTM]]/GN_Q1_TOT[[#This Row],[FTA]]</f>
        <v>0</v>
      </c>
      <c r="N19" s="19">
        <f>SUM(GN_Q1_TOT[[#This Row],[2PT FGM]]*2,GN_Q1_TOT[[#This Row],[3PT FGM]]*3,GN_Q1_TOT[[#This Row],[FTM]])</f>
        <v>42</v>
      </c>
      <c r="O19" s="246">
        <f t="shared" ref="O19:Q19" si="9">O41+O62+O74+O95+O125</f>
        <v>18</v>
      </c>
      <c r="P19" s="19">
        <f t="shared" si="9"/>
        <v>22</v>
      </c>
      <c r="Q19" s="246">
        <f t="shared" si="9"/>
        <v>12</v>
      </c>
      <c r="R19" s="246">
        <f>GN_Q1_TOT[[#This Row],[Def. Boards]]+GN_Q1_TOT[[#This Row],[Off. Boards]]</f>
        <v>34</v>
      </c>
      <c r="S19" s="19">
        <f t="shared" ref="S19:V19" si="10">S41+S62+S74+S95+S125</f>
        <v>6</v>
      </c>
      <c r="T19" s="19">
        <f t="shared" si="10"/>
        <v>6</v>
      </c>
      <c r="U19" s="246">
        <f t="shared" si="10"/>
        <v>4</v>
      </c>
      <c r="V19" s="19">
        <f t="shared" si="10"/>
        <v>10</v>
      </c>
      <c r="W19" s="92">
        <f>GN_Q1_TOT[[#This Row],[Dimes]]/GN_Q1_TOT[[#This Row],[Turnovers]]</f>
        <v>0.6</v>
      </c>
    </row>
    <row r="20" spans="1:23" x14ac:dyDescent="0.2">
      <c r="A20" t="s">
        <v>103</v>
      </c>
      <c r="B20" s="90">
        <f>GN_Q1_TOT[[#This Row],[2PT FGM]]+GN_Q1_TOT[[#This Row],[3PT FGM]]</f>
        <v>10</v>
      </c>
      <c r="C20" s="90">
        <f>GN_Q1_TOT[[#This Row],[2PT FGA]]+GN_Q1_TOT[[#This Row],[3PT FGA]]</f>
        <v>40</v>
      </c>
      <c r="D20" s="91">
        <f>GN_Q1_TOT[[#This Row],[Total FGM]]/GN_Q1_TOT[[#This Row],[Total FGA]]</f>
        <v>0.25</v>
      </c>
      <c r="E20" s="98">
        <f t="shared" si="6"/>
        <v>6</v>
      </c>
      <c r="F20" s="19">
        <f t="shared" si="6"/>
        <v>15</v>
      </c>
      <c r="G20" s="91">
        <f>GN_Q1_TOT[[#This Row],[2PT FGM]]/GN_Q1_TOT[[#This Row],[2PT FGA]]</f>
        <v>0.4</v>
      </c>
      <c r="H20" s="19">
        <f t="shared" ref="H20:I20" si="11">H42+H63+H75+H96+H126</f>
        <v>4</v>
      </c>
      <c r="I20" s="19">
        <f t="shared" si="11"/>
        <v>25</v>
      </c>
      <c r="J20" s="91">
        <f>GN_Q1_TOT[[#This Row],[3PT FGM]]/GN_Q1_TOT[[#This Row],[3PT FGA]]</f>
        <v>0.16</v>
      </c>
      <c r="K20" s="19">
        <f t="shared" si="8"/>
        <v>0</v>
      </c>
      <c r="L20" s="19">
        <f t="shared" si="8"/>
        <v>0</v>
      </c>
      <c r="M20" s="99" t="e">
        <f>GN_Q1_TOT[[#This Row],[FTM]]/GN_Q1_TOT[[#This Row],[FTA]]</f>
        <v>#DIV/0!</v>
      </c>
      <c r="N20" s="19">
        <f>SUM(GN_Q1_TOT[[#This Row],[2PT FGM]]*2,GN_Q1_TOT[[#This Row],[3PT FGM]]*3,GN_Q1_TOT[[#This Row],[FTM]])</f>
        <v>24</v>
      </c>
      <c r="O20" s="19">
        <f t="shared" ref="O20:Q20" si="12">O42+O63+O75+O96+O126</f>
        <v>1</v>
      </c>
      <c r="P20" s="19">
        <f t="shared" si="12"/>
        <v>21</v>
      </c>
      <c r="Q20" s="19">
        <f t="shared" si="12"/>
        <v>4</v>
      </c>
      <c r="R20" s="19">
        <f>GN_Q1_TOT[[#This Row],[Def. Boards]]+GN_Q1_TOT[[#This Row],[Off. Boards]]</f>
        <v>25</v>
      </c>
      <c r="S20" s="246">
        <f t="shared" ref="S20:V20" si="13">S42+S63+S75+S96+S126</f>
        <v>23</v>
      </c>
      <c r="T20" s="19">
        <f t="shared" si="13"/>
        <v>6</v>
      </c>
      <c r="U20" s="19">
        <f t="shared" si="13"/>
        <v>2</v>
      </c>
      <c r="V20" s="249">
        <f t="shared" si="13"/>
        <v>12</v>
      </c>
      <c r="W20" s="92">
        <f>GN_Q1_TOT[[#This Row],[Dimes]]/GN_Q1_TOT[[#This Row],[Turnovers]]</f>
        <v>1.9166666666666667</v>
      </c>
    </row>
    <row r="21" spans="1:23" x14ac:dyDescent="0.2">
      <c r="A21" t="s">
        <v>100</v>
      </c>
      <c r="B21" s="243">
        <f>GN_Q1_TOT[[#This Row],[2PT FGM]]+GN_Q1_TOT[[#This Row],[3PT FGM]]</f>
        <v>27</v>
      </c>
      <c r="C21" s="243">
        <f>GN_Q1_TOT[[#This Row],[2PT FGA]]+GN_Q1_TOT[[#This Row],[3PT FGA]]</f>
        <v>61</v>
      </c>
      <c r="D21" s="91">
        <f>GN_Q1_TOT[[#This Row],[Total FGM]]/GN_Q1_TOT[[#This Row],[Total FGA]]</f>
        <v>0.44262295081967212</v>
      </c>
      <c r="E21" s="98">
        <f t="shared" si="6"/>
        <v>11</v>
      </c>
      <c r="F21" s="19">
        <f t="shared" si="6"/>
        <v>18</v>
      </c>
      <c r="G21" s="91">
        <f>GN_Q1_TOT[[#This Row],[2PT FGM]]/GN_Q1_TOT[[#This Row],[2PT FGA]]</f>
        <v>0.61111111111111116</v>
      </c>
      <c r="H21" s="246">
        <f t="shared" ref="H21:I21" si="14">H43+H64+H76+H97+H127</f>
        <v>16</v>
      </c>
      <c r="I21" s="246">
        <f t="shared" si="14"/>
        <v>43</v>
      </c>
      <c r="J21" s="91">
        <f>GN_Q1_TOT[[#This Row],[3PT FGM]]/GN_Q1_TOT[[#This Row],[3PT FGA]]</f>
        <v>0.37209302325581395</v>
      </c>
      <c r="K21" s="19">
        <f t="shared" si="8"/>
        <v>0</v>
      </c>
      <c r="L21" s="19">
        <f t="shared" si="8"/>
        <v>0</v>
      </c>
      <c r="M21" s="99" t="e">
        <f>GN_Q1_TOT[[#This Row],[FTM]]/GN_Q1_TOT[[#This Row],[FTA]]</f>
        <v>#DIV/0!</v>
      </c>
      <c r="N21" s="246">
        <f>SUM(GN_Q1_TOT[[#This Row],[2PT FGM]]*2,GN_Q1_TOT[[#This Row],[3PT FGM]]*3,GN_Q1_TOT[[#This Row],[FTM]])</f>
        <v>70</v>
      </c>
      <c r="O21" s="19">
        <f t="shared" ref="O21:Q21" si="15">O43+O64+O76+O97+O127</f>
        <v>0</v>
      </c>
      <c r="P21" s="19">
        <f t="shared" si="15"/>
        <v>12</v>
      </c>
      <c r="Q21" s="19">
        <f t="shared" si="15"/>
        <v>1</v>
      </c>
      <c r="R21" s="19">
        <f>GN_Q1_TOT[[#This Row],[Def. Boards]]+GN_Q1_TOT[[#This Row],[Off. Boards]]</f>
        <v>13</v>
      </c>
      <c r="S21" s="19">
        <f t="shared" ref="S21:V21" si="16">S43+S64+S76+S97+S127</f>
        <v>14</v>
      </c>
      <c r="T21" s="19">
        <f t="shared" si="16"/>
        <v>4</v>
      </c>
      <c r="U21" s="246">
        <f t="shared" si="16"/>
        <v>4</v>
      </c>
      <c r="V21" s="19">
        <f t="shared" si="16"/>
        <v>6</v>
      </c>
      <c r="W21" s="92">
        <f>GN_Q1_TOT[[#This Row],[Dimes]]/GN_Q1_TOT[[#This Row],[Turnovers]]</f>
        <v>2.3333333333333335</v>
      </c>
    </row>
    <row r="22" spans="1:23" x14ac:dyDescent="0.2">
      <c r="A22" t="s">
        <v>85</v>
      </c>
      <c r="B22" s="90">
        <f>GN_Q1_TOT[[#This Row],[2PT FGM]]+GN_Q1_TOT[[#This Row],[3PT FGM]]</f>
        <v>4</v>
      </c>
      <c r="C22" s="90">
        <f>GN_Q1_TOT[[#This Row],[2PT FGA]]+GN_Q1_TOT[[#This Row],[3PT FGA]]</f>
        <v>9</v>
      </c>
      <c r="D22" s="91">
        <f>GN_Q1_TOT[[#This Row],[Total FGM]]/GN_Q1_TOT[[#This Row],[Total FGA]]</f>
        <v>0.44444444444444442</v>
      </c>
      <c r="E22" s="98">
        <f>E44+E65</f>
        <v>1</v>
      </c>
      <c r="F22" s="19">
        <f>F44+F65</f>
        <v>3</v>
      </c>
      <c r="G22" s="91">
        <f>GN_Q1_TOT[[#This Row],[2PT FGM]]/GN_Q1_TOT[[#This Row],[2PT FGA]]</f>
        <v>0.33333333333333331</v>
      </c>
      <c r="H22" s="19">
        <f>H44+H65</f>
        <v>3</v>
      </c>
      <c r="I22" s="19">
        <f>I44+I65</f>
        <v>6</v>
      </c>
      <c r="J22" s="244">
        <f>GN_Q1_TOT[[#This Row],[3PT FGM]]/GN_Q1_TOT[[#This Row],[3PT FGA]]</f>
        <v>0.5</v>
      </c>
      <c r="K22" s="19">
        <f t="shared" si="8"/>
        <v>0</v>
      </c>
      <c r="L22" s="19">
        <f t="shared" si="8"/>
        <v>0</v>
      </c>
      <c r="M22" s="99" t="e">
        <f>GN_Q1_TOT[[#This Row],[FTM]]/GN_Q1_TOT[[#This Row],[FTA]]</f>
        <v>#DIV/0!</v>
      </c>
      <c r="N22" s="19">
        <f>SUM(GN_Q1_TOT[[#This Row],[2PT FGM]]*2,GN_Q1_TOT[[#This Row],[3PT FGM]]*3,GN_Q1_TOT[[#This Row],[FTM]])</f>
        <v>11</v>
      </c>
      <c r="O22" s="19">
        <f>O44+O65</f>
        <v>0</v>
      </c>
      <c r="P22" s="19">
        <f>P44+P65</f>
        <v>1</v>
      </c>
      <c r="Q22" s="19">
        <f>Q44+Q65</f>
        <v>1</v>
      </c>
      <c r="R22" s="19">
        <f>GN_Q1_TOT[[#This Row],[Def. Boards]]+GN_Q1_TOT[[#This Row],[Off. Boards]]</f>
        <v>2</v>
      </c>
      <c r="S22" s="19">
        <f>S44+S65</f>
        <v>0</v>
      </c>
      <c r="T22" s="19">
        <f>T44+T65</f>
        <v>1</v>
      </c>
      <c r="U22" s="19">
        <f>U44+U65</f>
        <v>0</v>
      </c>
      <c r="V22" s="246">
        <f>V44+V65</f>
        <v>2</v>
      </c>
      <c r="W22" s="278">
        <f>GN_Q1_TOT[[#This Row],[Dimes]]/GN_Q1_TOT[[#This Row],[Turnovers]]</f>
        <v>0</v>
      </c>
    </row>
    <row r="23" spans="1:23" x14ac:dyDescent="0.2">
      <c r="A23" t="s">
        <v>266</v>
      </c>
      <c r="B23" s="90">
        <f>GN_Q1_TOT[[#This Row],[2PT FGM]]+GN_Q1_TOT[[#This Row],[3PT FGM]]</f>
        <v>4</v>
      </c>
      <c r="C23" s="90">
        <f>GN_Q1_TOT[[#This Row],[2PT FGA]]+GN_Q1_TOT[[#This Row],[3PT FGA]]</f>
        <v>7</v>
      </c>
      <c r="D23" s="91">
        <f>GN_Q1_TOT[[#This Row],[Total FGM]]/GN_Q1_TOT[[#This Row],[Total FGA]]</f>
        <v>0.5714285714285714</v>
      </c>
      <c r="E23" s="98">
        <f>E128</f>
        <v>3</v>
      </c>
      <c r="F23" s="19">
        <f>F128</f>
        <v>5</v>
      </c>
      <c r="G23" s="91">
        <f>GN_Q1_TOT[[#This Row],[2PT FGM]]/GN_Q1_TOT[[#This Row],[2PT FGA]]</f>
        <v>0.6</v>
      </c>
      <c r="H23" s="19">
        <f>H128</f>
        <v>1</v>
      </c>
      <c r="I23" s="19">
        <f>I128</f>
        <v>2</v>
      </c>
      <c r="J23" s="91">
        <f>GN_Q1_TOT[[#This Row],[3PT FGM]]/GN_Q1_TOT[[#This Row],[3PT FGA]]</f>
        <v>0.5</v>
      </c>
      <c r="K23" s="19">
        <f>K128</f>
        <v>0</v>
      </c>
      <c r="L23" s="19">
        <f>L128</f>
        <v>0</v>
      </c>
      <c r="M23" s="99" t="e">
        <f>GN_Q1_TOT[[#This Row],[FTM]]/GN_Q1_TOT[[#This Row],[FTA]]</f>
        <v>#DIV/0!</v>
      </c>
      <c r="N23" s="19">
        <f>SUM(GN_Q1_TOT[[#This Row],[2PT FGM]]*2,GN_Q1_TOT[[#This Row],[3PT FGM]]*3,GN_Q1_TOT[[#This Row],[FTM]])</f>
        <v>9</v>
      </c>
      <c r="O23" s="19">
        <f>O128</f>
        <v>0</v>
      </c>
      <c r="P23" s="19">
        <f>P128</f>
        <v>1</v>
      </c>
      <c r="Q23" s="19">
        <f>Q128</f>
        <v>3</v>
      </c>
      <c r="R23" s="19">
        <f>GN_Q1_TOT[[#This Row],[Def. Boards]]+GN_Q1_TOT[[#This Row],[Off. Boards]]</f>
        <v>4</v>
      </c>
      <c r="S23" s="19">
        <f>S128</f>
        <v>0</v>
      </c>
      <c r="T23" s="19">
        <f>T128</f>
        <v>1</v>
      </c>
      <c r="U23" s="19">
        <f>U128</f>
        <v>0</v>
      </c>
      <c r="V23" s="19">
        <f>V128</f>
        <v>2</v>
      </c>
      <c r="W23" s="92">
        <f>GN_Q1_TOT[[#This Row],[Dimes]]/GN_Q1_TOT[[#This Row],[Turnovers]]</f>
        <v>0</v>
      </c>
    </row>
    <row r="24" spans="1:23" ht="16" thickBot="1" x14ac:dyDescent="0.25">
      <c r="A24" s="82" t="s">
        <v>76</v>
      </c>
      <c r="B24" s="100">
        <f>SUM(B18:B23)</f>
        <v>85</v>
      </c>
      <c r="C24" s="100">
        <f>SUM(C18:C23)</f>
        <v>179</v>
      </c>
      <c r="D24" s="101">
        <f>GN_Q1_TOT[[#This Row],[Total FGM]]/GN_Q1_TOT[[#This Row],[Total FGA]]</f>
        <v>0.47486033519553073</v>
      </c>
      <c r="E24" s="102">
        <f>SUM(E18:E23)</f>
        <v>55</v>
      </c>
      <c r="F24" s="103">
        <f>SUM(F18:F23)</f>
        <v>87</v>
      </c>
      <c r="G24" s="104">
        <f>GN_Q1_TOT[[#This Row],[2PT FGM]]/GN_Q1_TOT[[#This Row],[2PT FGA]]</f>
        <v>0.63218390804597702</v>
      </c>
      <c r="H24" s="103">
        <f>SUM(H18:H23)</f>
        <v>30</v>
      </c>
      <c r="I24" s="103">
        <f>SUM(I18:I23)</f>
        <v>92</v>
      </c>
      <c r="J24" s="109">
        <f>GN_Q1_TOT[[#This Row],[3PT FGM]]/GN_Q1_TOT[[#This Row],[3PT FGA]]</f>
        <v>0.32608695652173914</v>
      </c>
      <c r="K24" s="103">
        <f>SUM(K18:K23)</f>
        <v>1</v>
      </c>
      <c r="L24" s="103">
        <f>SUM(L18:L23)</f>
        <v>2</v>
      </c>
      <c r="M24" s="105">
        <f>GN_Q1_TOT[[#This Row],[FTM]]/GN_Q1_TOT[[#This Row],[FTA]]</f>
        <v>0.5</v>
      </c>
      <c r="N24" s="62">
        <f>SUM(GN_Q1_TOT[[#This Row],[2PT FGM]]*2,GN_Q1_TOT[[#This Row],[3PT FGM]]*3,GN_Q1_TOT[[#This Row],[FTM]])</f>
        <v>201</v>
      </c>
      <c r="O24" s="100">
        <f>SUM(O18:O23)</f>
        <v>21</v>
      </c>
      <c r="P24" s="100">
        <f>SUM(P18:P23)</f>
        <v>81</v>
      </c>
      <c r="Q24" s="100">
        <f>SUM(Q18:Q23)</f>
        <v>24</v>
      </c>
      <c r="R24" s="106">
        <f>GN_Q1_TOT[[#This Row],[Def. Boards]]+GN_Q1_TOT[[#This Row],[Off. Boards]]</f>
        <v>105</v>
      </c>
      <c r="S24" s="100">
        <f>SUM(S18:S23)</f>
        <v>62</v>
      </c>
      <c r="T24" s="100">
        <f>SUM(T18:T23)</f>
        <v>25</v>
      </c>
      <c r="U24" s="100">
        <f>SUM(U18:U23)</f>
        <v>11</v>
      </c>
      <c r="V24" s="100">
        <f>SUM(V18:V23)</f>
        <v>34</v>
      </c>
      <c r="W24" s="107">
        <f>GN_Q1_TOT[[#This Row],[Dimes]]/GN_Q1_TOT[[#This Row],[Turnovers]]</f>
        <v>1.8235294117647058</v>
      </c>
    </row>
    <row r="25" spans="1:23" ht="16" thickBot="1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</row>
    <row r="26" spans="1:23" ht="16" thickTop="1" x14ac:dyDescent="0.2">
      <c r="B26" s="159"/>
      <c r="C26" s="86" t="s">
        <v>68</v>
      </c>
      <c r="D26" s="86" t="s">
        <v>134</v>
      </c>
      <c r="E26" s="86" t="s">
        <v>74</v>
      </c>
    </row>
    <row r="27" spans="1:23" ht="24" x14ac:dyDescent="0.2">
      <c r="A27" s="84" t="s">
        <v>66</v>
      </c>
      <c r="B27" s="85" t="s">
        <v>183</v>
      </c>
      <c r="C27" s="85" t="s">
        <v>208</v>
      </c>
      <c r="D27" s="85" t="s">
        <v>137</v>
      </c>
      <c r="E27" s="85" t="s">
        <v>209</v>
      </c>
      <c r="H27" s="23"/>
    </row>
    <row r="28" spans="1:23" ht="24" x14ac:dyDescent="0.2">
      <c r="A28" s="84"/>
      <c r="B28" s="85" t="s">
        <v>151</v>
      </c>
      <c r="C28" s="85">
        <f>N36</f>
        <v>20</v>
      </c>
      <c r="D28" s="85"/>
      <c r="E28" s="85">
        <f>N45</f>
        <v>33</v>
      </c>
      <c r="H28" s="23"/>
    </row>
    <row r="29" spans="1:23" ht="16" thickBot="1" x14ac:dyDescent="0.25">
      <c r="A29" s="59" t="s">
        <v>183</v>
      </c>
    </row>
    <row r="30" spans="1:23" ht="16" x14ac:dyDescent="0.2">
      <c r="A30" s="166" t="s">
        <v>208</v>
      </c>
      <c r="B30" s="11" t="s">
        <v>0</v>
      </c>
      <c r="C30" s="11" t="s">
        <v>1</v>
      </c>
      <c r="D30" s="11" t="s">
        <v>2</v>
      </c>
      <c r="E30" s="95" t="s">
        <v>3</v>
      </c>
      <c r="F30" s="96" t="s">
        <v>4</v>
      </c>
      <c r="G30" s="96" t="s">
        <v>5</v>
      </c>
      <c r="H30" s="96" t="s">
        <v>6</v>
      </c>
      <c r="I30" s="96" t="s">
        <v>7</v>
      </c>
      <c r="J30" s="96" t="s">
        <v>8</v>
      </c>
      <c r="K30" s="96" t="s">
        <v>9</v>
      </c>
      <c r="L30" s="96" t="s">
        <v>10</v>
      </c>
      <c r="M30" s="97" t="s">
        <v>11</v>
      </c>
      <c r="N30" s="11" t="s">
        <v>12</v>
      </c>
      <c r="O30" s="10" t="s">
        <v>13</v>
      </c>
      <c r="P30" s="11" t="s">
        <v>14</v>
      </c>
      <c r="Q30" s="11" t="s">
        <v>15</v>
      </c>
      <c r="R30" s="11" t="s">
        <v>16</v>
      </c>
      <c r="S30" s="10" t="s">
        <v>17</v>
      </c>
      <c r="T30" s="10" t="s">
        <v>18</v>
      </c>
      <c r="U30" s="10" t="s">
        <v>19</v>
      </c>
      <c r="V30" s="10" t="s">
        <v>20</v>
      </c>
      <c r="W30" s="10" t="s">
        <v>21</v>
      </c>
    </row>
    <row r="31" spans="1:23" x14ac:dyDescent="0.2">
      <c r="A31" s="13" t="s">
        <v>186</v>
      </c>
      <c r="B31" s="90">
        <f>LITI_Q1_HALF1[[#This Row],[2PT FGM]]+LITI_Q1_HALF1[[#This Row],[3PT FGM]]</f>
        <v>1</v>
      </c>
      <c r="C31" s="90">
        <f>LITI_Q1_HALF1[[#This Row],[2PT FGA]]+LITI_Q1_HALF1[[#This Row],[3PT FGA]]</f>
        <v>10</v>
      </c>
      <c r="D31" s="91">
        <f>LITI_Q1_HALF1[[#This Row],[Total FGM]]/LITI_Q1_HALF1[[#This Row],[Total FGA]]</f>
        <v>0.1</v>
      </c>
      <c r="E31" s="142">
        <f>'1_BMBs_NS'!E6</f>
        <v>1</v>
      </c>
      <c r="F31" s="19">
        <f>'1_BMBs_NS'!F6</f>
        <v>3</v>
      </c>
      <c r="G31" s="91">
        <f>LITI_Q1_HALF1[[#This Row],[2PT FGM]]/LITI_Q1_HALF1[[#This Row],[2PT FGA]]</f>
        <v>0.33333333333333331</v>
      </c>
      <c r="H31" s="19">
        <f>'1_BMBs_NS'!H6</f>
        <v>0</v>
      </c>
      <c r="I31" s="19">
        <f>'1_BMBs_NS'!I6</f>
        <v>7</v>
      </c>
      <c r="J31" s="91">
        <f>LITI_Q1_HALF1[[#This Row],[3PT FGM]]/LITI_Q1_HALF1[[#This Row],[3PT FGA]]</f>
        <v>0</v>
      </c>
      <c r="K31" s="19">
        <f>'1_BMBs_NS'!K6</f>
        <v>0</v>
      </c>
      <c r="L31" s="19">
        <f>'1_BMBs_NS'!L6</f>
        <v>0</v>
      </c>
      <c r="M31" s="99" t="e">
        <f>LITI_Q1_HALF1[[#This Row],[FTM]]/LITI_Q1_HALF1[[#This Row],[FTA]]</f>
        <v>#DIV/0!</v>
      </c>
      <c r="N31" s="19">
        <f>SUM(LITI_Q1_HALF1[[#This Row],[2PT FGM]]*2,LITI_Q1_HALF1[[#This Row],[3PT FGM]]*3,LITI_Q1_HALF1[[#This Row],[FTM]])</f>
        <v>2</v>
      </c>
      <c r="O31" s="19">
        <f>'1_BMBs_NS'!O6</f>
        <v>0</v>
      </c>
      <c r="P31" s="19">
        <f>'1_BMBs_NS'!P6</f>
        <v>2</v>
      </c>
      <c r="Q31" s="19">
        <f>'1_BMBs_NS'!Q6</f>
        <v>2</v>
      </c>
      <c r="R31" s="19">
        <f>LITI_Q1_HALF1[[#This Row],[Off. Boards]]+LITI_Q1_HALF1[[#This Row],[Def. Boards]]</f>
        <v>4</v>
      </c>
      <c r="S31" s="19">
        <f>'1_BMBs_NS'!S6</f>
        <v>2</v>
      </c>
      <c r="T31" s="19">
        <f>'1_BMBs_NS'!T6</f>
        <v>2</v>
      </c>
      <c r="U31" s="19">
        <f>'1_BMBs_NS'!U6</f>
        <v>0</v>
      </c>
      <c r="V31" s="19">
        <f>'1_BMBs_NS'!V6</f>
        <v>1</v>
      </c>
      <c r="W31" s="92">
        <f>LITI_Q1_HALF1[[#This Row],[Dimes]]/LITI_Q1_HALF1[[#This Row],[Turnovers]]</f>
        <v>2</v>
      </c>
    </row>
    <row r="32" spans="1:23" x14ac:dyDescent="0.2">
      <c r="A32" s="13" t="s">
        <v>230</v>
      </c>
      <c r="B32" s="90">
        <f>LITI_Q1_HALF1[[#This Row],[2PT FGM]]+LITI_Q1_HALF1[[#This Row],[3PT FGM]]</f>
        <v>3</v>
      </c>
      <c r="C32" s="90">
        <f>LITI_Q1_HALF1[[#This Row],[2PT FGA]]+LITI_Q1_HALF1[[#This Row],[3PT FGA]]</f>
        <v>6</v>
      </c>
      <c r="D32" s="91">
        <f>LITI_Q1_HALF1[[#This Row],[Total FGM]]/LITI_Q1_HALF1[[#This Row],[Total FGA]]</f>
        <v>0.5</v>
      </c>
      <c r="E32" s="142">
        <f>'1_BMBs_NS'!E7</f>
        <v>2</v>
      </c>
      <c r="F32" s="19">
        <f>'1_BMBs_NS'!F7</f>
        <v>5</v>
      </c>
      <c r="G32" s="91">
        <f>LITI_Q1_HALF1[[#This Row],[2PT FGM]]/LITI_Q1_HALF1[[#This Row],[2PT FGA]]</f>
        <v>0.4</v>
      </c>
      <c r="H32" s="19">
        <f>'1_BMBs_NS'!H7</f>
        <v>1</v>
      </c>
      <c r="I32" s="19">
        <f>'1_BMBs_NS'!I7</f>
        <v>1</v>
      </c>
      <c r="J32" s="91">
        <f>LITI_Q1_HALF1[[#This Row],[3PT FGM]]/LITI_Q1_HALF1[[#This Row],[3PT FGA]]</f>
        <v>1</v>
      </c>
      <c r="K32" s="19">
        <f>'1_BMBs_NS'!K7</f>
        <v>0</v>
      </c>
      <c r="L32" s="19">
        <f>'1_BMBs_NS'!L7</f>
        <v>0</v>
      </c>
      <c r="M32" s="99" t="e">
        <f>LITI_Q1_HALF1[[#This Row],[FTM]]/LITI_Q1_HALF1[[#This Row],[FTA]]</f>
        <v>#DIV/0!</v>
      </c>
      <c r="N32" s="19">
        <f>SUM(LITI_Q1_HALF1[[#This Row],[2PT FGM]]*2,LITI_Q1_HALF1[[#This Row],[3PT FGM]]*3,LITI_Q1_HALF1[[#This Row],[FTM]])</f>
        <v>7</v>
      </c>
      <c r="O32" s="19">
        <f>'1_BMBs_NS'!O7</f>
        <v>1</v>
      </c>
      <c r="P32" s="19">
        <f>'1_BMBs_NS'!P7</f>
        <v>1</v>
      </c>
      <c r="Q32" s="19">
        <f>'1_BMBs_NS'!Q7</f>
        <v>1</v>
      </c>
      <c r="R32" s="19">
        <f>LITI_Q1_HALF1[[#This Row],[Off. Boards]]+LITI_Q1_HALF1[[#This Row],[Def. Boards]]</f>
        <v>2</v>
      </c>
      <c r="S32" s="19">
        <f>'1_BMBs_NS'!S7</f>
        <v>1</v>
      </c>
      <c r="T32" s="19">
        <f>'1_BMBs_NS'!T7</f>
        <v>0</v>
      </c>
      <c r="U32" s="19">
        <f>'1_BMBs_NS'!U7</f>
        <v>0</v>
      </c>
      <c r="V32" s="19">
        <f>'1_BMBs_NS'!V7</f>
        <v>2</v>
      </c>
      <c r="W32" s="92">
        <f>LITI_Q1_HALF1[[#This Row],[Dimes]]/LITI_Q1_HALF1[[#This Row],[Turnovers]]</f>
        <v>0.5</v>
      </c>
    </row>
    <row r="33" spans="1:23" x14ac:dyDescent="0.2">
      <c r="A33" s="13" t="s">
        <v>200</v>
      </c>
      <c r="B33" s="90">
        <f>LITI_Q1_HALF1[[#This Row],[2PT FGM]]+LITI_Q1_HALF1[[#This Row],[3PT FGM]]</f>
        <v>1</v>
      </c>
      <c r="C33" s="90">
        <f>LITI_Q1_HALF1[[#This Row],[2PT FGA]]+LITI_Q1_HALF1[[#This Row],[3PT FGA]]</f>
        <v>8</v>
      </c>
      <c r="D33" s="91">
        <f>LITI_Q1_HALF1[[#This Row],[Total FGM]]/LITI_Q1_HALF1[[#This Row],[Total FGA]]</f>
        <v>0.125</v>
      </c>
      <c r="E33" s="142">
        <f>'1_BMBs_NS'!E8</f>
        <v>1</v>
      </c>
      <c r="F33" s="19">
        <f>'1_BMBs_NS'!F8</f>
        <v>4</v>
      </c>
      <c r="G33" s="91">
        <f>LITI_Q1_HALF1[[#This Row],[2PT FGM]]/LITI_Q1_HALF1[[#This Row],[2PT FGA]]</f>
        <v>0.25</v>
      </c>
      <c r="H33" s="19">
        <f>'1_BMBs_NS'!H8</f>
        <v>0</v>
      </c>
      <c r="I33" s="19">
        <f>'1_BMBs_NS'!I8</f>
        <v>4</v>
      </c>
      <c r="J33" s="91">
        <f>LITI_Q1_HALF1[[#This Row],[3PT FGM]]/LITI_Q1_HALF1[[#This Row],[3PT FGA]]</f>
        <v>0</v>
      </c>
      <c r="K33" s="19">
        <f>'1_BMBs_NS'!K8</f>
        <v>0</v>
      </c>
      <c r="L33" s="19">
        <f>'1_BMBs_NS'!L8</f>
        <v>0</v>
      </c>
      <c r="M33" s="99" t="e">
        <f>LITI_Q1_HALF1[[#This Row],[FTM]]/LITI_Q1_HALF1[[#This Row],[FTA]]</f>
        <v>#DIV/0!</v>
      </c>
      <c r="N33" s="19">
        <f>SUM(LITI_Q1_HALF1[[#This Row],[2PT FGM]]*2,LITI_Q1_HALF1[[#This Row],[3PT FGM]]*3,LITI_Q1_HALF1[[#This Row],[FTM]])</f>
        <v>2</v>
      </c>
      <c r="O33" s="19">
        <f>'1_BMBs_NS'!O8</f>
        <v>0</v>
      </c>
      <c r="P33" s="19">
        <f>'1_BMBs_NS'!P8</f>
        <v>3</v>
      </c>
      <c r="Q33" s="19">
        <f>'1_BMBs_NS'!Q8</f>
        <v>3</v>
      </c>
      <c r="R33" s="19">
        <f>LITI_Q1_HALF1[[#This Row],[Off. Boards]]+LITI_Q1_HALF1[[#This Row],[Def. Boards]]</f>
        <v>6</v>
      </c>
      <c r="S33" s="19">
        <f>'1_BMBs_NS'!S8</f>
        <v>3</v>
      </c>
      <c r="T33" s="19">
        <f>'1_BMBs_NS'!T8</f>
        <v>3</v>
      </c>
      <c r="U33" s="19">
        <f>'1_BMBs_NS'!U8</f>
        <v>0</v>
      </c>
      <c r="V33" s="19">
        <f>'1_BMBs_NS'!V8</f>
        <v>3</v>
      </c>
      <c r="W33" s="92">
        <f>LITI_Q1_HALF1[[#This Row],[Dimes]]/LITI_Q1_HALF1[[#This Row],[Turnovers]]</f>
        <v>1</v>
      </c>
    </row>
    <row r="34" spans="1:23" x14ac:dyDescent="0.2">
      <c r="A34" s="13" t="s">
        <v>231</v>
      </c>
      <c r="B34" s="90">
        <f>LITI_Q1_HALF1[[#This Row],[2PT FGM]]+LITI_Q1_HALF1[[#This Row],[3PT FGM]]</f>
        <v>1</v>
      </c>
      <c r="C34" s="90">
        <f>LITI_Q1_HALF1[[#This Row],[2PT FGA]]+LITI_Q1_HALF1[[#This Row],[3PT FGA]]</f>
        <v>5</v>
      </c>
      <c r="D34" s="91">
        <f>LITI_Q1_HALF1[[#This Row],[Total FGM]]/LITI_Q1_HALF1[[#This Row],[Total FGA]]</f>
        <v>0.2</v>
      </c>
      <c r="E34" s="142">
        <f>'1_BMBs_NS'!E9</f>
        <v>1</v>
      </c>
      <c r="F34" s="19">
        <f>'1_BMBs_NS'!F9</f>
        <v>4</v>
      </c>
      <c r="G34" s="91">
        <f>LITI_Q1_HALF1[[#This Row],[2PT FGM]]/LITI_Q1_HALF1[[#This Row],[2PT FGA]]</f>
        <v>0.25</v>
      </c>
      <c r="H34" s="19">
        <f>'1_BMBs_NS'!H9</f>
        <v>0</v>
      </c>
      <c r="I34" s="19">
        <f>'1_BMBs_NS'!I9</f>
        <v>1</v>
      </c>
      <c r="J34" s="91">
        <f>LITI_Q1_HALF1[[#This Row],[3PT FGM]]/LITI_Q1_HALF1[[#This Row],[3PT FGA]]</f>
        <v>0</v>
      </c>
      <c r="K34" s="19">
        <f>'1_BMBs_NS'!K9</f>
        <v>0</v>
      </c>
      <c r="L34" s="19">
        <f>'1_BMBs_NS'!L9</f>
        <v>0</v>
      </c>
      <c r="M34" s="99" t="e">
        <f>LITI_Q1_HALF1[[#This Row],[FTM]]/LITI_Q1_HALF1[[#This Row],[FTA]]</f>
        <v>#DIV/0!</v>
      </c>
      <c r="N34" s="19">
        <f>SUM(LITI_Q1_HALF1[[#This Row],[2PT FGM]]*2,LITI_Q1_HALF1[[#This Row],[3PT FGM]]*3,LITI_Q1_HALF1[[#This Row],[FTM]])</f>
        <v>2</v>
      </c>
      <c r="O34" s="19">
        <f>'1_BMBs_NS'!O9</f>
        <v>0</v>
      </c>
      <c r="P34" s="19">
        <f>'1_BMBs_NS'!P9</f>
        <v>5</v>
      </c>
      <c r="Q34" s="19">
        <f>'1_BMBs_NS'!Q9</f>
        <v>1</v>
      </c>
      <c r="R34" s="19">
        <f>LITI_Q1_HALF1[[#This Row],[Off. Boards]]+LITI_Q1_HALF1[[#This Row],[Def. Boards]]</f>
        <v>6</v>
      </c>
      <c r="S34" s="19">
        <f>'1_BMBs_NS'!S9</f>
        <v>0</v>
      </c>
      <c r="T34" s="19">
        <f>'1_BMBs_NS'!T9</f>
        <v>0</v>
      </c>
      <c r="U34" s="19">
        <f>'1_BMBs_NS'!U9</f>
        <v>0</v>
      </c>
      <c r="V34" s="19">
        <f>'1_BMBs_NS'!V9</f>
        <v>1</v>
      </c>
      <c r="W34" s="92">
        <f>LITI_Q1_HALF1[[#This Row],[Dimes]]/LITI_Q1_HALF1[[#This Row],[Turnovers]]</f>
        <v>0</v>
      </c>
    </row>
    <row r="35" spans="1:23" x14ac:dyDescent="0.2">
      <c r="A35" s="13" t="s">
        <v>187</v>
      </c>
      <c r="B35" s="90">
        <f>LITI_Q1_HALF1[[#This Row],[2PT FGM]]+LITI_Q1_HALF1[[#This Row],[3PT FGM]]</f>
        <v>3</v>
      </c>
      <c r="C35" s="90">
        <f>LITI_Q1_HALF1[[#This Row],[2PT FGA]]+LITI_Q1_HALF1[[#This Row],[3PT FGA]]</f>
        <v>8</v>
      </c>
      <c r="D35" s="91">
        <f>LITI_Q1_HALF1[[#This Row],[Total FGM]]/LITI_Q1_HALF1[[#This Row],[Total FGA]]</f>
        <v>0.375</v>
      </c>
      <c r="E35" s="142">
        <f>'1_BMBs_NS'!E10</f>
        <v>2</v>
      </c>
      <c r="F35" s="19">
        <f>'1_BMBs_NS'!F10</f>
        <v>4</v>
      </c>
      <c r="G35" s="91">
        <f>LITI_Q1_HALF1[[#This Row],[2PT FGM]]/LITI_Q1_HALF1[[#This Row],[2PT FGA]]</f>
        <v>0.5</v>
      </c>
      <c r="H35" s="19">
        <f>'1_BMBs_NS'!H10</f>
        <v>1</v>
      </c>
      <c r="I35" s="19">
        <f>'1_BMBs_NS'!I10</f>
        <v>4</v>
      </c>
      <c r="J35" s="91">
        <f>LITI_Q1_HALF1[[#This Row],[3PT FGM]]/LITI_Q1_HALF1[[#This Row],[3PT FGA]]</f>
        <v>0.25</v>
      </c>
      <c r="K35" s="19">
        <f>'1_BMBs_NS'!K10</f>
        <v>0</v>
      </c>
      <c r="L35" s="19">
        <f>'1_BMBs_NS'!L10</f>
        <v>0</v>
      </c>
      <c r="M35" s="99" t="e">
        <f>LITI_Q1_HALF1[[#This Row],[FTM]]/LITI_Q1_HALF1[[#This Row],[FTA]]</f>
        <v>#DIV/0!</v>
      </c>
      <c r="N35" s="19">
        <f>SUM(LITI_Q1_HALF1[[#This Row],[2PT FGM]]*2,LITI_Q1_HALF1[[#This Row],[3PT FGM]]*3,LITI_Q1_HALF1[[#This Row],[FTM]])</f>
        <v>7</v>
      </c>
      <c r="O35" s="19">
        <f>'1_BMBs_NS'!O10</f>
        <v>0</v>
      </c>
      <c r="P35" s="19">
        <f>'1_BMBs_NS'!P10</f>
        <v>1</v>
      </c>
      <c r="Q35" s="19">
        <f>'1_BMBs_NS'!Q10</f>
        <v>0</v>
      </c>
      <c r="R35" s="19">
        <f>LITI_Q1_HALF1[[#This Row],[Off. Boards]]+LITI_Q1_HALF1[[#This Row],[Def. Boards]]</f>
        <v>1</v>
      </c>
      <c r="S35" s="19">
        <f>'1_BMBs_NS'!S10</f>
        <v>1</v>
      </c>
      <c r="T35" s="19">
        <f>'1_BMBs_NS'!T10</f>
        <v>1</v>
      </c>
      <c r="U35" s="19">
        <f>'1_BMBs_NS'!U10</f>
        <v>0</v>
      </c>
      <c r="V35" s="19">
        <f>'1_BMBs_NS'!V10</f>
        <v>0</v>
      </c>
      <c r="W35" s="92" t="e">
        <f>LITI_Q1_HALF1[[#This Row],[Dimes]]/LITI_Q1_HALF1[[#This Row],[Turnovers]]</f>
        <v>#DIV/0!</v>
      </c>
    </row>
    <row r="36" spans="1:23" ht="16" thickBot="1" x14ac:dyDescent="0.25">
      <c r="A36" s="82" t="s">
        <v>76</v>
      </c>
      <c r="B36" s="100">
        <f>SUM(B31:B35)</f>
        <v>9</v>
      </c>
      <c r="C36" s="100">
        <f>SUM(C31:C35)</f>
        <v>37</v>
      </c>
      <c r="D36" s="101">
        <f>LITI_Q1_HALF1[[#This Row],[Total FGM]]/LITI_Q1_HALF1[[#This Row],[Total FGA]]</f>
        <v>0.24324324324324326</v>
      </c>
      <c r="E36" s="102">
        <f>SUM(E31:E35)</f>
        <v>7</v>
      </c>
      <c r="F36" s="103">
        <f>SUM(F31:F35)</f>
        <v>20</v>
      </c>
      <c r="G36" s="108">
        <f>LITI_Q1_HALF1[[#This Row],[2PT FGM]]/LITI_Q1_HALF1[[#This Row],[2PT FGA]]</f>
        <v>0.35</v>
      </c>
      <c r="H36" s="103">
        <f>SUM(H31:H35)</f>
        <v>2</v>
      </c>
      <c r="I36" s="103">
        <f>SUM(I31:I35)</f>
        <v>17</v>
      </c>
      <c r="J36" s="104">
        <f>LITI_Q1_HALF1[[#This Row],[3PT FGM]]/LITI_Q1_HALF1[[#This Row],[3PT FGA]]</f>
        <v>0.11764705882352941</v>
      </c>
      <c r="K36" s="103">
        <f>SUM(K31:K35)</f>
        <v>0</v>
      </c>
      <c r="L36" s="103">
        <f>SUM(L31:L35)</f>
        <v>0</v>
      </c>
      <c r="M36" s="105" t="e">
        <f>LITI_Q1_HALF1[[#This Row],[FTM]]/LITI_Q1_HALF1[[#This Row],[FTA]]</f>
        <v>#DIV/0!</v>
      </c>
      <c r="N36" s="62">
        <f>SUM(LITI_Q1_HALF1[[#This Row],[2PT FGM]]*2,LITI_Q1_HALF1[[#This Row],[3PT FGM]]*3,LITI_Q1_HALF1[[#This Row],[FTM]])</f>
        <v>20</v>
      </c>
      <c r="O36" s="106">
        <f>SUM(O31:O35)</f>
        <v>1</v>
      </c>
      <c r="P36" s="106">
        <f t="shared" ref="P36:V36" si="17">SUM(P31:P35)</f>
        <v>12</v>
      </c>
      <c r="Q36" s="106">
        <f t="shared" si="17"/>
        <v>7</v>
      </c>
      <c r="R36" s="106">
        <f t="shared" si="17"/>
        <v>19</v>
      </c>
      <c r="S36" s="106">
        <f t="shared" si="17"/>
        <v>7</v>
      </c>
      <c r="T36" s="106">
        <f t="shared" si="17"/>
        <v>6</v>
      </c>
      <c r="U36" s="106">
        <f t="shared" si="17"/>
        <v>0</v>
      </c>
      <c r="V36" s="106">
        <f t="shared" si="17"/>
        <v>7</v>
      </c>
      <c r="W36" s="107">
        <f>LITI_Q1_HALF1[[#This Row],[Dimes]]/LITI_Q1_HALF1[[#This Row],[Turnovers]]</f>
        <v>1</v>
      </c>
    </row>
    <row r="38" spans="1:23" ht="16" thickBot="1" x14ac:dyDescent="0.25">
      <c r="A38" s="94" t="s">
        <v>183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1:23" ht="16" x14ac:dyDescent="0.2">
      <c r="A39" s="166" t="s">
        <v>209</v>
      </c>
      <c r="B39" s="11" t="s">
        <v>0</v>
      </c>
      <c r="C39" s="11" t="s">
        <v>1</v>
      </c>
      <c r="D39" s="11" t="s">
        <v>2</v>
      </c>
      <c r="E39" s="95" t="s">
        <v>3</v>
      </c>
      <c r="F39" s="96" t="s">
        <v>4</v>
      </c>
      <c r="G39" s="96" t="s">
        <v>5</v>
      </c>
      <c r="H39" s="96" t="s">
        <v>6</v>
      </c>
      <c r="I39" s="96" t="s">
        <v>7</v>
      </c>
      <c r="J39" s="96" t="s">
        <v>8</v>
      </c>
      <c r="K39" s="96" t="s">
        <v>9</v>
      </c>
      <c r="L39" s="96" t="s">
        <v>10</v>
      </c>
      <c r="M39" s="97" t="s">
        <v>11</v>
      </c>
      <c r="N39" s="11" t="s">
        <v>12</v>
      </c>
      <c r="O39" s="10" t="s">
        <v>13</v>
      </c>
      <c r="P39" s="11" t="s">
        <v>14</v>
      </c>
      <c r="Q39" s="11" t="s">
        <v>15</v>
      </c>
      <c r="R39" s="11" t="s">
        <v>16</v>
      </c>
      <c r="S39" s="10" t="s">
        <v>17</v>
      </c>
      <c r="T39" s="10" t="s">
        <v>18</v>
      </c>
      <c r="U39" s="10" t="s">
        <v>19</v>
      </c>
      <c r="V39" s="10" t="s">
        <v>20</v>
      </c>
      <c r="W39" s="10" t="s">
        <v>21</v>
      </c>
    </row>
    <row r="40" spans="1:23" x14ac:dyDescent="0.2">
      <c r="A40" t="s">
        <v>232</v>
      </c>
      <c r="B40" s="90">
        <f>GN_Q1_HALF1[[#This Row],[2PT FGM]]+GN_Q1_HALF1[[#This Row],[3PT FGM]]</f>
        <v>5</v>
      </c>
      <c r="C40" s="90">
        <f>GN_Q1_HALF1[[#This Row],[2PT FGA]]+GN_Q1_HALF1[[#This Row],[3PT FGA]]</f>
        <v>7</v>
      </c>
      <c r="D40" s="91">
        <f>GN_Q1_HALF1[[#This Row],[Total FGM]]/GN_Q1_HALF1[[#This Row],[Total FGA]]</f>
        <v>0.7142857142857143</v>
      </c>
      <c r="E40" s="98">
        <f>'1_BMBs_NS'!E15</f>
        <v>2</v>
      </c>
      <c r="F40" s="19">
        <f>'1_BMBs_NS'!F15</f>
        <v>2</v>
      </c>
      <c r="G40" s="91">
        <f>GN_Q1_HALF1[[#This Row],[2PT FGM]]/GN_Q1_HALF1[[#This Row],[2PT FGA]]</f>
        <v>1</v>
      </c>
      <c r="H40" s="19">
        <f>'1_BMBs_NS'!H15</f>
        <v>3</v>
      </c>
      <c r="I40" s="19">
        <f>'1_BMBs_NS'!I15</f>
        <v>5</v>
      </c>
      <c r="J40" s="91">
        <f>GN_Q1_HALF1[[#This Row],[3PT FGM]]/GN_Q1_HALF1[[#This Row],[3PT FGA]]</f>
        <v>0.6</v>
      </c>
      <c r="K40" s="19">
        <f>'1_BMBs_NS'!K15</f>
        <v>0</v>
      </c>
      <c r="L40" s="19">
        <f>'1_BMBs_NS'!L15</f>
        <v>0</v>
      </c>
      <c r="M40" s="99" t="e">
        <f>GN_Q1_HALF1[[#This Row],[FTM]]/GN_Q1_HALF1[[#This Row],[FTA]]</f>
        <v>#DIV/0!</v>
      </c>
      <c r="N40" s="19">
        <f>SUM(GN_Q1_HALF1[[#This Row],[2PT FGM]]*2,GN_Q1_HALF1[[#This Row],[3PT FGM]]*3,GN_Q1_HALF1[[#This Row],[FTM]])</f>
        <v>13</v>
      </c>
      <c r="O40" s="19">
        <f>'1_BMBs_NS'!O15</f>
        <v>1</v>
      </c>
      <c r="P40" s="19">
        <f>'1_BMBs_NS'!P15</f>
        <v>9</v>
      </c>
      <c r="Q40" s="19">
        <f>'1_BMBs_NS'!Q15</f>
        <v>1</v>
      </c>
      <c r="R40" s="19">
        <f>GN_Q1_HALF1[[#This Row],[Off. Boards]]+GN_Q1_HALF1[[#This Row],[Def. Boards]]</f>
        <v>10</v>
      </c>
      <c r="S40" s="19">
        <f>'1_BMBs_NS'!S15</f>
        <v>6</v>
      </c>
      <c r="T40" s="19">
        <f>'1_BMBs_NS'!T15</f>
        <v>2</v>
      </c>
      <c r="U40" s="19">
        <f>'1_BMBs_NS'!U15</f>
        <v>0</v>
      </c>
      <c r="V40" s="19">
        <f>'1_BMBs_NS'!V15</f>
        <v>2</v>
      </c>
      <c r="W40" s="92">
        <f>GN_Q1_HALF1[[#This Row],[Dimes]]/GN_Q1_HALF1[[#This Row],[Turnovers]]</f>
        <v>3</v>
      </c>
    </row>
    <row r="41" spans="1:23" x14ac:dyDescent="0.2">
      <c r="A41" t="s">
        <v>197</v>
      </c>
      <c r="B41" s="90">
        <f>GN_Q1_HALF1[[#This Row],[2PT FGM]]+GN_Q1_HALF1[[#This Row],[3PT FGM]]</f>
        <v>4</v>
      </c>
      <c r="C41" s="90">
        <f>GN_Q1_HALF1[[#This Row],[2PT FGA]]+GN_Q1_HALF1[[#This Row],[3PT FGA]]</f>
        <v>6</v>
      </c>
      <c r="D41" s="91">
        <f>GN_Q1_HALF1[[#This Row],[Total FGM]]/GN_Q1_HALF1[[#This Row],[Total FGA]]</f>
        <v>0.66666666666666663</v>
      </c>
      <c r="E41" s="98">
        <f>'1_BMBs_NS'!E16</f>
        <v>4</v>
      </c>
      <c r="F41" s="19">
        <f>'1_BMBs_NS'!F16</f>
        <v>6</v>
      </c>
      <c r="G41" s="91">
        <f>GN_Q1_HALF1[[#This Row],[2PT FGM]]/GN_Q1_HALF1[[#This Row],[2PT FGA]]</f>
        <v>0.66666666666666663</v>
      </c>
      <c r="H41" s="19">
        <f>'1_BMBs_NS'!H16</f>
        <v>0</v>
      </c>
      <c r="I41" s="19">
        <f>'1_BMBs_NS'!I16</f>
        <v>0</v>
      </c>
      <c r="J41" s="91" t="e">
        <f>GN_Q1_HALF1[[#This Row],[3PT FGM]]/GN_Q1_HALF1[[#This Row],[3PT FGA]]</f>
        <v>#DIV/0!</v>
      </c>
      <c r="K41" s="19">
        <f>'1_BMBs_NS'!K16</f>
        <v>0</v>
      </c>
      <c r="L41" s="19">
        <f>'1_BMBs_NS'!L16</f>
        <v>0</v>
      </c>
      <c r="M41" s="99" t="e">
        <f>GN_Q1_HALF1[[#This Row],[FTM]]/GN_Q1_HALF1[[#This Row],[FTA]]</f>
        <v>#DIV/0!</v>
      </c>
      <c r="N41" s="19">
        <f>SUM(GN_Q1_HALF1[[#This Row],[2PT FGM]]*2,GN_Q1_HALF1[[#This Row],[3PT FGM]]*3,GN_Q1_HALF1[[#This Row],[FTM]])</f>
        <v>8</v>
      </c>
      <c r="O41" s="19">
        <f>'1_BMBs_NS'!O16</f>
        <v>4</v>
      </c>
      <c r="P41" s="19">
        <f>'1_BMBs_NS'!P16</f>
        <v>3</v>
      </c>
      <c r="Q41" s="19">
        <f>'1_BMBs_NS'!Q16</f>
        <v>1</v>
      </c>
      <c r="R41" s="19">
        <f>GN_Q1_HALF1[[#This Row],[Off. Boards]]+GN_Q1_HALF1[[#This Row],[Def. Boards]]</f>
        <v>4</v>
      </c>
      <c r="S41" s="19">
        <f>'1_BMBs_NS'!S16</f>
        <v>0</v>
      </c>
      <c r="T41" s="19">
        <f>'1_BMBs_NS'!T16</f>
        <v>0</v>
      </c>
      <c r="U41" s="19">
        <f>'1_BMBs_NS'!U16</f>
        <v>2</v>
      </c>
      <c r="V41" s="19">
        <f>'1_BMBs_NS'!V16</f>
        <v>2</v>
      </c>
      <c r="W41" s="92">
        <f>GN_Q1_HALF1[[#This Row],[Dimes]]/GN_Q1_HALF1[[#This Row],[Turnovers]]</f>
        <v>0</v>
      </c>
    </row>
    <row r="42" spans="1:23" x14ac:dyDescent="0.2">
      <c r="A42" t="s">
        <v>199</v>
      </c>
      <c r="B42" s="90">
        <f>GN_Q1_HALF1[[#This Row],[2PT FGM]]+GN_Q1_HALF1[[#This Row],[3PT FGM]]</f>
        <v>1</v>
      </c>
      <c r="C42" s="90">
        <f>GN_Q1_HALF1[[#This Row],[2PT FGA]]+GN_Q1_HALF1[[#This Row],[3PT FGA]]</f>
        <v>7</v>
      </c>
      <c r="D42" s="91">
        <f>GN_Q1_HALF1[[#This Row],[Total FGM]]/GN_Q1_HALF1[[#This Row],[Total FGA]]</f>
        <v>0.14285714285714285</v>
      </c>
      <c r="E42" s="98">
        <f>'1_BMBs_NS'!E17</f>
        <v>1</v>
      </c>
      <c r="F42" s="19">
        <f>'1_BMBs_NS'!F17</f>
        <v>2</v>
      </c>
      <c r="G42" s="91">
        <f>GN_Q1_HALF1[[#This Row],[2PT FGM]]/GN_Q1_HALF1[[#This Row],[2PT FGA]]</f>
        <v>0.5</v>
      </c>
      <c r="H42" s="19">
        <f>'1_BMBs_NS'!H17</f>
        <v>0</v>
      </c>
      <c r="I42" s="19">
        <f>'1_BMBs_NS'!I17</f>
        <v>5</v>
      </c>
      <c r="J42" s="91">
        <f>GN_Q1_HALF1[[#This Row],[3PT FGM]]/GN_Q1_HALF1[[#This Row],[3PT FGA]]</f>
        <v>0</v>
      </c>
      <c r="K42" s="19">
        <f>'1_BMBs_NS'!K17</f>
        <v>0</v>
      </c>
      <c r="L42" s="19">
        <f>'1_BMBs_NS'!L17</f>
        <v>0</v>
      </c>
      <c r="M42" s="99" t="e">
        <f>GN_Q1_HALF1[[#This Row],[FTM]]/GN_Q1_HALF1[[#This Row],[FTA]]</f>
        <v>#DIV/0!</v>
      </c>
      <c r="N42" s="19">
        <f>SUM(GN_Q1_HALF1[[#This Row],[2PT FGM]]*2,GN_Q1_HALF1[[#This Row],[3PT FGM]]*3,GN_Q1_HALF1[[#This Row],[FTM]])</f>
        <v>2</v>
      </c>
      <c r="O42" s="19">
        <f>'1_BMBs_NS'!O17</f>
        <v>1</v>
      </c>
      <c r="P42" s="19">
        <f>'1_BMBs_NS'!P17</f>
        <v>2</v>
      </c>
      <c r="Q42" s="19">
        <f>'1_BMBs_NS'!Q17</f>
        <v>0</v>
      </c>
      <c r="R42" s="19">
        <f>GN_Q1_HALF1[[#This Row],[Off. Boards]]+GN_Q1_HALF1[[#This Row],[Def. Boards]]</f>
        <v>2</v>
      </c>
      <c r="S42" s="19">
        <f>'1_BMBs_NS'!S17</f>
        <v>2</v>
      </c>
      <c r="T42" s="19">
        <f>'1_BMBs_NS'!T17</f>
        <v>3</v>
      </c>
      <c r="U42" s="19">
        <f>'1_BMBs_NS'!U17</f>
        <v>0</v>
      </c>
      <c r="V42" s="19">
        <f>'1_BMBs_NS'!V17</f>
        <v>0</v>
      </c>
      <c r="W42" s="92" t="e">
        <f>GN_Q1_HALF1[[#This Row],[Dimes]]/GN_Q1_HALF1[[#This Row],[Turnovers]]</f>
        <v>#DIV/0!</v>
      </c>
    </row>
    <row r="43" spans="1:23" x14ac:dyDescent="0.2">
      <c r="A43" t="s">
        <v>188</v>
      </c>
      <c r="B43" s="90">
        <f>GN_Q1_HALF1[[#This Row],[2PT FGM]]+GN_Q1_HALF1[[#This Row],[3PT FGM]]</f>
        <v>1</v>
      </c>
      <c r="C43" s="90">
        <f>GN_Q1_HALF1[[#This Row],[2PT FGA]]+GN_Q1_HALF1[[#This Row],[3PT FGA]]</f>
        <v>5</v>
      </c>
      <c r="D43" s="91">
        <f>GN_Q1_HALF1[[#This Row],[Total FGM]]/GN_Q1_HALF1[[#This Row],[Total FGA]]</f>
        <v>0.2</v>
      </c>
      <c r="E43" s="98">
        <f>'1_BMBs_NS'!E18</f>
        <v>1</v>
      </c>
      <c r="F43" s="19">
        <f>'1_BMBs_NS'!F18</f>
        <v>3</v>
      </c>
      <c r="G43" s="91">
        <f>GN_Q1_HALF1[[#This Row],[2PT FGM]]/GN_Q1_HALF1[[#This Row],[2PT FGA]]</f>
        <v>0.33333333333333331</v>
      </c>
      <c r="H43" s="19">
        <f>'1_BMBs_NS'!H18</f>
        <v>0</v>
      </c>
      <c r="I43" s="19">
        <f>'1_BMBs_NS'!I18</f>
        <v>2</v>
      </c>
      <c r="J43" s="91">
        <f>GN_Q1_HALF1[[#This Row],[3PT FGM]]/GN_Q1_HALF1[[#This Row],[3PT FGA]]</f>
        <v>0</v>
      </c>
      <c r="K43" s="19">
        <f>'1_BMBs_NS'!K18</f>
        <v>0</v>
      </c>
      <c r="L43" s="19">
        <f>'1_BMBs_NS'!L18</f>
        <v>0</v>
      </c>
      <c r="M43" s="99" t="e">
        <f>GN_Q1_HALF1[[#This Row],[FTM]]/GN_Q1_HALF1[[#This Row],[FTA]]</f>
        <v>#DIV/0!</v>
      </c>
      <c r="N43" s="19">
        <f>SUM(GN_Q1_HALF1[[#This Row],[2PT FGM]]*2,GN_Q1_HALF1[[#This Row],[3PT FGM]]*3,GN_Q1_HALF1[[#This Row],[FTM]])</f>
        <v>2</v>
      </c>
      <c r="O43" s="19">
        <f>'1_BMBs_NS'!O18</f>
        <v>0</v>
      </c>
      <c r="P43" s="19">
        <f>'1_BMBs_NS'!P18</f>
        <v>4</v>
      </c>
      <c r="Q43" s="19">
        <f>'1_BMBs_NS'!Q18</f>
        <v>0</v>
      </c>
      <c r="R43" s="19">
        <f>GN_Q1_HALF1[[#This Row],[Off. Boards]]+GN_Q1_HALF1[[#This Row],[Def. Boards]]</f>
        <v>4</v>
      </c>
      <c r="S43" s="19">
        <f>'1_BMBs_NS'!S18</f>
        <v>1</v>
      </c>
      <c r="T43" s="19">
        <f>'1_BMBs_NS'!T18</f>
        <v>0</v>
      </c>
      <c r="U43" s="19">
        <f>'1_BMBs_NS'!U18</f>
        <v>0</v>
      </c>
      <c r="V43" s="19">
        <f>'1_BMBs_NS'!V18</f>
        <v>3</v>
      </c>
      <c r="W43" s="92">
        <f>GN_Q1_HALF1[[#This Row],[Dimes]]/GN_Q1_HALF1[[#This Row],[Turnovers]]</f>
        <v>0.33333333333333331</v>
      </c>
    </row>
    <row r="44" spans="1:23" x14ac:dyDescent="0.2">
      <c r="A44" t="s">
        <v>198</v>
      </c>
      <c r="B44" s="90">
        <f>GN_Q1_HALF1[[#This Row],[2PT FGM]]+GN_Q1_HALF1[[#This Row],[3PT FGM]]</f>
        <v>3</v>
      </c>
      <c r="C44" s="90">
        <f>GN_Q1_HALF1[[#This Row],[2PT FGA]]+GN_Q1_HALF1[[#This Row],[3PT FGA]]</f>
        <v>6</v>
      </c>
      <c r="D44" s="91">
        <f>GN_Q1_HALF1[[#This Row],[Total FGM]]/GN_Q1_HALF1[[#This Row],[Total FGA]]</f>
        <v>0.5</v>
      </c>
      <c r="E44" s="98">
        <f>'1_BMBs_NS'!E19</f>
        <v>1</v>
      </c>
      <c r="F44" s="19">
        <f>'1_BMBs_NS'!F19</f>
        <v>3</v>
      </c>
      <c r="G44" s="91">
        <f>GN_Q1_HALF1[[#This Row],[2PT FGM]]/GN_Q1_HALF1[[#This Row],[2PT FGA]]</f>
        <v>0.33333333333333331</v>
      </c>
      <c r="H44" s="19">
        <f>'1_BMBs_NS'!H19</f>
        <v>2</v>
      </c>
      <c r="I44" s="19">
        <f>'1_BMBs_NS'!I19</f>
        <v>3</v>
      </c>
      <c r="J44" s="91">
        <f>GN_Q1_HALF1[[#This Row],[3PT FGM]]/GN_Q1_HALF1[[#This Row],[3PT FGA]]</f>
        <v>0.66666666666666663</v>
      </c>
      <c r="K44" s="19">
        <f>'1_BMBs_NS'!K19</f>
        <v>0</v>
      </c>
      <c r="L44" s="19">
        <f>'1_BMBs_NS'!L19</f>
        <v>0</v>
      </c>
      <c r="M44" s="99" t="e">
        <f>GN_Q1_HALF1[[#This Row],[FTM]]/GN_Q1_HALF1[[#This Row],[FTA]]</f>
        <v>#DIV/0!</v>
      </c>
      <c r="N44" s="19">
        <f>SUM(GN_Q1_HALF1[[#This Row],[2PT FGM]]*2,GN_Q1_HALF1[[#This Row],[3PT FGM]]*3,GN_Q1_HALF1[[#This Row],[FTM]])</f>
        <v>8</v>
      </c>
      <c r="O44" s="19">
        <f>'1_BMBs_NS'!O19</f>
        <v>0</v>
      </c>
      <c r="P44" s="19">
        <f>'1_BMBs_NS'!P19</f>
        <v>1</v>
      </c>
      <c r="Q44" s="19">
        <f>'1_BMBs_NS'!Q19</f>
        <v>1</v>
      </c>
      <c r="R44" s="19">
        <f>GN_Q1_HALF1[[#This Row],[Off. Boards]]+GN_Q1_HALF1[[#This Row],[Def. Boards]]</f>
        <v>2</v>
      </c>
      <c r="S44" s="19">
        <f>'1_BMBs_NS'!S19</f>
        <v>0</v>
      </c>
      <c r="T44" s="19">
        <f>'1_BMBs_NS'!T19</f>
        <v>0</v>
      </c>
      <c r="U44" s="19">
        <f>'1_BMBs_NS'!U19</f>
        <v>0</v>
      </c>
      <c r="V44" s="19">
        <f>'1_BMBs_NS'!V19</f>
        <v>2</v>
      </c>
      <c r="W44" s="92">
        <f>GN_Q1_HALF1[[#This Row],[Dimes]]/GN_Q1_HALF1[[#This Row],[Turnovers]]</f>
        <v>0</v>
      </c>
    </row>
    <row r="45" spans="1:23" ht="16" thickBot="1" x14ac:dyDescent="0.25">
      <c r="A45" s="82" t="s">
        <v>76</v>
      </c>
      <c r="B45" s="100">
        <f>SUM(B40:B44)</f>
        <v>14</v>
      </c>
      <c r="C45" s="100">
        <f>SUM(C40:C44)</f>
        <v>31</v>
      </c>
      <c r="D45" s="101">
        <f>GN_Q1_HALF1[[#This Row],[Total FGM]]/GN_Q1_HALF1[[#This Row],[Total FGA]]</f>
        <v>0.45161290322580644</v>
      </c>
      <c r="E45" s="102">
        <f>SUM(E40:E44)</f>
        <v>9</v>
      </c>
      <c r="F45" s="103">
        <f>SUM(F40:F44)</f>
        <v>16</v>
      </c>
      <c r="G45" s="104">
        <f>GN_Q1_HALF1[[#This Row],[2PT FGM]]/GN_Q1_HALF1[[#This Row],[2PT FGA]]</f>
        <v>0.5625</v>
      </c>
      <c r="H45" s="103">
        <f>SUM(H40:H44)</f>
        <v>5</v>
      </c>
      <c r="I45" s="103">
        <f>SUM(I40:I44)</f>
        <v>15</v>
      </c>
      <c r="J45" s="109">
        <f>GN_Q1_HALF1[[#This Row],[3PT FGM]]/GN_Q1_HALF1[[#This Row],[3PT FGA]]</f>
        <v>0.33333333333333331</v>
      </c>
      <c r="K45" s="103">
        <f>SUM(K40:K44)</f>
        <v>0</v>
      </c>
      <c r="L45" s="103">
        <f>SUM(L40:L44)</f>
        <v>0</v>
      </c>
      <c r="M45" s="105" t="e">
        <f>GN_Q1_HALF1[[#This Row],[FTM]]/GN_Q1_HALF1[[#This Row],[FTA]]</f>
        <v>#DIV/0!</v>
      </c>
      <c r="N45" s="62">
        <f>SUM(GN_Q1_HALF1[[#This Row],[2PT FGM]]*2,GN_Q1_HALF1[[#This Row],[3PT FGM]]*3,GN_Q1_HALF1[[#This Row],[FTM]])</f>
        <v>33</v>
      </c>
      <c r="O45" s="100">
        <f>SUM(O40:O44)</f>
        <v>6</v>
      </c>
      <c r="P45" s="100">
        <f>SUM(P40:P44)</f>
        <v>19</v>
      </c>
      <c r="Q45" s="100">
        <f>SUM(Q40:Q44)</f>
        <v>3</v>
      </c>
      <c r="R45" s="106">
        <f>GN_Q1_HALF1[[#This Row],[Def. Boards]]+GN_Q1_HALF1[[#This Row],[Off. Boards]]</f>
        <v>22</v>
      </c>
      <c r="S45" s="100">
        <f>SUM(S40:S44)</f>
        <v>9</v>
      </c>
      <c r="T45" s="100">
        <f>SUM(T40:T44)</f>
        <v>5</v>
      </c>
      <c r="U45" s="100">
        <f>SUM(U40:U44)</f>
        <v>2</v>
      </c>
      <c r="V45" s="100">
        <f>SUM(V40:V44)</f>
        <v>9</v>
      </c>
      <c r="W45" s="107">
        <f>GN_Q1_HALF1[[#This Row],[Dimes]]/GN_Q1_HALF1[[#This Row],[Turnovers]]</f>
        <v>1</v>
      </c>
    </row>
    <row r="47" spans="1:23" x14ac:dyDescent="0.2">
      <c r="B47" s="159"/>
      <c r="C47" s="86" t="s">
        <v>68</v>
      </c>
      <c r="D47" s="86" t="s">
        <v>134</v>
      </c>
      <c r="E47" s="86" t="s">
        <v>74</v>
      </c>
    </row>
    <row r="48" spans="1:23" ht="24" x14ac:dyDescent="0.2">
      <c r="A48" s="84" t="s">
        <v>66</v>
      </c>
      <c r="B48" s="85" t="s">
        <v>184</v>
      </c>
      <c r="C48" s="85" t="s">
        <v>208</v>
      </c>
      <c r="D48" s="85" t="s">
        <v>137</v>
      </c>
      <c r="E48" s="85" t="s">
        <v>209</v>
      </c>
      <c r="H48" s="23"/>
    </row>
    <row r="49" spans="1:23" ht="24" x14ac:dyDescent="0.2">
      <c r="A49" s="84"/>
      <c r="B49" s="85" t="s">
        <v>151</v>
      </c>
      <c r="C49" s="85">
        <f>N57</f>
        <v>33</v>
      </c>
      <c r="D49" s="85"/>
      <c r="E49" s="85">
        <f>N66</f>
        <v>27</v>
      </c>
      <c r="H49" s="23"/>
    </row>
    <row r="50" spans="1:23" ht="16" thickBot="1" x14ac:dyDescent="0.25">
      <c r="A50" s="13" t="s">
        <v>184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51" spans="1:23" ht="16" x14ac:dyDescent="0.2">
      <c r="A51" s="166" t="s">
        <v>208</v>
      </c>
      <c r="B51" s="11" t="s">
        <v>0</v>
      </c>
      <c r="C51" s="11" t="s">
        <v>1</v>
      </c>
      <c r="D51" s="11" t="s">
        <v>2</v>
      </c>
      <c r="E51" s="95" t="s">
        <v>3</v>
      </c>
      <c r="F51" s="96" t="s">
        <v>4</v>
      </c>
      <c r="G51" s="96" t="s">
        <v>5</v>
      </c>
      <c r="H51" s="96" t="s">
        <v>6</v>
      </c>
      <c r="I51" s="96" t="s">
        <v>7</v>
      </c>
      <c r="J51" s="96" t="s">
        <v>8</v>
      </c>
      <c r="K51" s="96" t="s">
        <v>9</v>
      </c>
      <c r="L51" s="96" t="s">
        <v>10</v>
      </c>
      <c r="M51" s="97" t="s">
        <v>11</v>
      </c>
      <c r="N51" s="11" t="s">
        <v>12</v>
      </c>
      <c r="O51" s="10" t="s">
        <v>13</v>
      </c>
      <c r="P51" s="11" t="s">
        <v>14</v>
      </c>
      <c r="Q51" s="11" t="s">
        <v>15</v>
      </c>
      <c r="R51" s="11" t="s">
        <v>16</v>
      </c>
      <c r="S51" s="10" t="s">
        <v>17</v>
      </c>
      <c r="T51" s="10" t="s">
        <v>18</v>
      </c>
      <c r="U51" s="10" t="s">
        <v>19</v>
      </c>
      <c r="V51" s="10" t="s">
        <v>20</v>
      </c>
      <c r="W51" s="10" t="s">
        <v>21</v>
      </c>
    </row>
    <row r="52" spans="1:23" x14ac:dyDescent="0.2">
      <c r="A52" s="13" t="s">
        <v>189</v>
      </c>
      <c r="B52" s="90">
        <f>LITI_Q1_HALF171[[#This Row],[2PT FGM]]+LITI_Q1_HALF171[[#This Row],[3PT FGM]]</f>
        <v>3</v>
      </c>
      <c r="C52" s="90">
        <f>LITI_Q1_HALF171[[#This Row],[2PT FGA]]+LITI_Q1_HALF171[[#This Row],[3PT FGA]]</f>
        <v>6</v>
      </c>
      <c r="D52" s="91">
        <f>LITI_Q1_HALF171[[#This Row],[Total FGM]]/LITI_Q1_HALF171[[#This Row],[Total FGA]]</f>
        <v>0.5</v>
      </c>
      <c r="E52" s="142">
        <f>'2_BMBs_NS'!E6</f>
        <v>2</v>
      </c>
      <c r="F52" s="19">
        <f>'2_BMBs_NS'!F6</f>
        <v>3</v>
      </c>
      <c r="G52" s="91">
        <f>LITI_Q1_HALF171[[#This Row],[2PT FGM]]/LITI_Q1_HALF171[[#This Row],[2PT FGA]]</f>
        <v>0.66666666666666663</v>
      </c>
      <c r="H52" s="19">
        <f>'2_BMBs_NS'!H6</f>
        <v>1</v>
      </c>
      <c r="I52" s="19">
        <f>'2_BMBs_NS'!I6</f>
        <v>3</v>
      </c>
      <c r="J52" s="91">
        <f>LITI_Q1_HALF171[[#This Row],[3PT FGM]]/LITI_Q1_HALF171[[#This Row],[3PT FGA]]</f>
        <v>0.33333333333333331</v>
      </c>
      <c r="K52" s="19">
        <f>'2_BMBs_NS'!K6</f>
        <v>2</v>
      </c>
      <c r="L52" s="19">
        <f>'2_BMBs_NS'!L6</f>
        <v>2</v>
      </c>
      <c r="M52" s="99">
        <f>LITI_Q1_HALF171[[#This Row],[FTM]]/LITI_Q1_HALF171[[#This Row],[FTA]]</f>
        <v>1</v>
      </c>
      <c r="N52" s="19">
        <f>SUM(LITI_Q1_HALF171[[#This Row],[2PT FGM]]*2,LITI_Q1_HALF171[[#This Row],[3PT FGM]]*3,LITI_Q1_HALF171[[#This Row],[FTM]])</f>
        <v>9</v>
      </c>
      <c r="O52" s="19">
        <f>'2_BMBs_NS'!O6</f>
        <v>0</v>
      </c>
      <c r="P52" s="19">
        <f>'2_BMBs_NS'!P6</f>
        <v>5</v>
      </c>
      <c r="Q52" s="19">
        <f>'2_BMBs_NS'!Q6</f>
        <v>1</v>
      </c>
      <c r="R52" s="19">
        <f>LITI_Q1_HALF171[[#This Row],[Off. Boards]]+LITI_Q1_HALF171[[#This Row],[Def. Boards]]</f>
        <v>6</v>
      </c>
      <c r="S52" s="19">
        <f>'2_BMBs_NS'!S6</f>
        <v>2</v>
      </c>
      <c r="T52" s="19">
        <f>'2_BMBs_NS'!T6</f>
        <v>2</v>
      </c>
      <c r="U52" s="19">
        <f>'2_BMBs_NS'!U6</f>
        <v>1</v>
      </c>
      <c r="V52" s="19">
        <f>'2_BMBs_NS'!V6</f>
        <v>2</v>
      </c>
      <c r="W52" s="92">
        <f>LITI_Q1_HALF171[[#This Row],[Dimes]]/LITI_Q1_HALF171[[#This Row],[Turnovers]]</f>
        <v>1</v>
      </c>
    </row>
    <row r="53" spans="1:23" x14ac:dyDescent="0.2">
      <c r="A53" s="13" t="s">
        <v>233</v>
      </c>
      <c r="B53" s="90">
        <f>LITI_Q1_HALF171[[#This Row],[2PT FGM]]+LITI_Q1_HALF171[[#This Row],[3PT FGM]]</f>
        <v>5</v>
      </c>
      <c r="C53" s="90">
        <f>LITI_Q1_HALF171[[#This Row],[2PT FGA]]+LITI_Q1_HALF171[[#This Row],[3PT FGA]]</f>
        <v>9</v>
      </c>
      <c r="D53" s="91">
        <f>LITI_Q1_HALF171[[#This Row],[Total FGM]]/LITI_Q1_HALF171[[#This Row],[Total FGA]]</f>
        <v>0.55555555555555558</v>
      </c>
      <c r="E53" s="142">
        <f>'2_BMBs_NS'!E7</f>
        <v>3</v>
      </c>
      <c r="F53" s="19">
        <f>'2_BMBs_NS'!F7</f>
        <v>6</v>
      </c>
      <c r="G53" s="91">
        <f>LITI_Q1_HALF171[[#This Row],[2PT FGM]]/LITI_Q1_HALF171[[#This Row],[2PT FGA]]</f>
        <v>0.5</v>
      </c>
      <c r="H53" s="19">
        <f>'2_BMBs_NS'!H7</f>
        <v>2</v>
      </c>
      <c r="I53" s="19">
        <f>'2_BMBs_NS'!I7</f>
        <v>3</v>
      </c>
      <c r="J53" s="91">
        <f>LITI_Q1_HALF171[[#This Row],[3PT FGM]]/LITI_Q1_HALF171[[#This Row],[3PT FGA]]</f>
        <v>0.66666666666666663</v>
      </c>
      <c r="K53" s="19">
        <f>'2_BMBs_NS'!K7</f>
        <v>0</v>
      </c>
      <c r="L53" s="19">
        <f>'2_BMBs_NS'!L7</f>
        <v>0</v>
      </c>
      <c r="M53" s="99" t="e">
        <f>LITI_Q1_HALF171[[#This Row],[FTM]]/LITI_Q1_HALF171[[#This Row],[FTA]]</f>
        <v>#DIV/0!</v>
      </c>
      <c r="N53" s="19">
        <f>SUM(LITI_Q1_HALF171[[#This Row],[2PT FGM]]*2,LITI_Q1_HALF171[[#This Row],[3PT FGM]]*3,LITI_Q1_HALF171[[#This Row],[FTM]])</f>
        <v>12</v>
      </c>
      <c r="O53" s="19">
        <f>'2_BMBs_NS'!O7</f>
        <v>2</v>
      </c>
      <c r="P53" s="19">
        <f>'2_BMBs_NS'!P7</f>
        <v>7</v>
      </c>
      <c r="Q53" s="19">
        <f>'2_BMBs_NS'!Q7</f>
        <v>2</v>
      </c>
      <c r="R53" s="19">
        <f>LITI_Q1_HALF171[[#This Row],[Off. Boards]]+LITI_Q1_HALF171[[#This Row],[Def. Boards]]</f>
        <v>9</v>
      </c>
      <c r="S53" s="19">
        <f>'2_BMBs_NS'!S7</f>
        <v>0</v>
      </c>
      <c r="T53" s="19">
        <f>'2_BMBs_NS'!T7</f>
        <v>0</v>
      </c>
      <c r="U53" s="19">
        <f>'2_BMBs_NS'!U7</f>
        <v>0</v>
      </c>
      <c r="V53" s="19">
        <f>'2_BMBs_NS'!V7</f>
        <v>3</v>
      </c>
      <c r="W53" s="92">
        <f>LITI_Q1_HALF171[[#This Row],[Dimes]]/LITI_Q1_HALF171[[#This Row],[Turnovers]]</f>
        <v>0</v>
      </c>
    </row>
    <row r="54" spans="1:23" x14ac:dyDescent="0.2">
      <c r="A54" s="13" t="s">
        <v>202</v>
      </c>
      <c r="B54" s="90">
        <f>LITI_Q1_HALF171[[#This Row],[2PT FGM]]+LITI_Q1_HALF171[[#This Row],[3PT FGM]]</f>
        <v>3</v>
      </c>
      <c r="C54" s="90">
        <f>LITI_Q1_HALF171[[#This Row],[2PT FGA]]+LITI_Q1_HALF171[[#This Row],[3PT FGA]]</f>
        <v>8</v>
      </c>
      <c r="D54" s="91">
        <f>LITI_Q1_HALF171[[#This Row],[Total FGM]]/LITI_Q1_HALF171[[#This Row],[Total FGA]]</f>
        <v>0.375</v>
      </c>
      <c r="E54" s="142">
        <f>'2_BMBs_NS'!E8</f>
        <v>3</v>
      </c>
      <c r="F54" s="19">
        <f>'2_BMBs_NS'!F8</f>
        <v>4</v>
      </c>
      <c r="G54" s="91">
        <f>LITI_Q1_HALF171[[#This Row],[2PT FGM]]/LITI_Q1_HALF171[[#This Row],[2PT FGA]]</f>
        <v>0.75</v>
      </c>
      <c r="H54" s="19">
        <f>'2_BMBs_NS'!H8</f>
        <v>0</v>
      </c>
      <c r="I54" s="19">
        <f>'2_BMBs_NS'!I8</f>
        <v>4</v>
      </c>
      <c r="J54" s="91">
        <f>LITI_Q1_HALF171[[#This Row],[3PT FGM]]/LITI_Q1_HALF171[[#This Row],[3PT FGA]]</f>
        <v>0</v>
      </c>
      <c r="K54" s="19">
        <f>'2_BMBs_NS'!K8</f>
        <v>0</v>
      </c>
      <c r="L54" s="19">
        <f>'2_BMBs_NS'!L8</f>
        <v>0</v>
      </c>
      <c r="M54" s="99" t="e">
        <f>LITI_Q1_HALF171[[#This Row],[FTM]]/LITI_Q1_HALF171[[#This Row],[FTA]]</f>
        <v>#DIV/0!</v>
      </c>
      <c r="N54" s="19">
        <f>SUM(LITI_Q1_HALF171[[#This Row],[2PT FGM]]*2,LITI_Q1_HALF171[[#This Row],[3PT FGM]]*3,LITI_Q1_HALF171[[#This Row],[FTM]])</f>
        <v>6</v>
      </c>
      <c r="O54" s="19">
        <f>'2_BMBs_NS'!O8</f>
        <v>0</v>
      </c>
      <c r="P54" s="19">
        <f>'2_BMBs_NS'!P8</f>
        <v>4</v>
      </c>
      <c r="Q54" s="19">
        <f>'2_BMBs_NS'!Q8</f>
        <v>0</v>
      </c>
      <c r="R54" s="19">
        <f>LITI_Q1_HALF171[[#This Row],[Off. Boards]]+LITI_Q1_HALF171[[#This Row],[Def. Boards]]</f>
        <v>4</v>
      </c>
      <c r="S54" s="19">
        <f>'2_BMBs_NS'!S8</f>
        <v>4</v>
      </c>
      <c r="T54" s="19">
        <f>'2_BMBs_NS'!T8</f>
        <v>0</v>
      </c>
      <c r="U54" s="19">
        <f>'2_BMBs_NS'!U8</f>
        <v>0</v>
      </c>
      <c r="V54" s="19">
        <f>'2_BMBs_NS'!V8</f>
        <v>3</v>
      </c>
      <c r="W54" s="92">
        <f>LITI_Q1_HALF171[[#This Row],[Dimes]]/LITI_Q1_HALF171[[#This Row],[Turnovers]]</f>
        <v>1.3333333333333333</v>
      </c>
    </row>
    <row r="55" spans="1:23" x14ac:dyDescent="0.2">
      <c r="A55" s="13" t="s">
        <v>192</v>
      </c>
      <c r="B55" s="90">
        <f>LITI_Q1_HALF171[[#This Row],[2PT FGM]]+LITI_Q1_HALF171[[#This Row],[3PT FGM]]</f>
        <v>1</v>
      </c>
      <c r="C55" s="90">
        <f>LITI_Q1_HALF171[[#This Row],[2PT FGA]]+LITI_Q1_HALF171[[#This Row],[3PT FGA]]</f>
        <v>6</v>
      </c>
      <c r="D55" s="91">
        <f>LITI_Q1_HALF171[[#This Row],[Total FGM]]/LITI_Q1_HALF171[[#This Row],[Total FGA]]</f>
        <v>0.16666666666666666</v>
      </c>
      <c r="E55" s="142">
        <f>'2_BMBs_NS'!E9</f>
        <v>1</v>
      </c>
      <c r="F55" s="19">
        <f>'2_BMBs_NS'!F9</f>
        <v>6</v>
      </c>
      <c r="G55" s="91">
        <f>LITI_Q1_HALF171[[#This Row],[2PT FGM]]/LITI_Q1_HALF171[[#This Row],[2PT FGA]]</f>
        <v>0.16666666666666666</v>
      </c>
      <c r="H55" s="19">
        <f>'2_BMBs_NS'!H9</f>
        <v>0</v>
      </c>
      <c r="I55" s="19">
        <f>'2_BMBs_NS'!I9</f>
        <v>0</v>
      </c>
      <c r="J55" s="91" t="e">
        <f>LITI_Q1_HALF171[[#This Row],[3PT FGM]]/LITI_Q1_HALF171[[#This Row],[3PT FGA]]</f>
        <v>#DIV/0!</v>
      </c>
      <c r="K55" s="19">
        <f>'2_BMBs_NS'!K9</f>
        <v>0</v>
      </c>
      <c r="L55" s="19">
        <f>'2_BMBs_NS'!L9</f>
        <v>0</v>
      </c>
      <c r="M55" s="99" t="e">
        <f>LITI_Q1_HALF171[[#This Row],[FTM]]/LITI_Q1_HALF171[[#This Row],[FTA]]</f>
        <v>#DIV/0!</v>
      </c>
      <c r="N55" s="19">
        <f>SUM(LITI_Q1_HALF171[[#This Row],[2PT FGM]]*2,LITI_Q1_HALF171[[#This Row],[3PT FGM]]*3,LITI_Q1_HALF171[[#This Row],[FTM]])</f>
        <v>2</v>
      </c>
      <c r="O55" s="19">
        <f>'2_BMBs_NS'!O9</f>
        <v>0</v>
      </c>
      <c r="P55" s="19">
        <f>'2_BMBs_NS'!P9</f>
        <v>2</v>
      </c>
      <c r="Q55" s="19">
        <f>'2_BMBs_NS'!Q9</f>
        <v>1</v>
      </c>
      <c r="R55" s="19">
        <f>LITI_Q1_HALF171[[#This Row],[Off. Boards]]+LITI_Q1_HALF171[[#This Row],[Def. Boards]]</f>
        <v>3</v>
      </c>
      <c r="S55" s="19">
        <f>'2_BMBs_NS'!S9</f>
        <v>2</v>
      </c>
      <c r="T55" s="19">
        <f>'2_BMBs_NS'!T9</f>
        <v>0</v>
      </c>
      <c r="U55" s="19">
        <f>'2_BMBs_NS'!U9</f>
        <v>0</v>
      </c>
      <c r="V55" s="19">
        <f>'2_BMBs_NS'!V9</f>
        <v>0</v>
      </c>
      <c r="W55" s="92" t="e">
        <f>LITI_Q1_HALF171[[#This Row],[Dimes]]/LITI_Q1_HALF171[[#This Row],[Turnovers]]</f>
        <v>#DIV/0!</v>
      </c>
    </row>
    <row r="56" spans="1:23" x14ac:dyDescent="0.2">
      <c r="A56" s="13" t="s">
        <v>190</v>
      </c>
      <c r="B56" s="90">
        <f>LITI_Q1_HALF171[[#This Row],[2PT FGM]]+LITI_Q1_HALF171[[#This Row],[3PT FGM]]</f>
        <v>2</v>
      </c>
      <c r="C56" s="90">
        <f>LITI_Q1_HALF171[[#This Row],[2PT FGA]]+LITI_Q1_HALF171[[#This Row],[3PT FGA]]</f>
        <v>5</v>
      </c>
      <c r="D56" s="91">
        <f>LITI_Q1_HALF171[[#This Row],[Total FGM]]/LITI_Q1_HALF171[[#This Row],[Total FGA]]</f>
        <v>0.4</v>
      </c>
      <c r="E56" s="142">
        <f>'2_BMBs_NS'!E10</f>
        <v>2</v>
      </c>
      <c r="F56" s="19">
        <f>'2_BMBs_NS'!F10</f>
        <v>2</v>
      </c>
      <c r="G56" s="91">
        <f>LITI_Q1_HALF171[[#This Row],[2PT FGM]]/LITI_Q1_HALF171[[#This Row],[2PT FGA]]</f>
        <v>1</v>
      </c>
      <c r="H56" s="19">
        <f>'2_BMBs_NS'!H10</f>
        <v>0</v>
      </c>
      <c r="I56" s="19">
        <f>'2_BMBs_NS'!I10</f>
        <v>3</v>
      </c>
      <c r="J56" s="91">
        <f>LITI_Q1_HALF171[[#This Row],[3PT FGM]]/LITI_Q1_HALF171[[#This Row],[3PT FGA]]</f>
        <v>0</v>
      </c>
      <c r="K56" s="19">
        <f>'2_BMBs_NS'!K10</f>
        <v>0</v>
      </c>
      <c r="L56" s="19">
        <f>'2_BMBs_NS'!L10</f>
        <v>0</v>
      </c>
      <c r="M56" s="99" t="e">
        <f>LITI_Q1_HALF171[[#This Row],[FTM]]/LITI_Q1_HALF171[[#This Row],[FTA]]</f>
        <v>#DIV/0!</v>
      </c>
      <c r="N56" s="19">
        <f>SUM(LITI_Q1_HALF171[[#This Row],[2PT FGM]]*2,LITI_Q1_HALF171[[#This Row],[3PT FGM]]*3,LITI_Q1_HALF171[[#This Row],[FTM]])</f>
        <v>4</v>
      </c>
      <c r="O56" s="19">
        <f>'2_BMBs_NS'!O10</f>
        <v>0</v>
      </c>
      <c r="P56" s="19">
        <f>'2_BMBs_NS'!P10</f>
        <v>1</v>
      </c>
      <c r="Q56" s="19">
        <f>'2_BMBs_NS'!Q10</f>
        <v>0</v>
      </c>
      <c r="R56" s="19">
        <f>LITI_Q1_HALF171[[#This Row],[Off. Boards]]+LITI_Q1_HALF171[[#This Row],[Def. Boards]]</f>
        <v>1</v>
      </c>
      <c r="S56" s="19">
        <f>'2_BMBs_NS'!S10</f>
        <v>0</v>
      </c>
      <c r="T56" s="19">
        <f>'2_BMBs_NS'!T10</f>
        <v>1</v>
      </c>
      <c r="U56" s="19">
        <f>'2_BMBs_NS'!U10</f>
        <v>0</v>
      </c>
      <c r="V56" s="19">
        <f>'2_BMBs_NS'!V10</f>
        <v>2</v>
      </c>
      <c r="W56" s="92">
        <f>LITI_Q1_HALF171[[#This Row],[Dimes]]/LITI_Q1_HALF171[[#This Row],[Turnovers]]</f>
        <v>0</v>
      </c>
    </row>
    <row r="57" spans="1:23" ht="16" thickBot="1" x14ac:dyDescent="0.25">
      <c r="A57" s="82" t="s">
        <v>76</v>
      </c>
      <c r="B57" s="100">
        <f>SUM(B52:B56)</f>
        <v>14</v>
      </c>
      <c r="C57" s="100">
        <f>SUM(C52:C56)</f>
        <v>34</v>
      </c>
      <c r="D57" s="101">
        <f>LITI_Q1_HALF171[[#This Row],[Total FGM]]/LITI_Q1_HALF171[[#This Row],[Total FGA]]</f>
        <v>0.41176470588235292</v>
      </c>
      <c r="E57" s="102">
        <f>SUM(E52:E56)</f>
        <v>11</v>
      </c>
      <c r="F57" s="103">
        <f>SUM(F52:F56)</f>
        <v>21</v>
      </c>
      <c r="G57" s="108">
        <f>LITI_Q1_HALF171[[#This Row],[2PT FGM]]/LITI_Q1_HALF171[[#This Row],[2PT FGA]]</f>
        <v>0.52380952380952384</v>
      </c>
      <c r="H57" s="103">
        <f>SUM(H52:H56)</f>
        <v>3</v>
      </c>
      <c r="I57" s="103">
        <f>SUM(I52:I56)</f>
        <v>13</v>
      </c>
      <c r="J57" s="104">
        <f>LITI_Q1_HALF171[[#This Row],[3PT FGM]]/LITI_Q1_HALF171[[#This Row],[3PT FGA]]</f>
        <v>0.23076923076923078</v>
      </c>
      <c r="K57" s="103">
        <f>SUM(K52:K56)</f>
        <v>2</v>
      </c>
      <c r="L57" s="103">
        <f>SUM(L52:L56)</f>
        <v>2</v>
      </c>
      <c r="M57" s="105">
        <f>LITI_Q1_HALF171[[#This Row],[FTM]]/LITI_Q1_HALF171[[#This Row],[FTA]]</f>
        <v>1</v>
      </c>
      <c r="N57" s="62">
        <f>SUM(LITI_Q1_HALF171[[#This Row],[2PT FGM]]*2,LITI_Q1_HALF171[[#This Row],[3PT FGM]]*3,LITI_Q1_HALF171[[#This Row],[FTM]])</f>
        <v>33</v>
      </c>
      <c r="O57" s="106">
        <f>SUM(O52:O56)</f>
        <v>2</v>
      </c>
      <c r="P57" s="106">
        <f t="shared" ref="P57:V57" si="18">SUM(P52:P56)</f>
        <v>19</v>
      </c>
      <c r="Q57" s="106">
        <f t="shared" si="18"/>
        <v>4</v>
      </c>
      <c r="R57" s="106">
        <f t="shared" si="18"/>
        <v>23</v>
      </c>
      <c r="S57" s="106">
        <f t="shared" si="18"/>
        <v>8</v>
      </c>
      <c r="T57" s="106">
        <f t="shared" si="18"/>
        <v>3</v>
      </c>
      <c r="U57" s="106">
        <f t="shared" si="18"/>
        <v>1</v>
      </c>
      <c r="V57" s="106">
        <f t="shared" si="18"/>
        <v>10</v>
      </c>
      <c r="W57" s="107">
        <f>LITI_Q1_HALF171[[#This Row],[Dimes]]/LITI_Q1_HALF171[[#This Row],[Turnovers]]</f>
        <v>0.8</v>
      </c>
    </row>
    <row r="59" spans="1:23" ht="16" thickBot="1" x14ac:dyDescent="0.25">
      <c r="A59" s="94" t="s">
        <v>184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1:23" ht="16" x14ac:dyDescent="0.2">
      <c r="A60" s="166" t="s">
        <v>209</v>
      </c>
      <c r="B60" s="11" t="s">
        <v>0</v>
      </c>
      <c r="C60" s="11" t="s">
        <v>1</v>
      </c>
      <c r="D60" s="11" t="s">
        <v>2</v>
      </c>
      <c r="E60" s="95" t="s">
        <v>3</v>
      </c>
      <c r="F60" s="96" t="s">
        <v>4</v>
      </c>
      <c r="G60" s="96" t="s">
        <v>5</v>
      </c>
      <c r="H60" s="96" t="s">
        <v>6</v>
      </c>
      <c r="I60" s="96" t="s">
        <v>7</v>
      </c>
      <c r="J60" s="96" t="s">
        <v>8</v>
      </c>
      <c r="K60" s="96" t="s">
        <v>9</v>
      </c>
      <c r="L60" s="96" t="s">
        <v>10</v>
      </c>
      <c r="M60" s="97" t="s">
        <v>11</v>
      </c>
      <c r="N60" s="11" t="s">
        <v>12</v>
      </c>
      <c r="O60" s="10" t="s">
        <v>13</v>
      </c>
      <c r="P60" s="11" t="s">
        <v>14</v>
      </c>
      <c r="Q60" s="11" t="s">
        <v>15</v>
      </c>
      <c r="R60" s="11" t="s">
        <v>16</v>
      </c>
      <c r="S60" s="10" t="s">
        <v>17</v>
      </c>
      <c r="T60" s="10" t="s">
        <v>18</v>
      </c>
      <c r="U60" s="10" t="s">
        <v>19</v>
      </c>
      <c r="V60" s="10" t="s">
        <v>20</v>
      </c>
      <c r="W60" s="10" t="s">
        <v>21</v>
      </c>
    </row>
    <row r="61" spans="1:23" x14ac:dyDescent="0.2">
      <c r="A61" t="s">
        <v>234</v>
      </c>
      <c r="B61" s="90">
        <f>GN_Q1_HALF172[[#This Row],[2PT FGM]]+GN_Q1_HALF172[[#This Row],[3PT FGM]]</f>
        <v>3</v>
      </c>
      <c r="C61" s="90">
        <f>GN_Q1_HALF172[[#This Row],[2PT FGA]]+GN_Q1_HALF172[[#This Row],[3PT FGA]]</f>
        <v>6</v>
      </c>
      <c r="D61" s="91">
        <f>GN_Q1_HALF172[[#This Row],[Total FGM]]/GN_Q1_HALF172[[#This Row],[Total FGA]]</f>
        <v>0.5</v>
      </c>
      <c r="E61" s="98">
        <f>'2_BMBs_NS'!E15</f>
        <v>2</v>
      </c>
      <c r="F61" s="19">
        <f>'2_BMBs_NS'!F15</f>
        <v>2</v>
      </c>
      <c r="G61" s="91">
        <f>GN_Q1_HALF172[[#This Row],[2PT FGM]]/GN_Q1_HALF172[[#This Row],[2PT FGA]]</f>
        <v>1</v>
      </c>
      <c r="H61" s="19">
        <f>'2_BMBs_NS'!H15</f>
        <v>1</v>
      </c>
      <c r="I61" s="19">
        <f>'2_BMBs_NS'!I15</f>
        <v>4</v>
      </c>
      <c r="J61" s="91">
        <f>GN_Q1_HALF172[[#This Row],[3PT FGM]]/GN_Q1_HALF172[[#This Row],[3PT FGA]]</f>
        <v>0.25</v>
      </c>
      <c r="K61" s="19">
        <f>'2_BMBs_NS'!K15</f>
        <v>0</v>
      </c>
      <c r="L61" s="19">
        <f>'2_BMBs_NS'!L15</f>
        <v>0</v>
      </c>
      <c r="M61" s="99" t="e">
        <f>GN_Q1_HALF172[[#This Row],[FTM]]/GN_Q1_HALF172[[#This Row],[FTA]]</f>
        <v>#DIV/0!</v>
      </c>
      <c r="N61" s="19">
        <f>SUM(GN_Q1_HALF172[[#This Row],[2PT FGM]]*2,GN_Q1_HALF172[[#This Row],[3PT FGM]]*3,GN_Q1_HALF172[[#This Row],[FTM]])</f>
        <v>7</v>
      </c>
      <c r="O61" s="19">
        <f>'2_BMBs_NS'!O15</f>
        <v>1</v>
      </c>
      <c r="P61" s="19">
        <f>'2_BMBs_NS'!P15</f>
        <v>4</v>
      </c>
      <c r="Q61" s="19">
        <f>'2_BMBs_NS'!Q15</f>
        <v>0</v>
      </c>
      <c r="R61" s="19">
        <f>GN_Q1_HALF172[[#This Row],[Off. Boards]]+GN_Q1_HALF172[[#This Row],[Def. Boards]]</f>
        <v>4</v>
      </c>
      <c r="S61" s="19">
        <f>'2_BMBs_NS'!S15</f>
        <v>2</v>
      </c>
      <c r="T61" s="19">
        <f>'2_BMBs_NS'!T15</f>
        <v>2</v>
      </c>
      <c r="U61" s="19">
        <f>'2_BMBs_NS'!U15</f>
        <v>0</v>
      </c>
      <c r="V61" s="19">
        <f>'2_BMBs_NS'!V15</f>
        <v>0</v>
      </c>
      <c r="W61" s="92" t="e">
        <f>GN_Q1_HALF172[[#This Row],[Dimes]]/GN_Q1_HALF172[[#This Row],[Turnovers]]</f>
        <v>#DIV/0!</v>
      </c>
    </row>
    <row r="62" spans="1:23" x14ac:dyDescent="0.2">
      <c r="A62" t="s">
        <v>203</v>
      </c>
      <c r="B62" s="90">
        <f>GN_Q1_HALF172[[#This Row],[2PT FGM]]+GN_Q1_HALF172[[#This Row],[3PT FGM]]</f>
        <v>4</v>
      </c>
      <c r="C62" s="90">
        <f>GN_Q1_HALF172[[#This Row],[2PT FGA]]+GN_Q1_HALF172[[#This Row],[3PT FGA]]</f>
        <v>5</v>
      </c>
      <c r="D62" s="91">
        <f>GN_Q1_HALF172[[#This Row],[Total FGM]]/GN_Q1_HALF172[[#This Row],[Total FGA]]</f>
        <v>0.8</v>
      </c>
      <c r="E62" s="98">
        <f>'2_BMBs_NS'!E16</f>
        <v>4</v>
      </c>
      <c r="F62" s="19">
        <f>'2_BMBs_NS'!F16</f>
        <v>4</v>
      </c>
      <c r="G62" s="91">
        <f>GN_Q1_HALF172[[#This Row],[2PT FGM]]/GN_Q1_HALF172[[#This Row],[2PT FGA]]</f>
        <v>1</v>
      </c>
      <c r="H62" s="19">
        <f>'2_BMBs_NS'!H16</f>
        <v>0</v>
      </c>
      <c r="I62" s="19">
        <f>'2_BMBs_NS'!I16</f>
        <v>1</v>
      </c>
      <c r="J62" s="91">
        <f>GN_Q1_HALF172[[#This Row],[3PT FGM]]/GN_Q1_HALF172[[#This Row],[3PT FGA]]</f>
        <v>0</v>
      </c>
      <c r="K62" s="19">
        <f>'2_BMBs_NS'!K16</f>
        <v>0</v>
      </c>
      <c r="L62" s="19">
        <f>'2_BMBs_NS'!L16</f>
        <v>0</v>
      </c>
      <c r="M62" s="99" t="e">
        <f>GN_Q1_HALF172[[#This Row],[FTM]]/GN_Q1_HALF172[[#This Row],[FTA]]</f>
        <v>#DIV/0!</v>
      </c>
      <c r="N62" s="19">
        <f>SUM(GN_Q1_HALF172[[#This Row],[2PT FGM]]*2,GN_Q1_HALF172[[#This Row],[3PT FGM]]*3,GN_Q1_HALF172[[#This Row],[FTM]])</f>
        <v>8</v>
      </c>
      <c r="O62" s="19">
        <f>'2_BMBs_NS'!O16</f>
        <v>3</v>
      </c>
      <c r="P62" s="19">
        <f>'2_BMBs_NS'!P16</f>
        <v>3</v>
      </c>
      <c r="Q62" s="19">
        <f>'2_BMBs_NS'!Q16</f>
        <v>2</v>
      </c>
      <c r="R62" s="19">
        <f>GN_Q1_HALF172[[#This Row],[Off. Boards]]+GN_Q1_HALF172[[#This Row],[Def. Boards]]</f>
        <v>5</v>
      </c>
      <c r="S62" s="19">
        <f>'2_BMBs_NS'!S16</f>
        <v>0</v>
      </c>
      <c r="T62" s="19">
        <f>'2_BMBs_NS'!T16</f>
        <v>0</v>
      </c>
      <c r="U62" s="19">
        <f>'2_BMBs_NS'!U16</f>
        <v>1</v>
      </c>
      <c r="V62" s="19">
        <f>'2_BMBs_NS'!V16</f>
        <v>3</v>
      </c>
      <c r="W62" s="92">
        <f>GN_Q1_HALF172[[#This Row],[Dimes]]/GN_Q1_HALF172[[#This Row],[Turnovers]]</f>
        <v>0</v>
      </c>
    </row>
    <row r="63" spans="1:23" x14ac:dyDescent="0.2">
      <c r="A63" t="s">
        <v>201</v>
      </c>
      <c r="B63" s="90">
        <f>GN_Q1_HALF172[[#This Row],[2PT FGM]]+GN_Q1_HALF172[[#This Row],[3PT FGM]]</f>
        <v>1</v>
      </c>
      <c r="C63" s="90">
        <f>GN_Q1_HALF172[[#This Row],[2PT FGA]]+GN_Q1_HALF172[[#This Row],[3PT FGA]]</f>
        <v>10</v>
      </c>
      <c r="D63" s="91">
        <f>GN_Q1_HALF172[[#This Row],[Total FGM]]/GN_Q1_HALF172[[#This Row],[Total FGA]]</f>
        <v>0.1</v>
      </c>
      <c r="E63" s="98">
        <f>'2_BMBs_NS'!E17</f>
        <v>0</v>
      </c>
      <c r="F63" s="19">
        <f>'2_BMBs_NS'!F17</f>
        <v>3</v>
      </c>
      <c r="G63" s="91">
        <f>GN_Q1_HALF172[[#This Row],[2PT FGM]]/GN_Q1_HALF172[[#This Row],[2PT FGA]]</f>
        <v>0</v>
      </c>
      <c r="H63" s="19">
        <f>'2_BMBs_NS'!H17</f>
        <v>1</v>
      </c>
      <c r="I63" s="19">
        <f>'2_BMBs_NS'!I17</f>
        <v>7</v>
      </c>
      <c r="J63" s="91">
        <f>GN_Q1_HALF172[[#This Row],[3PT FGM]]/GN_Q1_HALF172[[#This Row],[3PT FGA]]</f>
        <v>0.14285714285714285</v>
      </c>
      <c r="K63" s="19">
        <f>'2_BMBs_NS'!K17</f>
        <v>0</v>
      </c>
      <c r="L63" s="19">
        <f>'2_BMBs_NS'!L17</f>
        <v>0</v>
      </c>
      <c r="M63" s="99" t="e">
        <f>GN_Q1_HALF172[[#This Row],[FTM]]/GN_Q1_HALF172[[#This Row],[FTA]]</f>
        <v>#DIV/0!</v>
      </c>
      <c r="N63" s="19">
        <f>SUM(GN_Q1_HALF172[[#This Row],[2PT FGM]]*2,GN_Q1_HALF172[[#This Row],[3PT FGM]]*3,GN_Q1_HALF172[[#This Row],[FTM]])</f>
        <v>3</v>
      </c>
      <c r="O63" s="19">
        <f>'2_BMBs_NS'!O17</f>
        <v>0</v>
      </c>
      <c r="P63" s="19">
        <f>'2_BMBs_NS'!P17</f>
        <v>2</v>
      </c>
      <c r="Q63" s="19">
        <f>'2_BMBs_NS'!Q17</f>
        <v>2</v>
      </c>
      <c r="R63" s="19">
        <f>GN_Q1_HALF172[[#This Row],[Off. Boards]]+GN_Q1_HALF172[[#This Row],[Def. Boards]]</f>
        <v>4</v>
      </c>
      <c r="S63" s="19">
        <f>'2_BMBs_NS'!S17</f>
        <v>2</v>
      </c>
      <c r="T63" s="19">
        <f>'2_BMBs_NS'!T17</f>
        <v>2</v>
      </c>
      <c r="U63" s="19">
        <f>'2_BMBs_NS'!U17</f>
        <v>0</v>
      </c>
      <c r="V63" s="19">
        <f>'2_BMBs_NS'!V17</f>
        <v>2</v>
      </c>
      <c r="W63" s="92">
        <f>GN_Q1_HALF172[[#This Row],[Dimes]]/GN_Q1_HALF172[[#This Row],[Turnovers]]</f>
        <v>1</v>
      </c>
    </row>
    <row r="64" spans="1:23" x14ac:dyDescent="0.2">
      <c r="A64" t="s">
        <v>191</v>
      </c>
      <c r="B64" s="90">
        <f>GN_Q1_HALF172[[#This Row],[2PT FGM]]+GN_Q1_HALF172[[#This Row],[3PT FGM]]</f>
        <v>2</v>
      </c>
      <c r="C64" s="90">
        <f>GN_Q1_HALF172[[#This Row],[2PT FGA]]+GN_Q1_HALF172[[#This Row],[3PT FGA]]</f>
        <v>13</v>
      </c>
      <c r="D64" s="91">
        <f>GN_Q1_HALF172[[#This Row],[Total FGM]]/GN_Q1_HALF172[[#This Row],[Total FGA]]</f>
        <v>0.15384615384615385</v>
      </c>
      <c r="E64" s="98">
        <f>'2_BMBs_NS'!E18</f>
        <v>0</v>
      </c>
      <c r="F64" s="19">
        <f>'2_BMBs_NS'!F18</f>
        <v>2</v>
      </c>
      <c r="G64" s="91">
        <f>GN_Q1_HALF172[[#This Row],[2PT FGM]]/GN_Q1_HALF172[[#This Row],[2PT FGA]]</f>
        <v>0</v>
      </c>
      <c r="H64" s="19">
        <f>'2_BMBs_NS'!H18</f>
        <v>2</v>
      </c>
      <c r="I64" s="19">
        <f>'2_BMBs_NS'!I18</f>
        <v>11</v>
      </c>
      <c r="J64" s="91">
        <f>GN_Q1_HALF172[[#This Row],[3PT FGM]]/GN_Q1_HALF172[[#This Row],[3PT FGA]]</f>
        <v>0.18181818181818182</v>
      </c>
      <c r="K64" s="19">
        <f>'2_BMBs_NS'!K18</f>
        <v>0</v>
      </c>
      <c r="L64" s="19">
        <f>'2_BMBs_NS'!L18</f>
        <v>0</v>
      </c>
      <c r="M64" s="99" t="e">
        <f>GN_Q1_HALF172[[#This Row],[FTM]]/GN_Q1_HALF172[[#This Row],[FTA]]</f>
        <v>#DIV/0!</v>
      </c>
      <c r="N64" s="19">
        <f>SUM(GN_Q1_HALF172[[#This Row],[2PT FGM]]*2,GN_Q1_HALF172[[#This Row],[3PT FGM]]*3,GN_Q1_HALF172[[#This Row],[FTM]])</f>
        <v>6</v>
      </c>
      <c r="O64" s="19">
        <f>'2_BMBs_NS'!O18</f>
        <v>0</v>
      </c>
      <c r="P64" s="19">
        <f>'2_BMBs_NS'!P18</f>
        <v>1</v>
      </c>
      <c r="Q64" s="19">
        <f>'2_BMBs_NS'!Q18</f>
        <v>1</v>
      </c>
      <c r="R64" s="19">
        <f>GN_Q1_HALF172[[#This Row],[Off. Boards]]+GN_Q1_HALF172[[#This Row],[Def. Boards]]</f>
        <v>2</v>
      </c>
      <c r="S64" s="19">
        <f>'2_BMBs_NS'!S18</f>
        <v>4</v>
      </c>
      <c r="T64" s="19">
        <f>'2_BMBs_NS'!T18</f>
        <v>1</v>
      </c>
      <c r="U64" s="19">
        <f>'2_BMBs_NS'!U18</f>
        <v>0</v>
      </c>
      <c r="V64" s="19">
        <f>'2_BMBs_NS'!V18</f>
        <v>0</v>
      </c>
      <c r="W64" s="92" t="e">
        <f>GN_Q1_HALF172[[#This Row],[Dimes]]/GN_Q1_HALF172[[#This Row],[Turnovers]]</f>
        <v>#DIV/0!</v>
      </c>
    </row>
    <row r="65" spans="1:23" x14ac:dyDescent="0.2">
      <c r="A65" t="s">
        <v>204</v>
      </c>
      <c r="B65" s="90">
        <f>GN_Q1_HALF172[[#This Row],[2PT FGM]]+GN_Q1_HALF172[[#This Row],[3PT FGM]]</f>
        <v>1</v>
      </c>
      <c r="C65" s="90">
        <f>GN_Q1_HALF172[[#This Row],[2PT FGA]]+GN_Q1_HALF172[[#This Row],[3PT FGA]]</f>
        <v>3</v>
      </c>
      <c r="D65" s="91">
        <f>GN_Q1_HALF172[[#This Row],[Total FGM]]/GN_Q1_HALF172[[#This Row],[Total FGA]]</f>
        <v>0.33333333333333331</v>
      </c>
      <c r="E65" s="98">
        <f>'2_BMBs_NS'!E19</f>
        <v>0</v>
      </c>
      <c r="F65" s="19">
        <f>'2_BMBs_NS'!F19</f>
        <v>0</v>
      </c>
      <c r="G65" s="91" t="e">
        <f>GN_Q1_HALF172[[#This Row],[2PT FGM]]/GN_Q1_HALF172[[#This Row],[2PT FGA]]</f>
        <v>#DIV/0!</v>
      </c>
      <c r="H65" s="19">
        <f>'2_BMBs_NS'!H19</f>
        <v>1</v>
      </c>
      <c r="I65" s="19">
        <f>'2_BMBs_NS'!I19</f>
        <v>3</v>
      </c>
      <c r="J65" s="91">
        <f>GN_Q1_HALF172[[#This Row],[3PT FGM]]/GN_Q1_HALF172[[#This Row],[3PT FGA]]</f>
        <v>0.33333333333333331</v>
      </c>
      <c r="K65" s="19">
        <f>'2_BMBs_NS'!K19</f>
        <v>0</v>
      </c>
      <c r="L65" s="19">
        <f>'2_BMBs_NS'!L19</f>
        <v>0</v>
      </c>
      <c r="M65" s="99" t="e">
        <f>GN_Q1_HALF172[[#This Row],[FTM]]/GN_Q1_HALF172[[#This Row],[FTA]]</f>
        <v>#DIV/0!</v>
      </c>
      <c r="N65" s="19">
        <f>SUM(GN_Q1_HALF172[[#This Row],[2PT FGM]]*2,GN_Q1_HALF172[[#This Row],[3PT FGM]]*3,GN_Q1_HALF172[[#This Row],[FTM]])</f>
        <v>3</v>
      </c>
      <c r="O65" s="19">
        <f>'2_BMBs_NS'!O19</f>
        <v>0</v>
      </c>
      <c r="P65" s="19">
        <f>'2_BMBs_NS'!P19</f>
        <v>0</v>
      </c>
      <c r="Q65" s="19">
        <f>'2_BMBs_NS'!Q19</f>
        <v>0</v>
      </c>
      <c r="R65" s="19">
        <f>GN_Q1_HALF172[[#This Row],[Off. Boards]]+GN_Q1_HALF172[[#This Row],[Def. Boards]]</f>
        <v>0</v>
      </c>
      <c r="S65" s="19">
        <f>'2_BMBs_NS'!S19</f>
        <v>0</v>
      </c>
      <c r="T65" s="19">
        <f>'2_BMBs_NS'!T19</f>
        <v>1</v>
      </c>
      <c r="U65" s="19">
        <f>'2_BMBs_NS'!U19</f>
        <v>0</v>
      </c>
      <c r="V65" s="19">
        <f>'2_BMBs_NS'!V19</f>
        <v>0</v>
      </c>
      <c r="W65" s="92" t="e">
        <f>GN_Q1_HALF172[[#This Row],[Dimes]]/GN_Q1_HALF172[[#This Row],[Turnovers]]</f>
        <v>#DIV/0!</v>
      </c>
    </row>
    <row r="66" spans="1:23" ht="16" thickBot="1" x14ac:dyDescent="0.25">
      <c r="A66" s="82" t="s">
        <v>76</v>
      </c>
      <c r="B66" s="100">
        <f>SUM(B61:B65)</f>
        <v>11</v>
      </c>
      <c r="C66" s="100">
        <f>SUM(C61:C65)</f>
        <v>37</v>
      </c>
      <c r="D66" s="101">
        <f>GN_Q1_HALF172[[#This Row],[Total FGM]]/GN_Q1_HALF172[[#This Row],[Total FGA]]</f>
        <v>0.29729729729729731</v>
      </c>
      <c r="E66" s="102">
        <f>SUM(E61:E65)</f>
        <v>6</v>
      </c>
      <c r="F66" s="103">
        <f>SUM(F61:F65)</f>
        <v>11</v>
      </c>
      <c r="G66" s="104">
        <f>GN_Q1_HALF172[[#This Row],[2PT FGM]]/GN_Q1_HALF172[[#This Row],[2PT FGA]]</f>
        <v>0.54545454545454541</v>
      </c>
      <c r="H66" s="103">
        <f>SUM(H61:H65)</f>
        <v>5</v>
      </c>
      <c r="I66" s="103">
        <f>SUM(I61:I65)</f>
        <v>26</v>
      </c>
      <c r="J66" s="109">
        <f>GN_Q1_HALF172[[#This Row],[3PT FGM]]/GN_Q1_HALF172[[#This Row],[3PT FGA]]</f>
        <v>0.19230769230769232</v>
      </c>
      <c r="K66" s="103">
        <f>SUM(K61:K65)</f>
        <v>0</v>
      </c>
      <c r="L66" s="103">
        <f>SUM(L61:L65)</f>
        <v>0</v>
      </c>
      <c r="M66" s="105" t="e">
        <f>GN_Q1_HALF172[[#This Row],[FTM]]/GN_Q1_HALF172[[#This Row],[FTA]]</f>
        <v>#DIV/0!</v>
      </c>
      <c r="N66" s="62">
        <f>SUM(GN_Q1_HALF172[[#This Row],[2PT FGM]]*2,GN_Q1_HALF172[[#This Row],[3PT FGM]]*3,GN_Q1_HALF172[[#This Row],[FTM]])</f>
        <v>27</v>
      </c>
      <c r="O66" s="100">
        <f>SUM(O61:O65)</f>
        <v>4</v>
      </c>
      <c r="P66" s="100">
        <f>SUM(P61:P65)</f>
        <v>10</v>
      </c>
      <c r="Q66" s="100">
        <f>SUM(Q61:Q65)</f>
        <v>5</v>
      </c>
      <c r="R66" s="106">
        <f>GN_Q1_HALF172[[#This Row],[Def. Boards]]+GN_Q1_HALF172[[#This Row],[Off. Boards]]</f>
        <v>15</v>
      </c>
      <c r="S66" s="100">
        <f>SUM(S61:S65)</f>
        <v>8</v>
      </c>
      <c r="T66" s="100">
        <f>SUM(T61:T65)</f>
        <v>6</v>
      </c>
      <c r="U66" s="100">
        <f>SUM(U61:U65)</f>
        <v>1</v>
      </c>
      <c r="V66" s="100">
        <f>SUM(V61:V65)</f>
        <v>5</v>
      </c>
      <c r="W66" s="107">
        <f>GN_Q1_HALF172[[#This Row],[Dimes]]/GN_Q1_HALF172[[#This Row],[Turnovers]]</f>
        <v>1.6</v>
      </c>
    </row>
    <row r="68" spans="1:23" x14ac:dyDescent="0.2">
      <c r="B68" s="159"/>
      <c r="C68" s="86" t="s">
        <v>68</v>
      </c>
      <c r="D68" s="86" t="s">
        <v>134</v>
      </c>
      <c r="E68" s="86" t="s">
        <v>74</v>
      </c>
    </row>
    <row r="69" spans="1:23" ht="24" x14ac:dyDescent="0.2">
      <c r="A69" s="84" t="s">
        <v>66</v>
      </c>
      <c r="B69" s="85" t="s">
        <v>185</v>
      </c>
      <c r="C69" s="85" t="s">
        <v>209</v>
      </c>
      <c r="D69" s="85" t="s">
        <v>137</v>
      </c>
      <c r="E69" s="292" t="s">
        <v>208</v>
      </c>
      <c r="F69" s="292"/>
      <c r="H69" s="23"/>
    </row>
    <row r="70" spans="1:23" ht="24" x14ac:dyDescent="0.2">
      <c r="A70" s="84"/>
      <c r="B70" s="85" t="s">
        <v>151</v>
      </c>
      <c r="C70" s="85">
        <f>N78</f>
        <v>48</v>
      </c>
      <c r="D70" s="85"/>
      <c r="E70" s="85">
        <f>N87</f>
        <v>34</v>
      </c>
      <c r="H70" s="23"/>
    </row>
    <row r="71" spans="1:23" ht="16" thickBot="1" x14ac:dyDescent="0.25">
      <c r="A71" s="13" t="s">
        <v>185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</row>
    <row r="72" spans="1:23" ht="16" x14ac:dyDescent="0.2">
      <c r="A72" s="166" t="s">
        <v>209</v>
      </c>
      <c r="B72" s="11" t="s">
        <v>0</v>
      </c>
      <c r="C72" s="11" t="s">
        <v>1</v>
      </c>
      <c r="D72" s="11" t="s">
        <v>2</v>
      </c>
      <c r="E72" s="95" t="s">
        <v>3</v>
      </c>
      <c r="F72" s="96" t="s">
        <v>4</v>
      </c>
      <c r="G72" s="96" t="s">
        <v>5</v>
      </c>
      <c r="H72" s="96" t="s">
        <v>6</v>
      </c>
      <c r="I72" s="96" t="s">
        <v>7</v>
      </c>
      <c r="J72" s="96" t="s">
        <v>8</v>
      </c>
      <c r="K72" s="96" t="s">
        <v>9</v>
      </c>
      <c r="L72" s="96" t="s">
        <v>10</v>
      </c>
      <c r="M72" s="97" t="s">
        <v>11</v>
      </c>
      <c r="N72" s="11" t="s">
        <v>12</v>
      </c>
      <c r="O72" s="10" t="s">
        <v>13</v>
      </c>
      <c r="P72" s="11" t="s">
        <v>14</v>
      </c>
      <c r="Q72" s="11" t="s">
        <v>15</v>
      </c>
      <c r="R72" s="11" t="s">
        <v>16</v>
      </c>
      <c r="S72" s="10" t="s">
        <v>17</v>
      </c>
      <c r="T72" s="10" t="s">
        <v>18</v>
      </c>
      <c r="U72" s="10" t="s">
        <v>19</v>
      </c>
      <c r="V72" s="10" t="s">
        <v>20</v>
      </c>
      <c r="W72" s="10" t="s">
        <v>21</v>
      </c>
    </row>
    <row r="73" spans="1:23" x14ac:dyDescent="0.2">
      <c r="A73" t="s">
        <v>235</v>
      </c>
      <c r="B73" s="90">
        <f>LITI_Q1_HALF17115[[#This Row],[2PT FGM]]+LITI_Q1_HALF17115[[#This Row],[3PT FGM]]</f>
        <v>6</v>
      </c>
      <c r="C73" s="90">
        <f>LITI_Q1_HALF17115[[#This Row],[2PT FGA]]+LITI_Q1_HALF17115[[#This Row],[3PT FGA]]</f>
        <v>12</v>
      </c>
      <c r="D73" s="91">
        <f>LITI_Q1_HALF17115[[#This Row],[Total FGM]]/LITI_Q1_HALF17115[[#This Row],[Total FGA]]</f>
        <v>0.5</v>
      </c>
      <c r="E73" s="98">
        <f>'3_NS_BMBs'!E15</f>
        <v>6</v>
      </c>
      <c r="F73" s="229">
        <f>'3_NS_BMBs'!F15</f>
        <v>9</v>
      </c>
      <c r="G73" s="91">
        <f>LITI_Q1_HALF17115[[#This Row],[2PT FGM]]/LITI_Q1_HALF17115[[#This Row],[2PT FGA]]</f>
        <v>0.66666666666666663</v>
      </c>
      <c r="H73" s="229">
        <f>'3_NS_BMBs'!H15</f>
        <v>0</v>
      </c>
      <c r="I73" s="229">
        <f>'3_NS_BMBs'!I15</f>
        <v>3</v>
      </c>
      <c r="J73" s="91">
        <f>LITI_Q1_HALF17115[[#This Row],[3PT FGM]]/LITI_Q1_HALF17115[[#This Row],[3PT FGA]]</f>
        <v>0</v>
      </c>
      <c r="K73" s="229">
        <f>'3_NS_BMBs'!K15</f>
        <v>0</v>
      </c>
      <c r="L73" s="229">
        <f>'3_NS_BMBs'!L15</f>
        <v>0</v>
      </c>
      <c r="M73" s="99" t="e">
        <f>LITI_Q1_HALF17115[[#This Row],[FTM]]/LITI_Q1_HALF17115[[#This Row],[FTA]]</f>
        <v>#DIV/0!</v>
      </c>
      <c r="N73" s="19">
        <f>SUM(LITI_Q1_HALF17115[[#This Row],[2PT FGM]]*2,LITI_Q1_HALF17115[[#This Row],[3PT FGM]]*3,LITI_Q1_HALF17115[[#This Row],[FTM]])</f>
        <v>12</v>
      </c>
      <c r="O73" s="229">
        <f>'3_NS_BMBs'!O15</f>
        <v>0</v>
      </c>
      <c r="P73" s="229">
        <f>'3_NS_BMBs'!P15</f>
        <v>9</v>
      </c>
      <c r="Q73" s="229">
        <f>'3_NS_BMBs'!Q15</f>
        <v>0</v>
      </c>
      <c r="R73" s="19">
        <f>LITI_Q1_HALF17115[[#This Row],[Off. Boards]]+LITI_Q1_HALF17115[[#This Row],[Def. Boards]]</f>
        <v>9</v>
      </c>
      <c r="S73" s="229">
        <f>'3_NS_BMBs'!S15</f>
        <v>7</v>
      </c>
      <c r="T73" s="229">
        <f>'3_NS_BMBs'!T15</f>
        <v>2</v>
      </c>
      <c r="U73" s="229">
        <f>'3_NS_BMBs'!U15</f>
        <v>1</v>
      </c>
      <c r="V73" s="229">
        <f>'3_NS_BMBs'!V15</f>
        <v>0</v>
      </c>
      <c r="W73" s="92" t="e">
        <f>LITI_Q1_HALF17115[[#This Row],[Dimes]]/LITI_Q1_HALF17115[[#This Row],[Turnovers]]</f>
        <v>#DIV/0!</v>
      </c>
    </row>
    <row r="74" spans="1:23" x14ac:dyDescent="0.2">
      <c r="A74" t="s">
        <v>236</v>
      </c>
      <c r="B74" s="90">
        <f>LITI_Q1_HALF17115[[#This Row],[2PT FGM]]+LITI_Q1_HALF17115[[#This Row],[3PT FGM]]</f>
        <v>3</v>
      </c>
      <c r="C74" s="90">
        <f>LITI_Q1_HALF17115[[#This Row],[2PT FGA]]+LITI_Q1_HALF17115[[#This Row],[3PT FGA]]</f>
        <v>4</v>
      </c>
      <c r="D74" s="91">
        <f>LITI_Q1_HALF17115[[#This Row],[Total FGM]]/LITI_Q1_HALF17115[[#This Row],[Total FGA]]</f>
        <v>0.75</v>
      </c>
      <c r="E74" s="98">
        <f>'3_NS_BMBs'!E16</f>
        <v>3</v>
      </c>
      <c r="F74" s="229">
        <f>'3_NS_BMBs'!F16</f>
        <v>4</v>
      </c>
      <c r="G74" s="91">
        <f>LITI_Q1_HALF17115[[#This Row],[2PT FGM]]/LITI_Q1_HALF17115[[#This Row],[2PT FGA]]</f>
        <v>0.75</v>
      </c>
      <c r="H74" s="229">
        <f>'3_NS_BMBs'!H16</f>
        <v>0</v>
      </c>
      <c r="I74" s="229">
        <f>'3_NS_BMBs'!I16</f>
        <v>0</v>
      </c>
      <c r="J74" s="91" t="e">
        <f>LITI_Q1_HALF17115[[#This Row],[3PT FGM]]/LITI_Q1_HALF17115[[#This Row],[3PT FGA]]</f>
        <v>#DIV/0!</v>
      </c>
      <c r="K74" s="229">
        <f>'3_NS_BMBs'!K16</f>
        <v>0</v>
      </c>
      <c r="L74" s="229">
        <f>'3_NS_BMBs'!L16</f>
        <v>0</v>
      </c>
      <c r="M74" s="99" t="e">
        <f>LITI_Q1_HALF17115[[#This Row],[FTM]]/LITI_Q1_HALF17115[[#This Row],[FTA]]</f>
        <v>#DIV/0!</v>
      </c>
      <c r="N74" s="19">
        <f>SUM(LITI_Q1_HALF17115[[#This Row],[2PT FGM]]*2,LITI_Q1_HALF17115[[#This Row],[3PT FGM]]*3,LITI_Q1_HALF17115[[#This Row],[FTM]])</f>
        <v>6</v>
      </c>
      <c r="O74" s="229">
        <f>'3_NS_BMBs'!O16</f>
        <v>2</v>
      </c>
      <c r="P74" s="229">
        <f>'3_NS_BMBs'!P16</f>
        <v>4</v>
      </c>
      <c r="Q74" s="229">
        <f>'3_NS_BMBs'!Q16</f>
        <v>2</v>
      </c>
      <c r="R74" s="19">
        <f>LITI_Q1_HALF17115[[#This Row],[Off. Boards]]+LITI_Q1_HALF17115[[#This Row],[Def. Boards]]</f>
        <v>6</v>
      </c>
      <c r="S74" s="229">
        <f>'3_NS_BMBs'!S16</f>
        <v>2</v>
      </c>
      <c r="T74" s="229">
        <f>'3_NS_BMBs'!T16</f>
        <v>2</v>
      </c>
      <c r="U74" s="229">
        <f>'3_NS_BMBs'!U16</f>
        <v>0</v>
      </c>
      <c r="V74" s="229">
        <f>'3_NS_BMBs'!V16</f>
        <v>4</v>
      </c>
      <c r="W74" s="92">
        <f>LITI_Q1_HALF17115[[#This Row],[Dimes]]/LITI_Q1_HALF17115[[#This Row],[Turnovers]]</f>
        <v>0.5</v>
      </c>
    </row>
    <row r="75" spans="1:23" x14ac:dyDescent="0.2">
      <c r="A75" t="s">
        <v>237</v>
      </c>
      <c r="B75" s="90">
        <f>LITI_Q1_HALF17115[[#This Row],[2PT FGM]]+LITI_Q1_HALF17115[[#This Row],[3PT FGM]]</f>
        <v>3</v>
      </c>
      <c r="C75" s="90">
        <f>LITI_Q1_HALF17115[[#This Row],[2PT FGA]]+LITI_Q1_HALF17115[[#This Row],[3PT FGA]]</f>
        <v>7</v>
      </c>
      <c r="D75" s="91">
        <f>LITI_Q1_HALF17115[[#This Row],[Total FGM]]/LITI_Q1_HALF17115[[#This Row],[Total FGA]]</f>
        <v>0.42857142857142855</v>
      </c>
      <c r="E75" s="98">
        <f>'3_NS_BMBs'!E17</f>
        <v>1</v>
      </c>
      <c r="F75" s="229">
        <f>'3_NS_BMBs'!F17</f>
        <v>1</v>
      </c>
      <c r="G75" s="91">
        <f>LITI_Q1_HALF17115[[#This Row],[2PT FGM]]/LITI_Q1_HALF17115[[#This Row],[2PT FGA]]</f>
        <v>1</v>
      </c>
      <c r="H75" s="229">
        <f>'3_NS_BMBs'!H17</f>
        <v>2</v>
      </c>
      <c r="I75" s="229">
        <f>'3_NS_BMBs'!I17</f>
        <v>6</v>
      </c>
      <c r="J75" s="91">
        <f>LITI_Q1_HALF17115[[#This Row],[3PT FGM]]/LITI_Q1_HALF17115[[#This Row],[3PT FGA]]</f>
        <v>0.33333333333333331</v>
      </c>
      <c r="K75" s="229">
        <f>'3_NS_BMBs'!K17</f>
        <v>0</v>
      </c>
      <c r="L75" s="229">
        <f>'3_NS_BMBs'!L17</f>
        <v>0</v>
      </c>
      <c r="M75" s="99" t="e">
        <f>LITI_Q1_HALF17115[[#This Row],[FTM]]/LITI_Q1_HALF17115[[#This Row],[FTA]]</f>
        <v>#DIV/0!</v>
      </c>
      <c r="N75" s="19">
        <f>SUM(LITI_Q1_HALF17115[[#This Row],[2PT FGM]]*2,LITI_Q1_HALF17115[[#This Row],[3PT FGM]]*3,LITI_Q1_HALF17115[[#This Row],[FTM]])</f>
        <v>8</v>
      </c>
      <c r="O75" s="229">
        <f>'3_NS_BMBs'!O17</f>
        <v>0</v>
      </c>
      <c r="P75" s="229">
        <f>'3_NS_BMBs'!P17</f>
        <v>6</v>
      </c>
      <c r="Q75" s="229">
        <f>'3_NS_BMBs'!Q17</f>
        <v>0</v>
      </c>
      <c r="R75" s="19">
        <f>LITI_Q1_HALF17115[[#This Row],[Off. Boards]]+LITI_Q1_HALF17115[[#This Row],[Def. Boards]]</f>
        <v>6</v>
      </c>
      <c r="S75" s="229">
        <f>'3_NS_BMBs'!S17</f>
        <v>5</v>
      </c>
      <c r="T75" s="229">
        <f>'3_NS_BMBs'!T17</f>
        <v>0</v>
      </c>
      <c r="U75" s="229">
        <f>'3_NS_BMBs'!U17</f>
        <v>1</v>
      </c>
      <c r="V75" s="229">
        <f>'3_NS_BMBs'!V17</f>
        <v>1</v>
      </c>
      <c r="W75" s="92">
        <f>LITI_Q1_HALF17115[[#This Row],[Dimes]]/LITI_Q1_HALF17115[[#This Row],[Turnovers]]</f>
        <v>5</v>
      </c>
    </row>
    <row r="76" spans="1:23" x14ac:dyDescent="0.2">
      <c r="A76" t="s">
        <v>193</v>
      </c>
      <c r="B76" s="90">
        <f>LITI_Q1_HALF17115[[#This Row],[2PT FGM]]+LITI_Q1_HALF17115[[#This Row],[3PT FGM]]</f>
        <v>9</v>
      </c>
      <c r="C76" s="90">
        <f>LITI_Q1_HALF17115[[#This Row],[2PT FGA]]+LITI_Q1_HALF17115[[#This Row],[3PT FGA]]</f>
        <v>14</v>
      </c>
      <c r="D76" s="91">
        <f>LITI_Q1_HALF17115[[#This Row],[Total FGM]]/LITI_Q1_HALF17115[[#This Row],[Total FGA]]</f>
        <v>0.6428571428571429</v>
      </c>
      <c r="E76" s="98">
        <f>'3_NS_BMBs'!E18</f>
        <v>5</v>
      </c>
      <c r="F76" s="229">
        <f>'3_NS_BMBs'!F18</f>
        <v>5</v>
      </c>
      <c r="G76" s="91">
        <f>LITI_Q1_HALF17115[[#This Row],[2PT FGM]]/LITI_Q1_HALF17115[[#This Row],[2PT FGA]]</f>
        <v>1</v>
      </c>
      <c r="H76" s="229">
        <f>'3_NS_BMBs'!H18</f>
        <v>4</v>
      </c>
      <c r="I76" s="229">
        <f>'3_NS_BMBs'!I18</f>
        <v>9</v>
      </c>
      <c r="J76" s="91">
        <f>LITI_Q1_HALF17115[[#This Row],[3PT FGM]]/LITI_Q1_HALF17115[[#This Row],[3PT FGA]]</f>
        <v>0.44444444444444442</v>
      </c>
      <c r="K76" s="229">
        <f>'3_NS_BMBs'!K18</f>
        <v>0</v>
      </c>
      <c r="L76" s="229">
        <f>'3_NS_BMBs'!L18</f>
        <v>0</v>
      </c>
      <c r="M76" s="99" t="e">
        <f>LITI_Q1_HALF17115[[#This Row],[FTM]]/LITI_Q1_HALF17115[[#This Row],[FTA]]</f>
        <v>#DIV/0!</v>
      </c>
      <c r="N76" s="19">
        <f>SUM(LITI_Q1_HALF17115[[#This Row],[2PT FGM]]*2,LITI_Q1_HALF17115[[#This Row],[3PT FGM]]*3,LITI_Q1_HALF17115[[#This Row],[FTM]])</f>
        <v>22</v>
      </c>
      <c r="O76" s="229">
        <f>'3_NS_BMBs'!O18</f>
        <v>0</v>
      </c>
      <c r="P76" s="229">
        <f>'3_NS_BMBs'!P18</f>
        <v>2</v>
      </c>
      <c r="Q76" s="229">
        <f>'3_NS_BMBs'!Q18</f>
        <v>0</v>
      </c>
      <c r="R76" s="19">
        <f>LITI_Q1_HALF17115[[#This Row],[Off. Boards]]+LITI_Q1_HALF17115[[#This Row],[Def. Boards]]</f>
        <v>2</v>
      </c>
      <c r="S76" s="229">
        <f>'3_NS_BMBs'!S18</f>
        <v>2</v>
      </c>
      <c r="T76" s="229">
        <f>'3_NS_BMBs'!T18</f>
        <v>0</v>
      </c>
      <c r="U76" s="229">
        <f>'3_NS_BMBs'!U18</f>
        <v>1</v>
      </c>
      <c r="V76" s="229">
        <f>'3_NS_BMBs'!V18</f>
        <v>1</v>
      </c>
      <c r="W76" s="92">
        <f>LITI_Q1_HALF17115[[#This Row],[Dimes]]/LITI_Q1_HALF17115[[#This Row],[Turnovers]]</f>
        <v>2</v>
      </c>
    </row>
    <row r="77" spans="1:23" hidden="1" x14ac:dyDescent="0.2">
      <c r="B77" s="90">
        <f>LITI_Q1_HALF17115[[#This Row],[2PT FGM]]+LITI_Q1_HALF17115[[#This Row],[3PT FGM]]</f>
        <v>0</v>
      </c>
      <c r="C77" s="90">
        <f>LITI_Q1_HALF17115[[#This Row],[2PT FGA]]+LITI_Q1_HALF17115[[#This Row],[3PT FGA]]</f>
        <v>0</v>
      </c>
      <c r="D77" s="91" t="e">
        <f>LITI_Q1_HALF17115[[#This Row],[Total FGM]]/LITI_Q1_HALF17115[[#This Row],[Total FGA]]</f>
        <v>#DIV/0!</v>
      </c>
      <c r="E77" s="98"/>
      <c r="F77" s="19"/>
      <c r="G77" s="91" t="e">
        <f>LITI_Q1_HALF17115[[#This Row],[2PT FGM]]/LITI_Q1_HALF17115[[#This Row],[2PT FGA]]</f>
        <v>#DIV/0!</v>
      </c>
      <c r="H77" s="19"/>
      <c r="I77" s="19"/>
      <c r="J77" s="91" t="e">
        <f>LITI_Q1_HALF17115[[#This Row],[3PT FGM]]/LITI_Q1_HALF17115[[#This Row],[3PT FGA]]</f>
        <v>#DIV/0!</v>
      </c>
      <c r="K77" s="19"/>
      <c r="L77" s="19"/>
      <c r="M77" s="99" t="e">
        <f>LITI_Q1_HALF17115[[#This Row],[FTM]]/LITI_Q1_HALF17115[[#This Row],[FTA]]</f>
        <v>#DIV/0!</v>
      </c>
      <c r="N77" s="19">
        <f>SUM(LITI_Q1_HALF17115[[#This Row],[2PT FGM]]*2,LITI_Q1_HALF17115[[#This Row],[3PT FGM]]*3,LITI_Q1_HALF17115[[#This Row],[FTM]])</f>
        <v>0</v>
      </c>
      <c r="O77" s="19"/>
      <c r="P77" s="19"/>
      <c r="Q77" s="19"/>
      <c r="R77" s="19">
        <f>LITI_Q1_HALF17115[[#This Row],[Off. Boards]]+LITI_Q1_HALF17115[[#This Row],[Def. Boards]]</f>
        <v>0</v>
      </c>
      <c r="S77" s="19"/>
      <c r="T77" s="19"/>
      <c r="U77" s="19"/>
      <c r="V77" s="19"/>
      <c r="W77" s="92" t="e">
        <f>LITI_Q1_HALF17115[[#This Row],[Dimes]]/LITI_Q1_HALF17115[[#This Row],[Turnovers]]</f>
        <v>#DIV/0!</v>
      </c>
    </row>
    <row r="78" spans="1:23" ht="16" thickBot="1" x14ac:dyDescent="0.25">
      <c r="A78" s="82" t="s">
        <v>76</v>
      </c>
      <c r="B78" s="100">
        <f>SUM(B73:B77)</f>
        <v>21</v>
      </c>
      <c r="C78" s="100">
        <f>SUM(C73:C77)</f>
        <v>37</v>
      </c>
      <c r="D78" s="101">
        <f>LITI_Q1_HALF17115[[#This Row],[Total FGM]]/LITI_Q1_HALF17115[[#This Row],[Total FGA]]</f>
        <v>0.56756756756756754</v>
      </c>
      <c r="E78" s="102">
        <f>SUM(E73:E77)</f>
        <v>15</v>
      </c>
      <c r="F78" s="103">
        <f>SUM(F73:F77)</f>
        <v>19</v>
      </c>
      <c r="G78" s="108">
        <f>LITI_Q1_HALF17115[[#This Row],[2PT FGM]]/LITI_Q1_HALF17115[[#This Row],[2PT FGA]]</f>
        <v>0.78947368421052633</v>
      </c>
      <c r="H78" s="103">
        <f>SUM(H73:H77)</f>
        <v>6</v>
      </c>
      <c r="I78" s="103">
        <f>SUM(I73:I77)</f>
        <v>18</v>
      </c>
      <c r="J78" s="104">
        <f>LITI_Q1_HALF17115[[#This Row],[3PT FGM]]/LITI_Q1_HALF17115[[#This Row],[3PT FGA]]</f>
        <v>0.33333333333333331</v>
      </c>
      <c r="K78" s="103">
        <f>SUM(K73:K77)</f>
        <v>0</v>
      </c>
      <c r="L78" s="103">
        <f>SUM(L73:L77)</f>
        <v>0</v>
      </c>
      <c r="M78" s="105" t="e">
        <f>LITI_Q1_HALF17115[[#This Row],[FTM]]/LITI_Q1_HALF17115[[#This Row],[FTA]]</f>
        <v>#DIV/0!</v>
      </c>
      <c r="N78" s="62">
        <f>SUM(LITI_Q1_HALF17115[[#This Row],[2PT FGM]]*2,LITI_Q1_HALF17115[[#This Row],[3PT FGM]]*3,LITI_Q1_HALF17115[[#This Row],[FTM]])</f>
        <v>48</v>
      </c>
      <c r="O78" s="106">
        <f>SUM(O73:O77)</f>
        <v>2</v>
      </c>
      <c r="P78" s="106">
        <f t="shared" ref="P78:V78" si="19">SUM(P73:P77)</f>
        <v>21</v>
      </c>
      <c r="Q78" s="106">
        <f t="shared" si="19"/>
        <v>2</v>
      </c>
      <c r="R78" s="106">
        <f t="shared" si="19"/>
        <v>23</v>
      </c>
      <c r="S78" s="106">
        <f t="shared" si="19"/>
        <v>16</v>
      </c>
      <c r="T78" s="106">
        <f t="shared" si="19"/>
        <v>4</v>
      </c>
      <c r="U78" s="106">
        <f t="shared" si="19"/>
        <v>3</v>
      </c>
      <c r="V78" s="106">
        <f t="shared" si="19"/>
        <v>6</v>
      </c>
      <c r="W78" s="107">
        <f>LITI_Q1_HALF17115[[#This Row],[Dimes]]/LITI_Q1_HALF17115[[#This Row],[Turnovers]]</f>
        <v>2.6666666666666665</v>
      </c>
    </row>
    <row r="80" spans="1:23" ht="16" thickBot="1" x14ac:dyDescent="0.25">
      <c r="A80" s="13" t="s">
        <v>185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</row>
    <row r="81" spans="1:23" ht="16" x14ac:dyDescent="0.2">
      <c r="A81" s="166" t="s">
        <v>208</v>
      </c>
      <c r="B81" s="11" t="s">
        <v>0</v>
      </c>
      <c r="C81" s="11" t="s">
        <v>1</v>
      </c>
      <c r="D81" s="11" t="s">
        <v>2</v>
      </c>
      <c r="E81" s="95" t="s">
        <v>3</v>
      </c>
      <c r="F81" s="96" t="s">
        <v>4</v>
      </c>
      <c r="G81" s="96" t="s">
        <v>5</v>
      </c>
      <c r="H81" s="96" t="s">
        <v>6</v>
      </c>
      <c r="I81" s="96" t="s">
        <v>7</v>
      </c>
      <c r="J81" s="96" t="s">
        <v>8</v>
      </c>
      <c r="K81" s="96" t="s">
        <v>9</v>
      </c>
      <c r="L81" s="96" t="s">
        <v>10</v>
      </c>
      <c r="M81" s="97" t="s">
        <v>11</v>
      </c>
      <c r="N81" s="11" t="s">
        <v>12</v>
      </c>
      <c r="O81" s="10" t="s">
        <v>13</v>
      </c>
      <c r="P81" s="11" t="s">
        <v>14</v>
      </c>
      <c r="Q81" s="11" t="s">
        <v>15</v>
      </c>
      <c r="R81" s="11" t="s">
        <v>16</v>
      </c>
      <c r="S81" s="10" t="s">
        <v>17</v>
      </c>
      <c r="T81" s="10" t="s">
        <v>18</v>
      </c>
      <c r="U81" s="10" t="s">
        <v>19</v>
      </c>
      <c r="V81" s="10" t="s">
        <v>20</v>
      </c>
      <c r="W81" s="10" t="s">
        <v>21</v>
      </c>
    </row>
    <row r="82" spans="1:23" x14ac:dyDescent="0.2">
      <c r="A82" s="13" t="s">
        <v>195</v>
      </c>
      <c r="B82" s="90">
        <f>GN_Q1_HALF17216[[#This Row],[2PT FGM]]+GN_Q1_HALF17216[[#This Row],[3PT FGM]]</f>
        <v>7</v>
      </c>
      <c r="C82" s="90">
        <f>GN_Q1_HALF17216[[#This Row],[2PT FGA]]+GN_Q1_HALF17216[[#This Row],[3PT FGA]]</f>
        <v>12</v>
      </c>
      <c r="D82" s="91">
        <f>GN_Q1_HALF17216[[#This Row],[Total FGM]]/GN_Q1_HALF17216[[#This Row],[Total FGA]]</f>
        <v>0.58333333333333337</v>
      </c>
      <c r="E82" s="98">
        <f>'3_NS_BMBs'!E6</f>
        <v>1</v>
      </c>
      <c r="F82" s="19">
        <f>'3_NS_BMBs'!F6</f>
        <v>2</v>
      </c>
      <c r="G82" s="91">
        <f>GN_Q1_HALF17216[[#This Row],[2PT FGM]]/GN_Q1_HALF17216[[#This Row],[2PT FGA]]</f>
        <v>0.5</v>
      </c>
      <c r="H82" s="19">
        <f>'3_NS_BMBs'!H6</f>
        <v>6</v>
      </c>
      <c r="I82" s="19">
        <f>'3_NS_BMBs'!I6</f>
        <v>10</v>
      </c>
      <c r="J82" s="91">
        <f>GN_Q1_HALF17216[[#This Row],[3PT FGM]]/GN_Q1_HALF17216[[#This Row],[3PT FGA]]</f>
        <v>0.6</v>
      </c>
      <c r="K82" s="19">
        <f>'3_NS_BMBs'!K6</f>
        <v>0</v>
      </c>
      <c r="L82" s="19">
        <f>'3_NS_BMBs'!L6</f>
        <v>0</v>
      </c>
      <c r="M82" s="99" t="e">
        <f>GN_Q1_HALF17216[[#This Row],[FTM]]/GN_Q1_HALF17216[[#This Row],[FTA]]</f>
        <v>#DIV/0!</v>
      </c>
      <c r="N82" s="19">
        <f>SUM(GN_Q1_HALF17216[[#This Row],[2PT FGM]]*2,GN_Q1_HALF17216[[#This Row],[3PT FGM]]*3,GN_Q1_HALF17216[[#This Row],[FTM]])</f>
        <v>20</v>
      </c>
      <c r="O82" s="19">
        <f>'3_NS_BMBs'!O6</f>
        <v>1</v>
      </c>
      <c r="P82" s="19">
        <f>'3_NS_BMBs'!P6</f>
        <v>3</v>
      </c>
      <c r="Q82" s="19">
        <f>'3_NS_BMBs'!Q6</f>
        <v>1</v>
      </c>
      <c r="R82" s="19">
        <f>GN_Q1_HALF17216[[#This Row],[Off. Boards]]+GN_Q1_HALF17216[[#This Row],[Def. Boards]]</f>
        <v>4</v>
      </c>
      <c r="S82" s="19">
        <f>'3_NS_BMBs'!S6</f>
        <v>1</v>
      </c>
      <c r="T82" s="19">
        <f>'3_NS_BMBs'!T6</f>
        <v>1</v>
      </c>
      <c r="U82" s="19">
        <f>'3_NS_BMBs'!U6</f>
        <v>0</v>
      </c>
      <c r="V82" s="19">
        <f>'3_NS_BMBs'!V6</f>
        <v>1</v>
      </c>
      <c r="W82" s="92">
        <f>GN_Q1_HALF17216[[#This Row],[Dimes]]/GN_Q1_HALF17216[[#This Row],[Turnovers]]</f>
        <v>1</v>
      </c>
    </row>
    <row r="83" spans="1:23" x14ac:dyDescent="0.2">
      <c r="A83" s="13" t="s">
        <v>238</v>
      </c>
      <c r="B83" s="90">
        <f>GN_Q1_HALF17216[[#This Row],[2PT FGM]]+GN_Q1_HALF17216[[#This Row],[3PT FGM]]</f>
        <v>2</v>
      </c>
      <c r="C83" s="90">
        <f>GN_Q1_HALF17216[[#This Row],[2PT FGA]]+GN_Q1_HALF17216[[#This Row],[3PT FGA]]</f>
        <v>6</v>
      </c>
      <c r="D83" s="91">
        <f>GN_Q1_HALF17216[[#This Row],[Total FGM]]/GN_Q1_HALF17216[[#This Row],[Total FGA]]</f>
        <v>0.33333333333333331</v>
      </c>
      <c r="E83" s="98">
        <f>'3_NS_BMBs'!E7</f>
        <v>2</v>
      </c>
      <c r="F83" s="19">
        <f>'3_NS_BMBs'!F7</f>
        <v>3</v>
      </c>
      <c r="G83" s="91">
        <f>GN_Q1_HALF17216[[#This Row],[2PT FGM]]/GN_Q1_HALF17216[[#This Row],[2PT FGA]]</f>
        <v>0.66666666666666663</v>
      </c>
      <c r="H83" s="19">
        <f>'3_NS_BMBs'!H7</f>
        <v>0</v>
      </c>
      <c r="I83" s="19">
        <f>'3_NS_BMBs'!I7</f>
        <v>3</v>
      </c>
      <c r="J83" s="91">
        <f>GN_Q1_HALF17216[[#This Row],[3PT FGM]]/GN_Q1_HALF17216[[#This Row],[3PT FGA]]</f>
        <v>0</v>
      </c>
      <c r="K83" s="19">
        <f>'3_NS_BMBs'!K7</f>
        <v>0</v>
      </c>
      <c r="L83" s="19">
        <f>'3_NS_BMBs'!L7</f>
        <v>0</v>
      </c>
      <c r="M83" s="99" t="e">
        <f>GN_Q1_HALF17216[[#This Row],[FTM]]/GN_Q1_HALF17216[[#This Row],[FTA]]</f>
        <v>#DIV/0!</v>
      </c>
      <c r="N83" s="19">
        <f>SUM(GN_Q1_HALF17216[[#This Row],[2PT FGM]]*2,GN_Q1_HALF17216[[#This Row],[3PT FGM]]*3,GN_Q1_HALF17216[[#This Row],[FTM]])</f>
        <v>4</v>
      </c>
      <c r="O83" s="19">
        <f>'3_NS_BMBs'!O7</f>
        <v>1</v>
      </c>
      <c r="P83" s="19">
        <f>'3_NS_BMBs'!P7</f>
        <v>2</v>
      </c>
      <c r="Q83" s="19">
        <f>'3_NS_BMBs'!Q7</f>
        <v>3</v>
      </c>
      <c r="R83" s="19">
        <f>GN_Q1_HALF17216[[#This Row],[Off. Boards]]+GN_Q1_HALF17216[[#This Row],[Def. Boards]]</f>
        <v>5</v>
      </c>
      <c r="S83" s="19">
        <f>'3_NS_BMBs'!S7</f>
        <v>1</v>
      </c>
      <c r="T83" s="19">
        <f>'3_NS_BMBs'!T7</f>
        <v>2</v>
      </c>
      <c r="U83" s="19">
        <f>'3_NS_BMBs'!U7</f>
        <v>1</v>
      </c>
      <c r="V83" s="19">
        <f>'3_NS_BMBs'!V7</f>
        <v>0</v>
      </c>
      <c r="W83" s="92" t="e">
        <f>GN_Q1_HALF17216[[#This Row],[Dimes]]/GN_Q1_HALF17216[[#This Row],[Turnovers]]</f>
        <v>#DIV/0!</v>
      </c>
    </row>
    <row r="84" spans="1:23" x14ac:dyDescent="0.2">
      <c r="A84" s="13" t="s">
        <v>239</v>
      </c>
      <c r="B84" s="90">
        <f>GN_Q1_HALF17216[[#This Row],[2PT FGM]]+GN_Q1_HALF17216[[#This Row],[3PT FGM]]</f>
        <v>2</v>
      </c>
      <c r="C84" s="90">
        <f>GN_Q1_HALF17216[[#This Row],[2PT FGA]]+GN_Q1_HALF17216[[#This Row],[3PT FGA]]</f>
        <v>14</v>
      </c>
      <c r="D84" s="91">
        <f>GN_Q1_HALF17216[[#This Row],[Total FGM]]/GN_Q1_HALF17216[[#This Row],[Total FGA]]</f>
        <v>0.14285714285714285</v>
      </c>
      <c r="E84" s="98">
        <f>'3_NS_BMBs'!E8</f>
        <v>2</v>
      </c>
      <c r="F84" s="19">
        <f>'3_NS_BMBs'!F8</f>
        <v>9</v>
      </c>
      <c r="G84" s="91">
        <f>GN_Q1_HALF17216[[#This Row],[2PT FGM]]/GN_Q1_HALF17216[[#This Row],[2PT FGA]]</f>
        <v>0.22222222222222221</v>
      </c>
      <c r="H84" s="19">
        <f>'3_NS_BMBs'!H8</f>
        <v>0</v>
      </c>
      <c r="I84" s="19">
        <f>'3_NS_BMBs'!I8</f>
        <v>5</v>
      </c>
      <c r="J84" s="91">
        <f>GN_Q1_HALF17216[[#This Row],[3PT FGM]]/GN_Q1_HALF17216[[#This Row],[3PT FGA]]</f>
        <v>0</v>
      </c>
      <c r="K84" s="19">
        <f>'3_NS_BMBs'!K8</f>
        <v>0</v>
      </c>
      <c r="L84" s="19">
        <f>'3_NS_BMBs'!L8</f>
        <v>0</v>
      </c>
      <c r="M84" s="99" t="e">
        <f>GN_Q1_HALF17216[[#This Row],[FTM]]/GN_Q1_HALF17216[[#This Row],[FTA]]</f>
        <v>#DIV/0!</v>
      </c>
      <c r="N84" s="19">
        <f>SUM(GN_Q1_HALF17216[[#This Row],[2PT FGM]]*2,GN_Q1_HALF17216[[#This Row],[3PT FGM]]*3,GN_Q1_HALF17216[[#This Row],[FTM]])</f>
        <v>4</v>
      </c>
      <c r="O84" s="19">
        <f>'3_NS_BMBs'!O8</f>
        <v>0</v>
      </c>
      <c r="P84" s="19">
        <f>'3_NS_BMBs'!P8</f>
        <v>5</v>
      </c>
      <c r="Q84" s="19">
        <f>'3_NS_BMBs'!Q8</f>
        <v>2</v>
      </c>
      <c r="R84" s="19">
        <f>GN_Q1_HALF17216[[#This Row],[Off. Boards]]+GN_Q1_HALF17216[[#This Row],[Def. Boards]]</f>
        <v>7</v>
      </c>
      <c r="S84" s="19">
        <f>'3_NS_BMBs'!S8</f>
        <v>5</v>
      </c>
      <c r="T84" s="19">
        <f>'3_NS_BMBs'!T8</f>
        <v>2</v>
      </c>
      <c r="U84" s="19">
        <f>'3_NS_BMBs'!U8</f>
        <v>0</v>
      </c>
      <c r="V84" s="19">
        <f>'3_NS_BMBs'!V8</f>
        <v>4</v>
      </c>
      <c r="W84" s="92">
        <f>GN_Q1_HALF17216[[#This Row],[Dimes]]/GN_Q1_HALF17216[[#This Row],[Turnovers]]</f>
        <v>1.25</v>
      </c>
    </row>
    <row r="85" spans="1:23" x14ac:dyDescent="0.2">
      <c r="A85" s="13" t="s">
        <v>194</v>
      </c>
      <c r="B85" s="90">
        <f>GN_Q1_HALF17216[[#This Row],[2PT FGM]]+GN_Q1_HALF17216[[#This Row],[3PT FGM]]</f>
        <v>0</v>
      </c>
      <c r="C85" s="90">
        <f>GN_Q1_HALF17216[[#This Row],[2PT FGA]]+GN_Q1_HALF17216[[#This Row],[3PT FGA]]</f>
        <v>4</v>
      </c>
      <c r="D85" s="91">
        <f>GN_Q1_HALF17216[[#This Row],[Total FGM]]/GN_Q1_HALF17216[[#This Row],[Total FGA]]</f>
        <v>0</v>
      </c>
      <c r="E85" s="98">
        <f>'3_NS_BMBs'!E9</f>
        <v>0</v>
      </c>
      <c r="F85" s="19">
        <f>'3_NS_BMBs'!F9</f>
        <v>2</v>
      </c>
      <c r="G85" s="91">
        <f>GN_Q1_HALF17216[[#This Row],[2PT FGM]]/GN_Q1_HALF17216[[#This Row],[2PT FGA]]</f>
        <v>0</v>
      </c>
      <c r="H85" s="19">
        <f>'3_NS_BMBs'!H9</f>
        <v>0</v>
      </c>
      <c r="I85" s="19">
        <f>'3_NS_BMBs'!I9</f>
        <v>2</v>
      </c>
      <c r="J85" s="91">
        <f>GN_Q1_HALF17216[[#This Row],[3PT FGM]]/GN_Q1_HALF17216[[#This Row],[3PT FGA]]</f>
        <v>0</v>
      </c>
      <c r="K85" s="19">
        <f>'3_NS_BMBs'!K9</f>
        <v>0</v>
      </c>
      <c r="L85" s="19">
        <f>'3_NS_BMBs'!L9</f>
        <v>0</v>
      </c>
      <c r="M85" s="99" t="e">
        <f>GN_Q1_HALF17216[[#This Row],[FTM]]/GN_Q1_HALF17216[[#This Row],[FTA]]</f>
        <v>#DIV/0!</v>
      </c>
      <c r="N85" s="19">
        <f>SUM(GN_Q1_HALF17216[[#This Row],[2PT FGM]]*2,GN_Q1_HALF17216[[#This Row],[3PT FGM]]*3,GN_Q1_HALF17216[[#This Row],[FTM]])</f>
        <v>0</v>
      </c>
      <c r="O85" s="19">
        <f>'3_NS_BMBs'!O9</f>
        <v>0</v>
      </c>
      <c r="P85" s="19">
        <f>'3_NS_BMBs'!P9</f>
        <v>0</v>
      </c>
      <c r="Q85" s="19">
        <f>'3_NS_BMBs'!Q9</f>
        <v>0</v>
      </c>
      <c r="R85" s="19">
        <f>GN_Q1_HALF17216[[#This Row],[Off. Boards]]+GN_Q1_HALF17216[[#This Row],[Def. Boards]]</f>
        <v>0</v>
      </c>
      <c r="S85" s="19">
        <f>'3_NS_BMBs'!S9</f>
        <v>0</v>
      </c>
      <c r="T85" s="19">
        <f>'3_NS_BMBs'!T9</f>
        <v>0</v>
      </c>
      <c r="U85" s="19">
        <f>'3_NS_BMBs'!U9</f>
        <v>0</v>
      </c>
      <c r="V85" s="19">
        <f>'3_NS_BMBs'!V9</f>
        <v>1</v>
      </c>
      <c r="W85" s="92">
        <f>GN_Q1_HALF17216[[#This Row],[Dimes]]/GN_Q1_HALF17216[[#This Row],[Turnovers]]</f>
        <v>0</v>
      </c>
    </row>
    <row r="86" spans="1:23" x14ac:dyDescent="0.2">
      <c r="A86" s="13" t="s">
        <v>196</v>
      </c>
      <c r="B86" s="90">
        <f>GN_Q1_HALF17216[[#This Row],[2PT FGM]]+GN_Q1_HALF17216[[#This Row],[3PT FGM]]</f>
        <v>2</v>
      </c>
      <c r="C86" s="90">
        <f>GN_Q1_HALF17216[[#This Row],[2PT FGA]]+GN_Q1_HALF17216[[#This Row],[3PT FGA]]</f>
        <v>6</v>
      </c>
      <c r="D86" s="91">
        <f>GN_Q1_HALF17216[[#This Row],[Total FGM]]/GN_Q1_HALF17216[[#This Row],[Total FGA]]</f>
        <v>0.33333333333333331</v>
      </c>
      <c r="E86" s="98">
        <f>'3_NS_BMBs'!E10</f>
        <v>0</v>
      </c>
      <c r="F86" s="19">
        <f>'3_NS_BMBs'!F10</f>
        <v>3</v>
      </c>
      <c r="G86" s="91">
        <f>GN_Q1_HALF17216[[#This Row],[2PT FGM]]/GN_Q1_HALF17216[[#This Row],[2PT FGA]]</f>
        <v>0</v>
      </c>
      <c r="H86" s="19">
        <f>'3_NS_BMBs'!H10</f>
        <v>2</v>
      </c>
      <c r="I86" s="19">
        <f>'3_NS_BMBs'!I10</f>
        <v>3</v>
      </c>
      <c r="J86" s="91">
        <f>GN_Q1_HALF17216[[#This Row],[3PT FGM]]/GN_Q1_HALF17216[[#This Row],[3PT FGA]]</f>
        <v>0.66666666666666663</v>
      </c>
      <c r="K86" s="19">
        <f>'3_NS_BMBs'!K10</f>
        <v>0</v>
      </c>
      <c r="L86" s="19">
        <f>'3_NS_BMBs'!L10</f>
        <v>0</v>
      </c>
      <c r="M86" s="99" t="e">
        <f>GN_Q1_HALF17216[[#This Row],[FTM]]/GN_Q1_HALF17216[[#This Row],[FTA]]</f>
        <v>#DIV/0!</v>
      </c>
      <c r="N86" s="19">
        <f>SUM(GN_Q1_HALF17216[[#This Row],[2PT FGM]]*2,GN_Q1_HALF17216[[#This Row],[3PT FGM]]*3,GN_Q1_HALF17216[[#This Row],[FTM]])</f>
        <v>6</v>
      </c>
      <c r="O86" s="19">
        <f>'3_NS_BMBs'!O10</f>
        <v>0</v>
      </c>
      <c r="P86" s="19">
        <f>'3_NS_BMBs'!P10</f>
        <v>1</v>
      </c>
      <c r="Q86" s="19">
        <f>'3_NS_BMBs'!Q10</f>
        <v>0</v>
      </c>
      <c r="R86" s="19">
        <f>GN_Q1_HALF17216[[#This Row],[Off. Boards]]+GN_Q1_HALF17216[[#This Row],[Def. Boards]]</f>
        <v>1</v>
      </c>
      <c r="S86" s="19">
        <f>'3_NS_BMBs'!S10</f>
        <v>0</v>
      </c>
      <c r="T86" s="19">
        <f>'3_NS_BMBs'!T10</f>
        <v>0</v>
      </c>
      <c r="U86" s="19">
        <f>'3_NS_BMBs'!U10</f>
        <v>0</v>
      </c>
      <c r="V86" s="19">
        <f>'3_NS_BMBs'!V10</f>
        <v>0</v>
      </c>
      <c r="W86" s="92" t="e">
        <f>GN_Q1_HALF17216[[#This Row],[Dimes]]/GN_Q1_HALF17216[[#This Row],[Turnovers]]</f>
        <v>#DIV/0!</v>
      </c>
    </row>
    <row r="87" spans="1:23" ht="16" thickBot="1" x14ac:dyDescent="0.25">
      <c r="A87" s="82" t="s">
        <v>76</v>
      </c>
      <c r="B87" s="100">
        <f>SUM(B82:B86)</f>
        <v>13</v>
      </c>
      <c r="C87" s="100">
        <f>SUM(C82:C86)</f>
        <v>42</v>
      </c>
      <c r="D87" s="101">
        <f>GN_Q1_HALF17216[[#This Row],[Total FGM]]/GN_Q1_HALF17216[[#This Row],[Total FGA]]</f>
        <v>0.30952380952380953</v>
      </c>
      <c r="E87" s="102">
        <f>SUM(E82:E86)</f>
        <v>5</v>
      </c>
      <c r="F87" s="103">
        <f>SUM(F82:F86)</f>
        <v>19</v>
      </c>
      <c r="G87" s="104">
        <f>GN_Q1_HALF17216[[#This Row],[2PT FGM]]/GN_Q1_HALF17216[[#This Row],[2PT FGA]]</f>
        <v>0.26315789473684209</v>
      </c>
      <c r="H87" s="103">
        <f>SUM(H82:H86)</f>
        <v>8</v>
      </c>
      <c r="I87" s="103">
        <f>SUM(I82:I86)</f>
        <v>23</v>
      </c>
      <c r="J87" s="109">
        <f>GN_Q1_HALF17216[[#This Row],[3PT FGM]]/GN_Q1_HALF17216[[#This Row],[3PT FGA]]</f>
        <v>0.34782608695652173</v>
      </c>
      <c r="K87" s="103">
        <f>SUM(K82:K86)</f>
        <v>0</v>
      </c>
      <c r="L87" s="103">
        <f>SUM(L82:L86)</f>
        <v>0</v>
      </c>
      <c r="M87" s="105" t="e">
        <f>GN_Q1_HALF17216[[#This Row],[FTM]]/GN_Q1_HALF17216[[#This Row],[FTA]]</f>
        <v>#DIV/0!</v>
      </c>
      <c r="N87" s="62">
        <f>SUM(GN_Q1_HALF17216[[#This Row],[2PT FGM]]*2,GN_Q1_HALF17216[[#This Row],[3PT FGM]]*3,GN_Q1_HALF17216[[#This Row],[FTM]])</f>
        <v>34</v>
      </c>
      <c r="O87" s="100">
        <f>SUM(O82:O86)</f>
        <v>2</v>
      </c>
      <c r="P87" s="100">
        <f>SUM(P82:P86)</f>
        <v>11</v>
      </c>
      <c r="Q87" s="100">
        <f>SUM(Q82:Q86)</f>
        <v>6</v>
      </c>
      <c r="R87" s="106">
        <f>GN_Q1_HALF17216[[#This Row],[Def. Boards]]+GN_Q1_HALF17216[[#This Row],[Off. Boards]]</f>
        <v>17</v>
      </c>
      <c r="S87" s="100">
        <f>SUM(S82:S86)</f>
        <v>7</v>
      </c>
      <c r="T87" s="100">
        <f>SUM(T82:T86)</f>
        <v>5</v>
      </c>
      <c r="U87" s="100">
        <f>SUM(U82:U86)</f>
        <v>1</v>
      </c>
      <c r="V87" s="100">
        <f>SUM(V82:V86)</f>
        <v>6</v>
      </c>
      <c r="W87" s="107">
        <f>GN_Q1_HALF17216[[#This Row],[Dimes]]/GN_Q1_HALF17216[[#This Row],[Turnovers]]</f>
        <v>1.1666666666666667</v>
      </c>
    </row>
    <row r="89" spans="1:23" x14ac:dyDescent="0.2">
      <c r="B89" s="159"/>
      <c r="C89" s="86" t="s">
        <v>68</v>
      </c>
      <c r="D89" s="86" t="s">
        <v>134</v>
      </c>
      <c r="E89" s="86" t="s">
        <v>74</v>
      </c>
    </row>
    <row r="90" spans="1:23" ht="19" x14ac:dyDescent="0.2">
      <c r="A90" s="84" t="s">
        <v>66</v>
      </c>
      <c r="B90" s="85" t="s">
        <v>240</v>
      </c>
      <c r="C90" s="85" t="s">
        <v>209</v>
      </c>
      <c r="D90" s="85" t="s">
        <v>137</v>
      </c>
      <c r="E90" s="292" t="s">
        <v>208</v>
      </c>
      <c r="F90" s="292"/>
    </row>
    <row r="91" spans="1:23" ht="24" x14ac:dyDescent="0.2">
      <c r="A91" s="84"/>
      <c r="B91" s="85" t="s">
        <v>151</v>
      </c>
      <c r="C91" s="85">
        <f>N99</f>
        <v>50</v>
      </c>
      <c r="D91" s="85"/>
      <c r="E91" s="85">
        <f>N108</f>
        <v>41</v>
      </c>
      <c r="H91" s="23"/>
    </row>
    <row r="92" spans="1:23" ht="16" thickBot="1" x14ac:dyDescent="0.25">
      <c r="A92" s="59" t="s">
        <v>240</v>
      </c>
    </row>
    <row r="93" spans="1:23" ht="16" x14ac:dyDescent="0.2">
      <c r="A93" s="166" t="s">
        <v>209</v>
      </c>
      <c r="B93" s="11" t="s">
        <v>0</v>
      </c>
      <c r="C93" s="11" t="s">
        <v>1</v>
      </c>
      <c r="D93" s="11" t="s">
        <v>2</v>
      </c>
      <c r="E93" s="95" t="s">
        <v>3</v>
      </c>
      <c r="F93" s="96" t="s">
        <v>4</v>
      </c>
      <c r="G93" s="96" t="s">
        <v>5</v>
      </c>
      <c r="H93" s="96" t="s">
        <v>6</v>
      </c>
      <c r="I93" s="96" t="s">
        <v>7</v>
      </c>
      <c r="J93" s="96" t="s">
        <v>8</v>
      </c>
      <c r="K93" s="96" t="s">
        <v>9</v>
      </c>
      <c r="L93" s="96" t="s">
        <v>10</v>
      </c>
      <c r="M93" s="97" t="s">
        <v>11</v>
      </c>
      <c r="N93" s="11" t="s">
        <v>12</v>
      </c>
      <c r="O93" s="10" t="s">
        <v>13</v>
      </c>
      <c r="P93" s="11" t="s">
        <v>14</v>
      </c>
      <c r="Q93" s="11" t="s">
        <v>15</v>
      </c>
      <c r="R93" s="11" t="s">
        <v>16</v>
      </c>
      <c r="S93" s="10" t="s">
        <v>17</v>
      </c>
      <c r="T93" s="10" t="s">
        <v>18</v>
      </c>
      <c r="U93" s="10" t="s">
        <v>19</v>
      </c>
      <c r="V93" s="10" t="s">
        <v>20</v>
      </c>
      <c r="W93" s="10" t="s">
        <v>21</v>
      </c>
    </row>
    <row r="94" spans="1:23" x14ac:dyDescent="0.2">
      <c r="A94" t="s">
        <v>243</v>
      </c>
      <c r="B94" s="90">
        <f>LITI_Q1_HALF189[[#This Row],[2PT FGM]]+LITI_Q1_HALF189[[#This Row],[3PT FGM]]</f>
        <v>5</v>
      </c>
      <c r="C94" s="90">
        <f>LITI_Q1_HALF189[[#This Row],[2PT FGA]]+LITI_Q1_HALF189[[#This Row],[3PT FGA]]</f>
        <v>8</v>
      </c>
      <c r="D94" s="91">
        <f>LITI_Q1_HALF189[[#This Row],[Total FGM]]/LITI_Q1_HALF189[[#This Row],[Total FGA]]</f>
        <v>0.625</v>
      </c>
      <c r="E94" s="98">
        <f>'4_NS_BMBs'!E15</f>
        <v>3</v>
      </c>
      <c r="F94" s="229">
        <f>'4_NS_BMBs'!F15</f>
        <v>5</v>
      </c>
      <c r="G94" s="91">
        <f>LITI_Q1_HALF189[[#This Row],[2PT FGM]]/LITI_Q1_HALF189[[#This Row],[2PT FGA]]</f>
        <v>0.6</v>
      </c>
      <c r="H94" s="229">
        <f>'4_NS_BMBs'!H15</f>
        <v>2</v>
      </c>
      <c r="I94" s="229">
        <f>'4_NS_BMBs'!I15</f>
        <v>3</v>
      </c>
      <c r="J94" s="91">
        <f>LITI_Q1_HALF189[[#This Row],[3PT FGM]]/LITI_Q1_HALF189[[#This Row],[3PT FGA]]</f>
        <v>0.66666666666666663</v>
      </c>
      <c r="K94" s="229">
        <f>'4_NS_BMBs'!K15</f>
        <v>1</v>
      </c>
      <c r="L94" s="229">
        <f>'4_NS_BMBs'!L15</f>
        <v>1</v>
      </c>
      <c r="M94" s="99">
        <f>LITI_Q1_HALF189[[#This Row],[FTM]]/LITI_Q1_HALF189[[#This Row],[FTA]]</f>
        <v>1</v>
      </c>
      <c r="N94" s="19">
        <f>SUM(LITI_Q1_HALF189[[#This Row],[2PT FGM]]*2,LITI_Q1_HALF189[[#This Row],[3PT FGM]]*3,LITI_Q1_HALF189[[#This Row],[FTM]])</f>
        <v>13</v>
      </c>
      <c r="O94" s="229">
        <f>'4_NS_BMBs'!O15</f>
        <v>0</v>
      </c>
      <c r="P94" s="229">
        <f>'4_NS_BMBs'!P15</f>
        <v>2</v>
      </c>
      <c r="Q94" s="229">
        <f>'4_NS_BMBs'!Q15</f>
        <v>2</v>
      </c>
      <c r="R94" s="19">
        <f>LITI_Q1_HALF189[[#This Row],[Off. Boards]]+LITI_Q1_HALF189[[#This Row],[Def. Boards]]</f>
        <v>4</v>
      </c>
      <c r="S94" s="229">
        <f>'4_NS_BMBs'!S15</f>
        <v>4</v>
      </c>
      <c r="T94" s="229">
        <f>'4_NS_BMBs'!T15</f>
        <v>1</v>
      </c>
      <c r="U94" s="229">
        <f>'4_NS_BMBs'!U15</f>
        <v>0</v>
      </c>
      <c r="V94" s="229">
        <f>'4_NS_BMBs'!V15</f>
        <v>0</v>
      </c>
      <c r="W94" s="92" t="e">
        <f>LITI_Q1_HALF189[[#This Row],[Dimes]]/LITI_Q1_HALF189[[#This Row],[Turnovers]]</f>
        <v>#DIV/0!</v>
      </c>
    </row>
    <row r="95" spans="1:23" x14ac:dyDescent="0.2">
      <c r="A95" t="s">
        <v>244</v>
      </c>
      <c r="B95" s="90">
        <f>LITI_Q1_HALF189[[#This Row],[2PT FGM]]+LITI_Q1_HALF189[[#This Row],[3PT FGM]]</f>
        <v>2</v>
      </c>
      <c r="C95" s="90">
        <f>LITI_Q1_HALF189[[#This Row],[2PT FGA]]+LITI_Q1_HALF189[[#This Row],[3PT FGA]]</f>
        <v>3</v>
      </c>
      <c r="D95" s="91">
        <f>LITI_Q1_HALF189[[#This Row],[Total FGM]]/LITI_Q1_HALF189[[#This Row],[Total FGA]]</f>
        <v>0.66666666666666663</v>
      </c>
      <c r="E95" s="98">
        <f>'4_NS_BMBs'!E16</f>
        <v>2</v>
      </c>
      <c r="F95" s="229">
        <f>'4_NS_BMBs'!F16</f>
        <v>3</v>
      </c>
      <c r="G95" s="91">
        <f>LITI_Q1_HALF189[[#This Row],[2PT FGM]]/LITI_Q1_HALF189[[#This Row],[2PT FGA]]</f>
        <v>0.66666666666666663</v>
      </c>
      <c r="H95" s="229">
        <f>'4_NS_BMBs'!H16</f>
        <v>0</v>
      </c>
      <c r="I95" s="229">
        <f>'4_NS_BMBs'!I16</f>
        <v>0</v>
      </c>
      <c r="J95" s="91" t="e">
        <f>LITI_Q1_HALF189[[#This Row],[3PT FGM]]/LITI_Q1_HALF189[[#This Row],[3PT FGA]]</f>
        <v>#DIV/0!</v>
      </c>
      <c r="K95" s="229">
        <f>'4_NS_BMBs'!K16</f>
        <v>0</v>
      </c>
      <c r="L95" s="229">
        <f>'4_NS_BMBs'!L16</f>
        <v>1</v>
      </c>
      <c r="M95" s="99">
        <f>LITI_Q1_HALF189[[#This Row],[FTM]]/LITI_Q1_HALF189[[#This Row],[FTA]]</f>
        <v>0</v>
      </c>
      <c r="N95" s="19">
        <f>SUM(LITI_Q1_HALF189[[#This Row],[2PT FGM]]*2,LITI_Q1_HALF189[[#This Row],[3PT FGM]]*3,LITI_Q1_HALF189[[#This Row],[FTM]])</f>
        <v>4</v>
      </c>
      <c r="O95" s="229">
        <f>'4_NS_BMBs'!O16</f>
        <v>2</v>
      </c>
      <c r="P95" s="229">
        <f>'4_NS_BMBs'!P16</f>
        <v>4</v>
      </c>
      <c r="Q95" s="229">
        <f>'4_NS_BMBs'!Q16</f>
        <v>2</v>
      </c>
      <c r="R95" s="19">
        <f>LITI_Q1_HALF189[[#This Row],[Off. Boards]]+LITI_Q1_HALF189[[#This Row],[Def. Boards]]</f>
        <v>6</v>
      </c>
      <c r="S95" s="229">
        <f>'4_NS_BMBs'!S16</f>
        <v>4</v>
      </c>
      <c r="T95" s="229">
        <f>'4_NS_BMBs'!T16</f>
        <v>3</v>
      </c>
      <c r="U95" s="229">
        <f>'4_NS_BMBs'!U16</f>
        <v>1</v>
      </c>
      <c r="V95" s="229">
        <f>'4_NS_BMBs'!V16</f>
        <v>0</v>
      </c>
      <c r="W95" s="92" t="e">
        <f>LITI_Q1_HALF189[[#This Row],[Dimes]]/LITI_Q1_HALF189[[#This Row],[Turnovers]]</f>
        <v>#DIV/0!</v>
      </c>
    </row>
    <row r="96" spans="1:23" x14ac:dyDescent="0.2">
      <c r="A96" t="s">
        <v>245</v>
      </c>
      <c r="B96" s="90">
        <f>LITI_Q1_HALF189[[#This Row],[2PT FGM]]+LITI_Q1_HALF189[[#This Row],[3PT FGM]]</f>
        <v>2</v>
      </c>
      <c r="C96" s="90">
        <f>LITI_Q1_HALF189[[#This Row],[2PT FGA]]+LITI_Q1_HALF189[[#This Row],[3PT FGA]]</f>
        <v>8</v>
      </c>
      <c r="D96" s="91">
        <f>LITI_Q1_HALF189[[#This Row],[Total FGM]]/LITI_Q1_HALF189[[#This Row],[Total FGA]]</f>
        <v>0.25</v>
      </c>
      <c r="E96" s="98">
        <f>'4_NS_BMBs'!E17</f>
        <v>2</v>
      </c>
      <c r="F96" s="229">
        <f>'4_NS_BMBs'!F17</f>
        <v>6</v>
      </c>
      <c r="G96" s="91">
        <f>LITI_Q1_HALF189[[#This Row],[2PT FGM]]/LITI_Q1_HALF189[[#This Row],[2PT FGA]]</f>
        <v>0.33333333333333331</v>
      </c>
      <c r="H96" s="229">
        <f>'4_NS_BMBs'!H17</f>
        <v>0</v>
      </c>
      <c r="I96" s="229">
        <f>'4_NS_BMBs'!I17</f>
        <v>2</v>
      </c>
      <c r="J96" s="91">
        <f>LITI_Q1_HALF189[[#This Row],[3PT FGM]]/LITI_Q1_HALF189[[#This Row],[3PT FGA]]</f>
        <v>0</v>
      </c>
      <c r="K96" s="229">
        <f>'4_NS_BMBs'!K17</f>
        <v>0</v>
      </c>
      <c r="L96" s="229">
        <f>'4_NS_BMBs'!L17</f>
        <v>0</v>
      </c>
      <c r="M96" s="99" t="e">
        <f>LITI_Q1_HALF189[[#This Row],[FTM]]/LITI_Q1_HALF189[[#This Row],[FTA]]</f>
        <v>#DIV/0!</v>
      </c>
      <c r="N96" s="19">
        <f>SUM(LITI_Q1_HALF189[[#This Row],[2PT FGM]]*2,LITI_Q1_HALF189[[#This Row],[3PT FGM]]*3,LITI_Q1_HALF189[[#This Row],[FTM]])</f>
        <v>4</v>
      </c>
      <c r="O96" s="229">
        <f>'4_NS_BMBs'!O17</f>
        <v>0</v>
      </c>
      <c r="P96" s="229">
        <f>'4_NS_BMBs'!P17</f>
        <v>6</v>
      </c>
      <c r="Q96" s="229">
        <f>'4_NS_BMBs'!Q17</f>
        <v>1</v>
      </c>
      <c r="R96" s="19">
        <f>LITI_Q1_HALF189[[#This Row],[Off. Boards]]+LITI_Q1_HALF189[[#This Row],[Def. Boards]]</f>
        <v>7</v>
      </c>
      <c r="S96" s="229">
        <f>'4_NS_BMBs'!S17</f>
        <v>8</v>
      </c>
      <c r="T96" s="229">
        <f>'4_NS_BMBs'!T17</f>
        <v>1</v>
      </c>
      <c r="U96" s="229">
        <f>'4_NS_BMBs'!U17</f>
        <v>1</v>
      </c>
      <c r="V96" s="229">
        <f>'4_NS_BMBs'!V17</f>
        <v>3</v>
      </c>
      <c r="W96" s="92">
        <f>LITI_Q1_HALF189[[#This Row],[Dimes]]/LITI_Q1_HALF189[[#This Row],[Turnovers]]</f>
        <v>2.6666666666666665</v>
      </c>
    </row>
    <row r="97" spans="1:23" x14ac:dyDescent="0.2">
      <c r="A97" t="s">
        <v>241</v>
      </c>
      <c r="B97" s="90">
        <f>LITI_Q1_HALF189[[#This Row],[2PT FGM]]+LITI_Q1_HALF189[[#This Row],[3PT FGM]]</f>
        <v>11</v>
      </c>
      <c r="C97" s="90">
        <f>LITI_Q1_HALF189[[#This Row],[2PT FGA]]+LITI_Q1_HALF189[[#This Row],[3PT FGA]]</f>
        <v>19</v>
      </c>
      <c r="D97" s="91">
        <f>LITI_Q1_HALF189[[#This Row],[Total FGM]]/LITI_Q1_HALF189[[#This Row],[Total FGA]]</f>
        <v>0.57894736842105265</v>
      </c>
      <c r="E97" s="98">
        <f>'4_NS_BMBs'!E18</f>
        <v>4</v>
      </c>
      <c r="F97" s="229">
        <f>'4_NS_BMBs'!F18</f>
        <v>5</v>
      </c>
      <c r="G97" s="91">
        <f>LITI_Q1_HALF189[[#This Row],[2PT FGM]]/LITI_Q1_HALF189[[#This Row],[2PT FGA]]</f>
        <v>0.8</v>
      </c>
      <c r="H97" s="229">
        <f>'4_NS_BMBs'!H18</f>
        <v>7</v>
      </c>
      <c r="I97" s="229">
        <f>'4_NS_BMBs'!I18</f>
        <v>14</v>
      </c>
      <c r="J97" s="91">
        <f>LITI_Q1_HALF189[[#This Row],[3PT FGM]]/LITI_Q1_HALF189[[#This Row],[3PT FGA]]</f>
        <v>0.5</v>
      </c>
      <c r="K97" s="229">
        <f>'4_NS_BMBs'!K18</f>
        <v>0</v>
      </c>
      <c r="L97" s="229">
        <f>'4_NS_BMBs'!L18</f>
        <v>0</v>
      </c>
      <c r="M97" s="99" t="e">
        <f>LITI_Q1_HALF189[[#This Row],[FTM]]/LITI_Q1_HALF189[[#This Row],[FTA]]</f>
        <v>#DIV/0!</v>
      </c>
      <c r="N97" s="19">
        <f>SUM(LITI_Q1_HALF189[[#This Row],[2PT FGM]]*2,LITI_Q1_HALF189[[#This Row],[3PT FGM]]*3,LITI_Q1_HALF189[[#This Row],[FTM]])</f>
        <v>29</v>
      </c>
      <c r="O97" s="229">
        <f>'4_NS_BMBs'!O18</f>
        <v>0</v>
      </c>
      <c r="P97" s="229">
        <f>'4_NS_BMBs'!P18</f>
        <v>3</v>
      </c>
      <c r="Q97" s="229">
        <f>'4_NS_BMBs'!Q18</f>
        <v>0</v>
      </c>
      <c r="R97" s="19">
        <f>LITI_Q1_HALF189[[#This Row],[Off. Boards]]+LITI_Q1_HALF189[[#This Row],[Def. Boards]]</f>
        <v>3</v>
      </c>
      <c r="S97" s="229">
        <f>'4_NS_BMBs'!S18</f>
        <v>2</v>
      </c>
      <c r="T97" s="229">
        <f>'4_NS_BMBs'!T18</f>
        <v>2</v>
      </c>
      <c r="U97" s="229">
        <f>'4_NS_BMBs'!U18</f>
        <v>1</v>
      </c>
      <c r="V97" s="229">
        <f>'4_NS_BMBs'!V18</f>
        <v>1</v>
      </c>
      <c r="W97" s="92">
        <f>LITI_Q1_HALF189[[#This Row],[Dimes]]/LITI_Q1_HALF189[[#This Row],[Turnovers]]</f>
        <v>2</v>
      </c>
    </row>
    <row r="98" spans="1:23" hidden="1" x14ac:dyDescent="0.2">
      <c r="B98" s="90">
        <f>LITI_Q1_HALF189[[#This Row],[2PT FGM]]+LITI_Q1_HALF189[[#This Row],[3PT FGM]]</f>
        <v>0</v>
      </c>
      <c r="C98" s="90">
        <f>LITI_Q1_HALF189[[#This Row],[2PT FGA]]+LITI_Q1_HALF189[[#This Row],[3PT FGA]]</f>
        <v>0</v>
      </c>
      <c r="D98" s="91" t="e">
        <f>LITI_Q1_HALF189[[#This Row],[Total FGM]]/LITI_Q1_HALF189[[#This Row],[Total FGA]]</f>
        <v>#DIV/0!</v>
      </c>
      <c r="E98" s="98"/>
      <c r="F98" s="19"/>
      <c r="G98" s="91" t="e">
        <f>LITI_Q1_HALF189[[#This Row],[2PT FGM]]/LITI_Q1_HALF189[[#This Row],[2PT FGA]]</f>
        <v>#DIV/0!</v>
      </c>
      <c r="H98" s="19"/>
      <c r="I98" s="19"/>
      <c r="J98" s="91" t="e">
        <f>LITI_Q1_HALF189[[#This Row],[3PT FGM]]/LITI_Q1_HALF189[[#This Row],[3PT FGA]]</f>
        <v>#DIV/0!</v>
      </c>
      <c r="K98" s="19"/>
      <c r="L98" s="19"/>
      <c r="M98" s="99" t="e">
        <f>LITI_Q1_HALF189[[#This Row],[FTM]]/LITI_Q1_HALF189[[#This Row],[FTA]]</f>
        <v>#DIV/0!</v>
      </c>
      <c r="N98" s="19">
        <f>SUM(LITI_Q1_HALF189[[#This Row],[2PT FGM]]*2,LITI_Q1_HALF189[[#This Row],[3PT FGM]]*3,LITI_Q1_HALF189[[#This Row],[FTM]])</f>
        <v>0</v>
      </c>
      <c r="O98" s="19"/>
      <c r="P98" s="19"/>
      <c r="Q98" s="19"/>
      <c r="R98" s="19">
        <f>LITI_Q1_HALF189[[#This Row],[Off. Boards]]+LITI_Q1_HALF189[[#This Row],[Def. Boards]]</f>
        <v>0</v>
      </c>
      <c r="S98" s="19"/>
      <c r="T98" s="19"/>
      <c r="U98" s="19"/>
      <c r="V98" s="19"/>
      <c r="W98" s="92" t="e">
        <f>LITI_Q1_HALF189[[#This Row],[Dimes]]/LITI_Q1_HALF189[[#This Row],[Turnovers]]</f>
        <v>#DIV/0!</v>
      </c>
    </row>
    <row r="99" spans="1:23" ht="16" thickBot="1" x14ac:dyDescent="0.25">
      <c r="A99" s="82" t="s">
        <v>76</v>
      </c>
      <c r="B99" s="100">
        <f>SUM(B94:B98)</f>
        <v>20</v>
      </c>
      <c r="C99" s="100">
        <f>SUM(C94:C98)</f>
        <v>38</v>
      </c>
      <c r="D99" s="101">
        <f>LITI_Q1_HALF189[[#This Row],[Total FGM]]/LITI_Q1_HALF189[[#This Row],[Total FGA]]</f>
        <v>0.52631578947368418</v>
      </c>
      <c r="E99" s="102">
        <f>SUM(E94:E98)</f>
        <v>11</v>
      </c>
      <c r="F99" s="103">
        <f>SUM(F94:F98)</f>
        <v>19</v>
      </c>
      <c r="G99" s="108">
        <f>LITI_Q1_HALF189[[#This Row],[2PT FGM]]/LITI_Q1_HALF189[[#This Row],[2PT FGA]]</f>
        <v>0.57894736842105265</v>
      </c>
      <c r="H99" s="103">
        <f>SUM(H94:H98)</f>
        <v>9</v>
      </c>
      <c r="I99" s="103">
        <f>SUM(I94:I98)</f>
        <v>19</v>
      </c>
      <c r="J99" s="104">
        <f>LITI_Q1_HALF189[[#This Row],[3PT FGM]]/LITI_Q1_HALF189[[#This Row],[3PT FGA]]</f>
        <v>0.47368421052631576</v>
      </c>
      <c r="K99" s="103">
        <f>SUM(K94:K98)</f>
        <v>1</v>
      </c>
      <c r="L99" s="103">
        <f>SUM(L94:L98)</f>
        <v>2</v>
      </c>
      <c r="M99" s="105">
        <f>LITI_Q1_HALF189[[#This Row],[FTM]]/LITI_Q1_HALF189[[#This Row],[FTA]]</f>
        <v>0.5</v>
      </c>
      <c r="N99" s="62">
        <f>SUM(LITI_Q1_HALF189[[#This Row],[2PT FGM]]*2,LITI_Q1_HALF189[[#This Row],[3PT FGM]]*3,LITI_Q1_HALF189[[#This Row],[FTM]])</f>
        <v>50</v>
      </c>
      <c r="O99" s="106">
        <f>SUM(O94:O98)</f>
        <v>2</v>
      </c>
      <c r="P99" s="106">
        <f t="shared" ref="P99:V99" si="20">SUM(P94:P98)</f>
        <v>15</v>
      </c>
      <c r="Q99" s="106">
        <f t="shared" si="20"/>
        <v>5</v>
      </c>
      <c r="R99" s="106">
        <f t="shared" si="20"/>
        <v>20</v>
      </c>
      <c r="S99" s="106">
        <f t="shared" si="20"/>
        <v>18</v>
      </c>
      <c r="T99" s="106">
        <f t="shared" si="20"/>
        <v>7</v>
      </c>
      <c r="U99" s="106">
        <f t="shared" si="20"/>
        <v>3</v>
      </c>
      <c r="V99" s="106">
        <f t="shared" si="20"/>
        <v>4</v>
      </c>
      <c r="W99" s="107">
        <f>LITI_Q1_HALF189[[#This Row],[Dimes]]/LITI_Q1_HALF189[[#This Row],[Turnovers]]</f>
        <v>4.5</v>
      </c>
    </row>
    <row r="101" spans="1:23" ht="16" thickBot="1" x14ac:dyDescent="0.25">
      <c r="A101" s="94" t="s">
        <v>240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</row>
    <row r="102" spans="1:23" ht="16" x14ac:dyDescent="0.2">
      <c r="A102" s="166" t="s">
        <v>208</v>
      </c>
      <c r="B102" s="11" t="s">
        <v>0</v>
      </c>
      <c r="C102" s="11" t="s">
        <v>1</v>
      </c>
      <c r="D102" s="11" t="s">
        <v>2</v>
      </c>
      <c r="E102" s="95" t="s">
        <v>3</v>
      </c>
      <c r="F102" s="96" t="s">
        <v>4</v>
      </c>
      <c r="G102" s="96" t="s">
        <v>5</v>
      </c>
      <c r="H102" s="96" t="s">
        <v>6</v>
      </c>
      <c r="I102" s="96" t="s">
        <v>7</v>
      </c>
      <c r="J102" s="96" t="s">
        <v>8</v>
      </c>
      <c r="K102" s="96" t="s">
        <v>9</v>
      </c>
      <c r="L102" s="96" t="s">
        <v>10</v>
      </c>
      <c r="M102" s="97" t="s">
        <v>11</v>
      </c>
      <c r="N102" s="11" t="s">
        <v>12</v>
      </c>
      <c r="O102" s="10" t="s">
        <v>13</v>
      </c>
      <c r="P102" s="11" t="s">
        <v>14</v>
      </c>
      <c r="Q102" s="11" t="s">
        <v>15</v>
      </c>
      <c r="R102" s="11" t="s">
        <v>16</v>
      </c>
      <c r="S102" s="10" t="s">
        <v>17</v>
      </c>
      <c r="T102" s="10" t="s">
        <v>18</v>
      </c>
      <c r="U102" s="10" t="s">
        <v>19</v>
      </c>
      <c r="V102" s="10" t="s">
        <v>20</v>
      </c>
      <c r="W102" s="10" t="s">
        <v>21</v>
      </c>
    </row>
    <row r="103" spans="1:23" x14ac:dyDescent="0.2">
      <c r="A103" s="13" t="s">
        <v>246</v>
      </c>
      <c r="B103" s="90">
        <f>GN_Q1_HALF192[[#This Row],[2PT FGM]]+GN_Q1_HALF192[[#This Row],[3PT FGM]]</f>
        <v>3</v>
      </c>
      <c r="C103" s="90">
        <f>GN_Q1_HALF192[[#This Row],[2PT FGA]]+GN_Q1_HALF192[[#This Row],[3PT FGA]]</f>
        <v>9</v>
      </c>
      <c r="D103" s="91">
        <f>GN_Q1_HALF192[[#This Row],[Total FGM]]/GN_Q1_HALF192[[#This Row],[Total FGA]]</f>
        <v>0.33333333333333331</v>
      </c>
      <c r="E103" s="98">
        <f>'4_NS_BMBs'!E6</f>
        <v>1</v>
      </c>
      <c r="F103" s="19">
        <f>'4_NS_BMBs'!F6</f>
        <v>2</v>
      </c>
      <c r="G103" s="91">
        <f>GN_Q1_HALF192[[#This Row],[2PT FGM]]/GN_Q1_HALF192[[#This Row],[2PT FGA]]</f>
        <v>0.5</v>
      </c>
      <c r="H103" s="19">
        <f>'4_NS_BMBs'!H6</f>
        <v>2</v>
      </c>
      <c r="I103" s="19">
        <f>'4_NS_BMBs'!I6</f>
        <v>7</v>
      </c>
      <c r="J103" s="91">
        <f>GN_Q1_HALF192[[#This Row],[3PT FGM]]/GN_Q1_HALF192[[#This Row],[3PT FGA]]</f>
        <v>0.2857142857142857</v>
      </c>
      <c r="K103" s="19">
        <f>'4_NS_BMBs'!K6</f>
        <v>0</v>
      </c>
      <c r="L103" s="19">
        <f>'4_NS_BMBs'!L6</f>
        <v>0</v>
      </c>
      <c r="M103" s="99" t="e">
        <f>GN_Q1_HALF192[[#This Row],[FTM]]/GN_Q1_HALF192[[#This Row],[FTA]]</f>
        <v>#DIV/0!</v>
      </c>
      <c r="N103" s="19">
        <f>SUM(GN_Q1_HALF192[[#This Row],[2PT FGM]]*2,GN_Q1_HALF192[[#This Row],[3PT FGM]]*3,GN_Q1_HALF192[[#This Row],[FTM]])</f>
        <v>8</v>
      </c>
      <c r="O103" s="19">
        <f>'4_NS_BMBs'!O6</f>
        <v>0</v>
      </c>
      <c r="P103" s="19">
        <f>'4_NS_BMBs'!P6</f>
        <v>5</v>
      </c>
      <c r="Q103" s="19">
        <f>'4_NS_BMBs'!Q6</f>
        <v>2</v>
      </c>
      <c r="R103" s="19">
        <f>GN_Q1_HALF192[[#This Row],[Off. Boards]]+GN_Q1_HALF192[[#This Row],[Def. Boards]]</f>
        <v>7</v>
      </c>
      <c r="S103" s="19">
        <f>'4_NS_BMBs'!S6</f>
        <v>4</v>
      </c>
      <c r="T103" s="19">
        <f>'4_NS_BMBs'!T6</f>
        <v>0</v>
      </c>
      <c r="U103" s="19">
        <f>'4_NS_BMBs'!U6</f>
        <v>0</v>
      </c>
      <c r="V103" s="19">
        <f>'4_NS_BMBs'!V6</f>
        <v>3</v>
      </c>
      <c r="W103" s="92">
        <f>GN_Q1_HALF192[[#This Row],[Dimes]]/GN_Q1_HALF192[[#This Row],[Turnovers]]</f>
        <v>1.3333333333333333</v>
      </c>
    </row>
    <row r="104" spans="1:23" x14ac:dyDescent="0.2">
      <c r="A104" s="13" t="s">
        <v>247</v>
      </c>
      <c r="B104" s="90">
        <f>GN_Q1_HALF192[[#This Row],[2PT FGM]]+GN_Q1_HALF192[[#This Row],[3PT FGM]]</f>
        <v>4</v>
      </c>
      <c r="C104" s="90">
        <f>GN_Q1_HALF192[[#This Row],[2PT FGA]]+GN_Q1_HALF192[[#This Row],[3PT FGA]]</f>
        <v>9</v>
      </c>
      <c r="D104" s="91">
        <f>GN_Q1_HALF192[[#This Row],[Total FGM]]/GN_Q1_HALF192[[#This Row],[Total FGA]]</f>
        <v>0.44444444444444442</v>
      </c>
      <c r="E104" s="98">
        <f>'4_NS_BMBs'!E7</f>
        <v>3</v>
      </c>
      <c r="F104" s="19">
        <f>'4_NS_BMBs'!F7</f>
        <v>4</v>
      </c>
      <c r="G104" s="91">
        <f>GN_Q1_HALF192[[#This Row],[2PT FGM]]/GN_Q1_HALF192[[#This Row],[2PT FGA]]</f>
        <v>0.75</v>
      </c>
      <c r="H104" s="19">
        <f>'4_NS_BMBs'!H7</f>
        <v>1</v>
      </c>
      <c r="I104" s="19">
        <f>'4_NS_BMBs'!I7</f>
        <v>5</v>
      </c>
      <c r="J104" s="91">
        <f>GN_Q1_HALF192[[#This Row],[3PT FGM]]/GN_Q1_HALF192[[#This Row],[3PT FGA]]</f>
        <v>0.2</v>
      </c>
      <c r="K104" s="19">
        <f>'4_NS_BMBs'!K7</f>
        <v>0</v>
      </c>
      <c r="L104" s="19">
        <f>'4_NS_BMBs'!L7</f>
        <v>0</v>
      </c>
      <c r="M104" s="99" t="e">
        <f>GN_Q1_HALF192[[#This Row],[FTM]]/GN_Q1_HALF192[[#This Row],[FTA]]</f>
        <v>#DIV/0!</v>
      </c>
      <c r="N104" s="19">
        <f>SUM(GN_Q1_HALF192[[#This Row],[2PT FGM]]*2,GN_Q1_HALF192[[#This Row],[3PT FGM]]*3,GN_Q1_HALF192[[#This Row],[FTM]])</f>
        <v>9</v>
      </c>
      <c r="O104" s="19">
        <f>'4_NS_BMBs'!O7</f>
        <v>3</v>
      </c>
      <c r="P104" s="19">
        <f>'4_NS_BMBs'!P7</f>
        <v>1</v>
      </c>
      <c r="Q104" s="19">
        <f>'4_NS_BMBs'!Q7</f>
        <v>1</v>
      </c>
      <c r="R104" s="19">
        <f>GN_Q1_HALF192[[#This Row],[Off. Boards]]+GN_Q1_HALF192[[#This Row],[Def. Boards]]</f>
        <v>2</v>
      </c>
      <c r="S104" s="19">
        <f>'4_NS_BMBs'!S7</f>
        <v>0</v>
      </c>
      <c r="T104" s="19">
        <f>'4_NS_BMBs'!T7</f>
        <v>0</v>
      </c>
      <c r="U104" s="19">
        <f>'4_NS_BMBs'!U7</f>
        <v>0</v>
      </c>
      <c r="V104" s="19">
        <f>'4_NS_BMBs'!V7</f>
        <v>0</v>
      </c>
      <c r="W104" s="92" t="e">
        <f>GN_Q1_HALF192[[#This Row],[Dimes]]/GN_Q1_HALF192[[#This Row],[Turnovers]]</f>
        <v>#DIV/0!</v>
      </c>
    </row>
    <row r="105" spans="1:23" x14ac:dyDescent="0.2">
      <c r="A105" s="13" t="s">
        <v>248</v>
      </c>
      <c r="B105" s="90">
        <f>GN_Q1_HALF192[[#This Row],[2PT FGM]]+GN_Q1_HALF192[[#This Row],[3PT FGM]]</f>
        <v>3</v>
      </c>
      <c r="C105" s="90">
        <f>GN_Q1_HALF192[[#This Row],[2PT FGA]]+GN_Q1_HALF192[[#This Row],[3PT FGA]]</f>
        <v>8</v>
      </c>
      <c r="D105" s="91">
        <f>GN_Q1_HALF192[[#This Row],[Total FGM]]/GN_Q1_HALF192[[#This Row],[Total FGA]]</f>
        <v>0.375</v>
      </c>
      <c r="E105" s="98">
        <f>'4_NS_BMBs'!E8</f>
        <v>2</v>
      </c>
      <c r="F105" s="19">
        <f>'4_NS_BMBs'!F8</f>
        <v>5</v>
      </c>
      <c r="G105" s="91">
        <f>GN_Q1_HALF192[[#This Row],[2PT FGM]]/GN_Q1_HALF192[[#This Row],[2PT FGA]]</f>
        <v>0.4</v>
      </c>
      <c r="H105" s="19">
        <f>'4_NS_BMBs'!H8</f>
        <v>1</v>
      </c>
      <c r="I105" s="19">
        <f>'4_NS_BMBs'!I8</f>
        <v>3</v>
      </c>
      <c r="J105" s="91">
        <f>GN_Q1_HALF192[[#This Row],[3PT FGM]]/GN_Q1_HALF192[[#This Row],[3PT FGA]]</f>
        <v>0.33333333333333331</v>
      </c>
      <c r="K105" s="19">
        <f>'4_NS_BMBs'!K8</f>
        <v>0</v>
      </c>
      <c r="L105" s="19">
        <f>'4_NS_BMBs'!L8</f>
        <v>0</v>
      </c>
      <c r="M105" s="99" t="e">
        <f>GN_Q1_HALF192[[#This Row],[FTM]]/GN_Q1_HALF192[[#This Row],[FTA]]</f>
        <v>#DIV/0!</v>
      </c>
      <c r="N105" s="19">
        <f>SUM(GN_Q1_HALF192[[#This Row],[2PT FGM]]*2,GN_Q1_HALF192[[#This Row],[3PT FGM]]*3,GN_Q1_HALF192[[#This Row],[FTM]])</f>
        <v>7</v>
      </c>
      <c r="O105" s="19">
        <f>'4_NS_BMBs'!O8</f>
        <v>0</v>
      </c>
      <c r="P105" s="19">
        <f>'4_NS_BMBs'!P8</f>
        <v>3</v>
      </c>
      <c r="Q105" s="19">
        <f>'4_NS_BMBs'!Q8</f>
        <v>1</v>
      </c>
      <c r="R105" s="19">
        <f>GN_Q1_HALF192[[#This Row],[Off. Boards]]+GN_Q1_HALF192[[#This Row],[Def. Boards]]</f>
        <v>4</v>
      </c>
      <c r="S105" s="19">
        <f>'4_NS_BMBs'!S8</f>
        <v>6</v>
      </c>
      <c r="T105" s="19">
        <f>'4_NS_BMBs'!T8</f>
        <v>1</v>
      </c>
      <c r="U105" s="19">
        <f>'4_NS_BMBs'!U8</f>
        <v>2</v>
      </c>
      <c r="V105" s="19">
        <f>'4_NS_BMBs'!V8</f>
        <v>2</v>
      </c>
      <c r="W105" s="92">
        <f>GN_Q1_HALF192[[#This Row],[Dimes]]/GN_Q1_HALF192[[#This Row],[Turnovers]]</f>
        <v>3</v>
      </c>
    </row>
    <row r="106" spans="1:23" x14ac:dyDescent="0.2">
      <c r="A106" s="13" t="s">
        <v>242</v>
      </c>
      <c r="B106" s="90">
        <f>GN_Q1_HALF192[[#This Row],[2PT FGM]]+GN_Q1_HALF192[[#This Row],[3PT FGM]]</f>
        <v>1</v>
      </c>
      <c r="C106" s="90">
        <f>GN_Q1_HALF192[[#This Row],[2PT FGA]]+GN_Q1_HALF192[[#This Row],[3PT FGA]]</f>
        <v>6</v>
      </c>
      <c r="D106" s="91">
        <f>GN_Q1_HALF192[[#This Row],[Total FGM]]/GN_Q1_HALF192[[#This Row],[Total FGA]]</f>
        <v>0.16666666666666666</v>
      </c>
      <c r="E106" s="98">
        <f>'4_NS_BMBs'!E9</f>
        <v>1</v>
      </c>
      <c r="F106" s="19">
        <f>'4_NS_BMBs'!F9</f>
        <v>1</v>
      </c>
      <c r="G106" s="91">
        <f>GN_Q1_HALF192[[#This Row],[2PT FGM]]/GN_Q1_HALF192[[#This Row],[2PT FGA]]</f>
        <v>1</v>
      </c>
      <c r="H106" s="19">
        <f>'4_NS_BMBs'!H9</f>
        <v>0</v>
      </c>
      <c r="I106" s="19">
        <f>'4_NS_BMBs'!I9</f>
        <v>5</v>
      </c>
      <c r="J106" s="91">
        <f>GN_Q1_HALF192[[#This Row],[3PT FGM]]/GN_Q1_HALF192[[#This Row],[3PT FGA]]</f>
        <v>0</v>
      </c>
      <c r="K106" s="19">
        <f>'4_NS_BMBs'!K9</f>
        <v>0</v>
      </c>
      <c r="L106" s="19">
        <f>'4_NS_BMBs'!L9</f>
        <v>0</v>
      </c>
      <c r="M106" s="99" t="e">
        <f>GN_Q1_HALF192[[#This Row],[FTM]]/GN_Q1_HALF192[[#This Row],[FTA]]</f>
        <v>#DIV/0!</v>
      </c>
      <c r="N106" s="19">
        <f>SUM(GN_Q1_HALF192[[#This Row],[2PT FGM]]*2,GN_Q1_HALF192[[#This Row],[3PT FGM]]*3,GN_Q1_HALF192[[#This Row],[FTM]])</f>
        <v>2</v>
      </c>
      <c r="O106" s="19">
        <f>'4_NS_BMBs'!O9</f>
        <v>0</v>
      </c>
      <c r="P106" s="19">
        <f>'4_NS_BMBs'!P9</f>
        <v>1</v>
      </c>
      <c r="Q106" s="19">
        <f>'4_NS_BMBs'!Q9</f>
        <v>1</v>
      </c>
      <c r="R106" s="19">
        <f>GN_Q1_HALF192[[#This Row],[Off. Boards]]+GN_Q1_HALF192[[#This Row],[Def. Boards]]</f>
        <v>2</v>
      </c>
      <c r="S106" s="19">
        <f>'4_NS_BMBs'!S9</f>
        <v>2</v>
      </c>
      <c r="T106" s="19">
        <f>'4_NS_BMBs'!T9</f>
        <v>1</v>
      </c>
      <c r="U106" s="19">
        <f>'4_NS_BMBs'!U9</f>
        <v>0</v>
      </c>
      <c r="V106" s="19">
        <f>'4_NS_BMBs'!V9</f>
        <v>2</v>
      </c>
      <c r="W106" s="92">
        <f>GN_Q1_HALF192[[#This Row],[Dimes]]/GN_Q1_HALF192[[#This Row],[Turnovers]]</f>
        <v>1</v>
      </c>
    </row>
    <row r="107" spans="1:23" x14ac:dyDescent="0.2">
      <c r="A107" s="13" t="s">
        <v>249</v>
      </c>
      <c r="B107" s="90">
        <f>GN_Q1_HALF192[[#This Row],[2PT FGM]]+GN_Q1_HALF192[[#This Row],[3PT FGM]]</f>
        <v>5</v>
      </c>
      <c r="C107" s="90">
        <f>GN_Q1_HALF192[[#This Row],[2PT FGA]]+GN_Q1_HALF192[[#This Row],[3PT FGA]]</f>
        <v>6</v>
      </c>
      <c r="D107" s="91">
        <f>GN_Q1_HALF192[[#This Row],[Total FGM]]/GN_Q1_HALF192[[#This Row],[Total FGA]]</f>
        <v>0.83333333333333337</v>
      </c>
      <c r="E107" s="98">
        <f>'4_NS_BMBs'!E10</f>
        <v>0</v>
      </c>
      <c r="F107" s="19">
        <f>'4_NS_BMBs'!F10</f>
        <v>0</v>
      </c>
      <c r="G107" s="91" t="e">
        <f>GN_Q1_HALF192[[#This Row],[2PT FGM]]/GN_Q1_HALF192[[#This Row],[2PT FGA]]</f>
        <v>#DIV/0!</v>
      </c>
      <c r="H107" s="19">
        <f>'4_NS_BMBs'!H10</f>
        <v>5</v>
      </c>
      <c r="I107" s="19">
        <f>'4_NS_BMBs'!I10</f>
        <v>6</v>
      </c>
      <c r="J107" s="91">
        <f>GN_Q1_HALF192[[#This Row],[3PT FGM]]/GN_Q1_HALF192[[#This Row],[3PT FGA]]</f>
        <v>0.83333333333333337</v>
      </c>
      <c r="K107" s="19">
        <f>'4_NS_BMBs'!K10</f>
        <v>0</v>
      </c>
      <c r="L107" s="19">
        <f>'4_NS_BMBs'!L10</f>
        <v>0</v>
      </c>
      <c r="M107" s="99" t="e">
        <f>GN_Q1_HALF192[[#This Row],[FTM]]/GN_Q1_HALF192[[#This Row],[FTA]]</f>
        <v>#DIV/0!</v>
      </c>
      <c r="N107" s="19">
        <f>SUM(GN_Q1_HALF192[[#This Row],[2PT FGM]]*2,GN_Q1_HALF192[[#This Row],[3PT FGM]]*3,GN_Q1_HALF192[[#This Row],[FTM]])</f>
        <v>15</v>
      </c>
      <c r="O107" s="19">
        <f>'4_NS_BMBs'!O10</f>
        <v>0</v>
      </c>
      <c r="P107" s="19">
        <f>'4_NS_BMBs'!P10</f>
        <v>0</v>
      </c>
      <c r="Q107" s="19">
        <f>'4_NS_BMBs'!Q10</f>
        <v>1</v>
      </c>
      <c r="R107" s="19">
        <f>GN_Q1_HALF192[[#This Row],[Off. Boards]]+GN_Q1_HALF192[[#This Row],[Def. Boards]]</f>
        <v>1</v>
      </c>
      <c r="S107" s="19">
        <f>'4_NS_BMBs'!S10</f>
        <v>2</v>
      </c>
      <c r="T107" s="19">
        <f>'4_NS_BMBs'!T10</f>
        <v>1</v>
      </c>
      <c r="U107" s="19">
        <f>'4_NS_BMBs'!U10</f>
        <v>0</v>
      </c>
      <c r="V107" s="19">
        <f>'4_NS_BMBs'!V10</f>
        <v>0</v>
      </c>
      <c r="W107" s="92" t="e">
        <f>GN_Q1_HALF192[[#This Row],[Dimes]]/GN_Q1_HALF192[[#This Row],[Turnovers]]</f>
        <v>#DIV/0!</v>
      </c>
    </row>
    <row r="108" spans="1:23" ht="16" thickBot="1" x14ac:dyDescent="0.25">
      <c r="A108" s="82" t="s">
        <v>76</v>
      </c>
      <c r="B108" s="100">
        <f>SUM(B103:B107)</f>
        <v>16</v>
      </c>
      <c r="C108" s="100">
        <f>SUM(C103:C107)</f>
        <v>38</v>
      </c>
      <c r="D108" s="101">
        <f>GN_Q1_HALF192[[#This Row],[Total FGM]]/GN_Q1_HALF192[[#This Row],[Total FGA]]</f>
        <v>0.42105263157894735</v>
      </c>
      <c r="E108" s="102">
        <f>SUM(E103:E107)</f>
        <v>7</v>
      </c>
      <c r="F108" s="103">
        <f>SUM(F103:F107)</f>
        <v>12</v>
      </c>
      <c r="G108" s="104">
        <f>GN_Q1_HALF192[[#This Row],[2PT FGM]]/GN_Q1_HALF192[[#This Row],[2PT FGA]]</f>
        <v>0.58333333333333337</v>
      </c>
      <c r="H108" s="103">
        <f>SUM(H103:H107)</f>
        <v>9</v>
      </c>
      <c r="I108" s="103">
        <f>SUM(I103:I107)</f>
        <v>26</v>
      </c>
      <c r="J108" s="109">
        <f>GN_Q1_HALF192[[#This Row],[3PT FGM]]/GN_Q1_HALF192[[#This Row],[3PT FGA]]</f>
        <v>0.34615384615384615</v>
      </c>
      <c r="K108" s="103">
        <f>SUM(K103:K107)</f>
        <v>0</v>
      </c>
      <c r="L108" s="103">
        <f>SUM(L103:L107)</f>
        <v>0</v>
      </c>
      <c r="M108" s="105" t="e">
        <f>GN_Q1_HALF192[[#This Row],[FTM]]/GN_Q1_HALF192[[#This Row],[FTA]]</f>
        <v>#DIV/0!</v>
      </c>
      <c r="N108" s="62">
        <f>SUM(GN_Q1_HALF192[[#This Row],[2PT FGM]]*2,GN_Q1_HALF192[[#This Row],[3PT FGM]]*3,GN_Q1_HALF192[[#This Row],[FTM]])</f>
        <v>41</v>
      </c>
      <c r="O108" s="100">
        <f>SUM(O103:O107)</f>
        <v>3</v>
      </c>
      <c r="P108" s="100">
        <f>SUM(P103:P107)</f>
        <v>10</v>
      </c>
      <c r="Q108" s="100">
        <f>SUM(Q103:Q107)</f>
        <v>6</v>
      </c>
      <c r="R108" s="106">
        <f>GN_Q1_HALF192[[#This Row],[Def. Boards]]+GN_Q1_HALF192[[#This Row],[Off. Boards]]</f>
        <v>16</v>
      </c>
      <c r="S108" s="100">
        <f>SUM(S103:S107)</f>
        <v>14</v>
      </c>
      <c r="T108" s="100">
        <f>SUM(T103:T107)</f>
        <v>3</v>
      </c>
      <c r="U108" s="100">
        <f>SUM(U103:U107)</f>
        <v>2</v>
      </c>
      <c r="V108" s="100">
        <f>SUM(V103:V107)</f>
        <v>7</v>
      </c>
      <c r="W108" s="107">
        <f>GN_Q1_HALF192[[#This Row],[Dimes]]/GN_Q1_HALF192[[#This Row],[Turnovers]]</f>
        <v>2</v>
      </c>
    </row>
    <row r="110" spans="1:23" x14ac:dyDescent="0.2">
      <c r="B110" s="159"/>
      <c r="C110" s="86" t="s">
        <v>68</v>
      </c>
      <c r="D110" s="86" t="s">
        <v>134</v>
      </c>
      <c r="E110" s="86" t="s">
        <v>74</v>
      </c>
    </row>
    <row r="111" spans="1:23" ht="19" x14ac:dyDescent="0.2">
      <c r="A111" s="84" t="s">
        <v>66</v>
      </c>
      <c r="B111" s="85" t="s">
        <v>250</v>
      </c>
      <c r="C111" s="85" t="s">
        <v>208</v>
      </c>
      <c r="D111" s="85" t="s">
        <v>137</v>
      </c>
      <c r="E111" s="85" t="s">
        <v>209</v>
      </c>
    </row>
    <row r="112" spans="1:23" ht="24" x14ac:dyDescent="0.2">
      <c r="A112" s="84"/>
      <c r="B112" s="85" t="s">
        <v>151</v>
      </c>
      <c r="C112" s="85">
        <f>N120</f>
        <v>30</v>
      </c>
      <c r="D112" s="85"/>
      <c r="E112" s="85">
        <f>N129</f>
        <v>43</v>
      </c>
      <c r="H112" s="23"/>
    </row>
    <row r="113" spans="1:23" ht="16" thickBot="1" x14ac:dyDescent="0.25">
      <c r="A113" s="13" t="s">
        <v>250</v>
      </c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</row>
    <row r="114" spans="1:23" ht="16" x14ac:dyDescent="0.2">
      <c r="A114" s="166" t="s">
        <v>208</v>
      </c>
      <c r="B114" s="11" t="s">
        <v>0</v>
      </c>
      <c r="C114" s="11" t="s">
        <v>1</v>
      </c>
      <c r="D114" s="11" t="s">
        <v>2</v>
      </c>
      <c r="E114" s="95" t="s">
        <v>3</v>
      </c>
      <c r="F114" s="96" t="s">
        <v>4</v>
      </c>
      <c r="G114" s="96" t="s">
        <v>5</v>
      </c>
      <c r="H114" s="96" t="s">
        <v>6</v>
      </c>
      <c r="I114" s="96" t="s">
        <v>7</v>
      </c>
      <c r="J114" s="96" t="s">
        <v>8</v>
      </c>
      <c r="K114" s="96" t="s">
        <v>9</v>
      </c>
      <c r="L114" s="96" t="s">
        <v>10</v>
      </c>
      <c r="M114" s="97" t="s">
        <v>11</v>
      </c>
      <c r="N114" s="11" t="s">
        <v>12</v>
      </c>
      <c r="O114" s="10" t="s">
        <v>13</v>
      </c>
      <c r="P114" s="11" t="s">
        <v>14</v>
      </c>
      <c r="Q114" s="11" t="s">
        <v>15</v>
      </c>
      <c r="R114" s="11" t="s">
        <v>16</v>
      </c>
      <c r="S114" s="10" t="s">
        <v>17</v>
      </c>
      <c r="T114" s="10" t="s">
        <v>18</v>
      </c>
      <c r="U114" s="10" t="s">
        <v>19</v>
      </c>
      <c r="V114" s="10" t="s">
        <v>20</v>
      </c>
      <c r="W114" s="10" t="s">
        <v>21</v>
      </c>
    </row>
    <row r="115" spans="1:23" x14ac:dyDescent="0.2">
      <c r="A115" s="13" t="s">
        <v>254</v>
      </c>
      <c r="B115" s="90">
        <f>LITI_Q1_HALF17195[[#This Row],[2PT FGM]]+LITI_Q1_HALF17195[[#This Row],[3PT FGM]]</f>
        <v>4</v>
      </c>
      <c r="C115" s="90">
        <f>LITI_Q1_HALF17195[[#This Row],[2PT FGA]]+LITI_Q1_HALF17195[[#This Row],[3PT FGA]]</f>
        <v>12</v>
      </c>
      <c r="D115" s="91">
        <f>LITI_Q1_HALF17195[[#This Row],[Total FGM]]/LITI_Q1_HALF17195[[#This Row],[Total FGA]]</f>
        <v>0.33333333333333331</v>
      </c>
      <c r="E115" s="98">
        <f>'5_BMBs_NS'!E6</f>
        <v>2</v>
      </c>
      <c r="F115" s="229">
        <f>'5_BMBs_NS'!F6</f>
        <v>5</v>
      </c>
      <c r="G115" s="91">
        <f>LITI_Q1_HALF17195[[#This Row],[2PT FGM]]/LITI_Q1_HALF17195[[#This Row],[2PT FGA]]</f>
        <v>0.4</v>
      </c>
      <c r="H115" s="229">
        <f>'5_BMBs_NS'!H6</f>
        <v>2</v>
      </c>
      <c r="I115" s="229">
        <f>'5_BMBs_NS'!I6</f>
        <v>7</v>
      </c>
      <c r="J115" s="91">
        <f>LITI_Q1_HALF17195[[#This Row],[3PT FGM]]/LITI_Q1_HALF17195[[#This Row],[3PT FGA]]</f>
        <v>0.2857142857142857</v>
      </c>
      <c r="K115" s="229">
        <f>'5_BMBs_NS'!K6</f>
        <v>0</v>
      </c>
      <c r="L115" s="229">
        <f>'5_BMBs_NS'!L6</f>
        <v>0</v>
      </c>
      <c r="M115" s="99" t="e">
        <f>LITI_Q1_HALF17195[[#This Row],[FTM]]/LITI_Q1_HALF17195[[#This Row],[FTA]]</f>
        <v>#DIV/0!</v>
      </c>
      <c r="N115" s="19">
        <f>SUM(LITI_Q1_HALF17195[[#This Row],[2PT FGM]]*2,LITI_Q1_HALF17195[[#This Row],[3PT FGM]]*3,LITI_Q1_HALF17195[[#This Row],[FTM]])</f>
        <v>10</v>
      </c>
      <c r="O115" s="229">
        <f>'5_BMBs_NS'!O6</f>
        <v>1</v>
      </c>
      <c r="P115" s="229">
        <f>'5_BMBs_NS'!P6</f>
        <v>3</v>
      </c>
      <c r="Q115" s="229">
        <f>'5_BMBs_NS'!Q6</f>
        <v>1</v>
      </c>
      <c r="R115" s="19">
        <f>LITI_Q1_HALF17195[[#This Row],[Off. Boards]]+LITI_Q1_HALF17195[[#This Row],[Def. Boards]]</f>
        <v>4</v>
      </c>
      <c r="S115" s="229">
        <f>'5_BMBs_NS'!S6</f>
        <v>2</v>
      </c>
      <c r="T115" s="229">
        <f>'5_BMBs_NS'!T6</f>
        <v>1</v>
      </c>
      <c r="U115" s="229">
        <f>'5_BMBs_NS'!U6</f>
        <v>1</v>
      </c>
      <c r="V115" s="229">
        <f>'5_BMBs_NS'!V6</f>
        <v>1</v>
      </c>
      <c r="W115" s="92">
        <f>LITI_Q1_HALF17195[[#This Row],[Dimes]]/LITI_Q1_HALF17195[[#This Row],[Turnovers]]</f>
        <v>2</v>
      </c>
    </row>
    <row r="116" spans="1:23" x14ac:dyDescent="0.2">
      <c r="A116" s="13" t="s">
        <v>255</v>
      </c>
      <c r="B116" s="90">
        <f>LITI_Q1_HALF17195[[#This Row],[2PT FGM]]+LITI_Q1_HALF17195[[#This Row],[3PT FGM]]</f>
        <v>4</v>
      </c>
      <c r="C116" s="90">
        <f>LITI_Q1_HALF17195[[#This Row],[2PT FGA]]+LITI_Q1_HALF17195[[#This Row],[3PT FGA]]</f>
        <v>8</v>
      </c>
      <c r="D116" s="91">
        <f>LITI_Q1_HALF17195[[#This Row],[Total FGM]]/LITI_Q1_HALF17195[[#This Row],[Total FGA]]</f>
        <v>0.5</v>
      </c>
      <c r="E116" s="98">
        <f>'5_BMBs_NS'!E7</f>
        <v>4</v>
      </c>
      <c r="F116" s="229">
        <f>'5_BMBs_NS'!F7</f>
        <v>4</v>
      </c>
      <c r="G116" s="91">
        <f>LITI_Q1_HALF17195[[#This Row],[2PT FGM]]/LITI_Q1_HALF17195[[#This Row],[2PT FGA]]</f>
        <v>1</v>
      </c>
      <c r="H116" s="229">
        <f>'5_BMBs_NS'!H7</f>
        <v>0</v>
      </c>
      <c r="I116" s="229">
        <f>'5_BMBs_NS'!I7</f>
        <v>4</v>
      </c>
      <c r="J116" s="91">
        <f>LITI_Q1_HALF17195[[#This Row],[3PT FGM]]/LITI_Q1_HALF17195[[#This Row],[3PT FGA]]</f>
        <v>0</v>
      </c>
      <c r="K116" s="229">
        <f>'5_BMBs_NS'!K7</f>
        <v>0</v>
      </c>
      <c r="L116" s="229">
        <f>'5_BMBs_NS'!L7</f>
        <v>0</v>
      </c>
      <c r="M116" s="99" t="e">
        <f>LITI_Q1_HALF17195[[#This Row],[FTM]]/LITI_Q1_HALF17195[[#This Row],[FTA]]</f>
        <v>#DIV/0!</v>
      </c>
      <c r="N116" s="19">
        <f>SUM(LITI_Q1_HALF17195[[#This Row],[2PT FGM]]*2,LITI_Q1_HALF17195[[#This Row],[3PT FGM]]*3,LITI_Q1_HALF17195[[#This Row],[FTM]])</f>
        <v>8</v>
      </c>
      <c r="O116" s="229">
        <f>'5_BMBs_NS'!O7</f>
        <v>3</v>
      </c>
      <c r="P116" s="229">
        <f>'5_BMBs_NS'!P7</f>
        <v>1</v>
      </c>
      <c r="Q116" s="229">
        <f>'5_BMBs_NS'!Q7</f>
        <v>2</v>
      </c>
      <c r="R116" s="19">
        <f>LITI_Q1_HALF17195[[#This Row],[Off. Boards]]+LITI_Q1_HALF17195[[#This Row],[Def. Boards]]</f>
        <v>3</v>
      </c>
      <c r="S116" s="229">
        <f>'5_BMBs_NS'!S7</f>
        <v>1</v>
      </c>
      <c r="T116" s="229">
        <f>'5_BMBs_NS'!T7</f>
        <v>0</v>
      </c>
      <c r="U116" s="229">
        <f>'5_BMBs_NS'!U7</f>
        <v>0</v>
      </c>
      <c r="V116" s="229">
        <f>'5_BMBs_NS'!V7</f>
        <v>0</v>
      </c>
      <c r="W116" s="92" t="e">
        <f>LITI_Q1_HALF17195[[#This Row],[Dimes]]/LITI_Q1_HALF17195[[#This Row],[Turnovers]]</f>
        <v>#DIV/0!</v>
      </c>
    </row>
    <row r="117" spans="1:23" x14ac:dyDescent="0.2">
      <c r="A117" s="13" t="s">
        <v>256</v>
      </c>
      <c r="B117" s="90">
        <f>LITI_Q1_HALF17195[[#This Row],[2PT FGM]]+LITI_Q1_HALF17195[[#This Row],[3PT FGM]]</f>
        <v>4</v>
      </c>
      <c r="C117" s="90">
        <f>LITI_Q1_HALF17195[[#This Row],[2PT FGA]]+LITI_Q1_HALF17195[[#This Row],[3PT FGA]]</f>
        <v>14</v>
      </c>
      <c r="D117" s="91">
        <f>LITI_Q1_HALF17195[[#This Row],[Total FGM]]/LITI_Q1_HALF17195[[#This Row],[Total FGA]]</f>
        <v>0.2857142857142857</v>
      </c>
      <c r="E117" s="98">
        <f>'5_BMBs_NS'!E8</f>
        <v>3</v>
      </c>
      <c r="F117" s="229">
        <f>'5_BMBs_NS'!F8</f>
        <v>8</v>
      </c>
      <c r="G117" s="91">
        <f>LITI_Q1_HALF17195[[#This Row],[2PT FGM]]/LITI_Q1_HALF17195[[#This Row],[2PT FGA]]</f>
        <v>0.375</v>
      </c>
      <c r="H117" s="229">
        <f>'5_BMBs_NS'!H8</f>
        <v>1</v>
      </c>
      <c r="I117" s="229">
        <f>'5_BMBs_NS'!I8</f>
        <v>6</v>
      </c>
      <c r="J117" s="91">
        <f>LITI_Q1_HALF17195[[#This Row],[3PT FGM]]/LITI_Q1_HALF17195[[#This Row],[3PT FGA]]</f>
        <v>0.16666666666666666</v>
      </c>
      <c r="K117" s="229">
        <f>'5_BMBs_NS'!K8</f>
        <v>0</v>
      </c>
      <c r="L117" s="229">
        <f>'5_BMBs_NS'!L8</f>
        <v>0</v>
      </c>
      <c r="M117" s="99" t="e">
        <f>LITI_Q1_HALF17195[[#This Row],[FTM]]/LITI_Q1_HALF17195[[#This Row],[FTA]]</f>
        <v>#DIV/0!</v>
      </c>
      <c r="N117" s="19">
        <f>SUM(LITI_Q1_HALF17195[[#This Row],[2PT FGM]]*2,LITI_Q1_HALF17195[[#This Row],[3PT FGM]]*3,LITI_Q1_HALF17195[[#This Row],[FTM]])</f>
        <v>9</v>
      </c>
      <c r="O117" s="229">
        <f>'5_BMBs_NS'!O8</f>
        <v>0</v>
      </c>
      <c r="P117" s="229">
        <f>'5_BMBs_NS'!P8</f>
        <v>2</v>
      </c>
      <c r="Q117" s="229">
        <f>'5_BMBs_NS'!Q8</f>
        <v>3</v>
      </c>
      <c r="R117" s="19">
        <f>LITI_Q1_HALF17195[[#This Row],[Off. Boards]]+LITI_Q1_HALF17195[[#This Row],[Def. Boards]]</f>
        <v>5</v>
      </c>
      <c r="S117" s="229">
        <f>'5_BMBs_NS'!S8</f>
        <v>3</v>
      </c>
      <c r="T117" s="229">
        <f>'5_BMBs_NS'!T8</f>
        <v>4</v>
      </c>
      <c r="U117" s="229">
        <f>'5_BMBs_NS'!U8</f>
        <v>0</v>
      </c>
      <c r="V117" s="229">
        <f>'5_BMBs_NS'!V8</f>
        <v>2</v>
      </c>
      <c r="W117" s="92">
        <f>LITI_Q1_HALF17195[[#This Row],[Dimes]]/LITI_Q1_HALF17195[[#This Row],[Turnovers]]</f>
        <v>1.5</v>
      </c>
    </row>
    <row r="118" spans="1:23" hidden="1" x14ac:dyDescent="0.2">
      <c r="A118" s="13" t="s">
        <v>253</v>
      </c>
      <c r="B118" s="90">
        <f>LITI_Q1_HALF17195[[#This Row],[2PT FGM]]+LITI_Q1_HALF17195[[#This Row],[3PT FGM]]</f>
        <v>0</v>
      </c>
      <c r="C118" s="90">
        <f>LITI_Q1_HALF17195[[#This Row],[2PT FGA]]+LITI_Q1_HALF17195[[#This Row],[3PT FGA]]</f>
        <v>0</v>
      </c>
      <c r="D118" s="91" t="e">
        <f>LITI_Q1_HALF17195[[#This Row],[Total FGM]]/LITI_Q1_HALF17195[[#This Row],[Total FGA]]</f>
        <v>#DIV/0!</v>
      </c>
      <c r="E118" s="98">
        <f>'5_BMBs_NS'!E9</f>
        <v>0</v>
      </c>
      <c r="F118" s="229">
        <f>'5_BMBs_NS'!F9</f>
        <v>0</v>
      </c>
      <c r="G118" s="91" t="e">
        <f>LITI_Q1_HALF17195[[#This Row],[2PT FGM]]/LITI_Q1_HALF17195[[#This Row],[2PT FGA]]</f>
        <v>#DIV/0!</v>
      </c>
      <c r="H118" s="229">
        <f>'5_BMBs_NS'!H9</f>
        <v>0</v>
      </c>
      <c r="I118" s="229">
        <f>'5_BMBs_NS'!I9</f>
        <v>0</v>
      </c>
      <c r="J118" s="91" t="e">
        <f>LITI_Q1_HALF17195[[#This Row],[3PT FGM]]/LITI_Q1_HALF17195[[#This Row],[3PT FGA]]</f>
        <v>#DIV/0!</v>
      </c>
      <c r="K118" s="229">
        <f>'5_BMBs_NS'!K9</f>
        <v>0</v>
      </c>
      <c r="L118" s="229">
        <f>'5_BMBs_NS'!L9</f>
        <v>0</v>
      </c>
      <c r="M118" s="99" t="e">
        <f>LITI_Q1_HALF17195[[#This Row],[FTM]]/LITI_Q1_HALF17195[[#This Row],[FTA]]</f>
        <v>#DIV/0!</v>
      </c>
      <c r="N118" s="19">
        <f>SUM(LITI_Q1_HALF17195[[#This Row],[2PT FGM]]*2,LITI_Q1_HALF17195[[#This Row],[3PT FGM]]*3,LITI_Q1_HALF17195[[#This Row],[FTM]])</f>
        <v>0</v>
      </c>
      <c r="O118" s="229">
        <f>'5_BMBs_NS'!O9</f>
        <v>0</v>
      </c>
      <c r="P118" s="229">
        <f>'5_BMBs_NS'!P9</f>
        <v>0</v>
      </c>
      <c r="Q118" s="229">
        <f>'5_BMBs_NS'!Q9</f>
        <v>0</v>
      </c>
      <c r="R118" s="19">
        <f>LITI_Q1_HALF17195[[#This Row],[Off. Boards]]+LITI_Q1_HALF17195[[#This Row],[Def. Boards]]</f>
        <v>0</v>
      </c>
      <c r="S118" s="229">
        <f>'5_BMBs_NS'!S9</f>
        <v>0</v>
      </c>
      <c r="T118" s="229">
        <f>'5_BMBs_NS'!T9</f>
        <v>0</v>
      </c>
      <c r="U118" s="229">
        <f>'5_BMBs_NS'!U9</f>
        <v>0</v>
      </c>
      <c r="V118" s="229">
        <f>'5_BMBs_NS'!V9</f>
        <v>0</v>
      </c>
      <c r="W118" s="92" t="e">
        <f>LITI_Q1_HALF17195[[#This Row],[Dimes]]/LITI_Q1_HALF17195[[#This Row],[Turnovers]]</f>
        <v>#DIV/0!</v>
      </c>
    </row>
    <row r="119" spans="1:23" x14ac:dyDescent="0.2">
      <c r="A119" s="13" t="s">
        <v>253</v>
      </c>
      <c r="B119" s="90">
        <f>LITI_Q1_HALF17195[[#This Row],[2PT FGM]]+LITI_Q1_HALF17195[[#This Row],[3PT FGM]]</f>
        <v>1</v>
      </c>
      <c r="C119" s="90">
        <f>LITI_Q1_HALF17195[[#This Row],[2PT FGA]]+LITI_Q1_HALF17195[[#This Row],[3PT FGA]]</f>
        <v>8</v>
      </c>
      <c r="D119" s="91">
        <f>LITI_Q1_HALF17195[[#This Row],[Total FGM]]/LITI_Q1_HALF17195[[#This Row],[Total FGA]]</f>
        <v>0.125</v>
      </c>
      <c r="E119" s="98">
        <f>'5_BMBs_NS'!E10</f>
        <v>0</v>
      </c>
      <c r="F119" s="229">
        <f>'5_BMBs_NS'!F10</f>
        <v>0</v>
      </c>
      <c r="G119" s="91" t="e">
        <f>LITI_Q1_HALF17195[[#This Row],[2PT FGM]]/LITI_Q1_HALF17195[[#This Row],[2PT FGA]]</f>
        <v>#DIV/0!</v>
      </c>
      <c r="H119" s="229">
        <f>'5_BMBs_NS'!H10</f>
        <v>1</v>
      </c>
      <c r="I119" s="229">
        <f>'5_BMBs_NS'!I10</f>
        <v>8</v>
      </c>
      <c r="J119" s="91">
        <f>LITI_Q1_HALF17195[[#This Row],[3PT FGM]]/LITI_Q1_HALF17195[[#This Row],[3PT FGA]]</f>
        <v>0.125</v>
      </c>
      <c r="K119" s="229">
        <f>'5_BMBs_NS'!K10</f>
        <v>0</v>
      </c>
      <c r="L119" s="229">
        <f>'5_BMBs_NS'!L10</f>
        <v>0</v>
      </c>
      <c r="M119" s="99" t="e">
        <f>LITI_Q1_HALF17195[[#This Row],[FTM]]/LITI_Q1_HALF17195[[#This Row],[FTA]]</f>
        <v>#DIV/0!</v>
      </c>
      <c r="N119" s="19">
        <f>SUM(LITI_Q1_HALF17195[[#This Row],[2PT FGM]]*2,LITI_Q1_HALF17195[[#This Row],[3PT FGM]]*3,LITI_Q1_HALF17195[[#This Row],[FTM]])</f>
        <v>3</v>
      </c>
      <c r="O119" s="229">
        <f>'5_BMBs_NS'!O10</f>
        <v>0</v>
      </c>
      <c r="P119" s="229">
        <f>'5_BMBs_NS'!P10</f>
        <v>2</v>
      </c>
      <c r="Q119" s="229">
        <f>'5_BMBs_NS'!Q10</f>
        <v>0</v>
      </c>
      <c r="R119" s="19">
        <f>LITI_Q1_HALF17195[[#This Row],[Off. Boards]]+LITI_Q1_HALF17195[[#This Row],[Def. Boards]]</f>
        <v>2</v>
      </c>
      <c r="S119" s="229">
        <f>'5_BMBs_NS'!S10</f>
        <v>2</v>
      </c>
      <c r="T119" s="229">
        <f>'5_BMBs_NS'!T10</f>
        <v>1</v>
      </c>
      <c r="U119" s="229">
        <f>'5_BMBs_NS'!U10</f>
        <v>2</v>
      </c>
      <c r="V119" s="229">
        <f>'5_BMBs_NS'!V10</f>
        <v>0</v>
      </c>
      <c r="W119" s="92" t="e">
        <f>LITI_Q1_HALF17195[[#This Row],[Dimes]]/LITI_Q1_HALF17195[[#This Row],[Turnovers]]</f>
        <v>#DIV/0!</v>
      </c>
    </row>
    <row r="120" spans="1:23" ht="16" thickBot="1" x14ac:dyDescent="0.25">
      <c r="A120" s="82" t="s">
        <v>76</v>
      </c>
      <c r="B120" s="100">
        <f>SUM(B115:B119)</f>
        <v>13</v>
      </c>
      <c r="C120" s="100">
        <f>SUM(C115:C119)</f>
        <v>42</v>
      </c>
      <c r="D120" s="101">
        <f>LITI_Q1_HALF17195[[#This Row],[Total FGM]]/LITI_Q1_HALF17195[[#This Row],[Total FGA]]</f>
        <v>0.30952380952380953</v>
      </c>
      <c r="E120" s="102">
        <f>SUM(E115:E119)</f>
        <v>9</v>
      </c>
      <c r="F120" s="103">
        <f>SUM(F115:F119)</f>
        <v>17</v>
      </c>
      <c r="G120" s="108">
        <f>LITI_Q1_HALF17195[[#This Row],[2PT FGM]]/LITI_Q1_HALF17195[[#This Row],[2PT FGA]]</f>
        <v>0.52941176470588236</v>
      </c>
      <c r="H120" s="103">
        <f>SUM(H115:H119)</f>
        <v>4</v>
      </c>
      <c r="I120" s="103">
        <f>SUM(I115:I119)</f>
        <v>25</v>
      </c>
      <c r="J120" s="104">
        <f>LITI_Q1_HALF17195[[#This Row],[3PT FGM]]/LITI_Q1_HALF17195[[#This Row],[3PT FGA]]</f>
        <v>0.16</v>
      </c>
      <c r="K120" s="103">
        <f>SUM(K115:K119)</f>
        <v>0</v>
      </c>
      <c r="L120" s="103">
        <f>SUM(L115:L119)</f>
        <v>0</v>
      </c>
      <c r="M120" s="105" t="e">
        <f>LITI_Q1_HALF17195[[#This Row],[FTM]]/LITI_Q1_HALF17195[[#This Row],[FTA]]</f>
        <v>#DIV/0!</v>
      </c>
      <c r="N120" s="62">
        <f>SUM(LITI_Q1_HALF17195[[#This Row],[2PT FGM]]*2,LITI_Q1_HALF17195[[#This Row],[3PT FGM]]*3,LITI_Q1_HALF17195[[#This Row],[FTM]])</f>
        <v>30</v>
      </c>
      <c r="O120" s="106">
        <f>SUM(O115:O119)</f>
        <v>4</v>
      </c>
      <c r="P120" s="106">
        <f t="shared" ref="P120:V120" si="21">SUM(P115:P119)</f>
        <v>8</v>
      </c>
      <c r="Q120" s="106">
        <f t="shared" si="21"/>
        <v>6</v>
      </c>
      <c r="R120" s="106">
        <f t="shared" si="21"/>
        <v>14</v>
      </c>
      <c r="S120" s="106">
        <f t="shared" si="21"/>
        <v>8</v>
      </c>
      <c r="T120" s="106">
        <f t="shared" si="21"/>
        <v>6</v>
      </c>
      <c r="U120" s="106">
        <f t="shared" si="21"/>
        <v>3</v>
      </c>
      <c r="V120" s="106">
        <f t="shared" si="21"/>
        <v>3</v>
      </c>
      <c r="W120" s="107">
        <f>LITI_Q1_HALF17195[[#This Row],[Dimes]]/LITI_Q1_HALF17195[[#This Row],[Turnovers]]</f>
        <v>2.6666666666666665</v>
      </c>
    </row>
    <row r="122" spans="1:23" ht="16" thickBot="1" x14ac:dyDescent="0.25">
      <c r="A122" s="94" t="s">
        <v>250</v>
      </c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</row>
    <row r="123" spans="1:23" ht="16" x14ac:dyDescent="0.2">
      <c r="A123" s="166" t="s">
        <v>209</v>
      </c>
      <c r="B123" s="11" t="s">
        <v>0</v>
      </c>
      <c r="C123" s="11" t="s">
        <v>1</v>
      </c>
      <c r="D123" s="11" t="s">
        <v>2</v>
      </c>
      <c r="E123" s="95" t="s">
        <v>3</v>
      </c>
      <c r="F123" s="96" t="s">
        <v>4</v>
      </c>
      <c r="G123" s="96" t="s">
        <v>5</v>
      </c>
      <c r="H123" s="96" t="s">
        <v>6</v>
      </c>
      <c r="I123" s="96" t="s">
        <v>7</v>
      </c>
      <c r="J123" s="96" t="s">
        <v>8</v>
      </c>
      <c r="K123" s="96" t="s">
        <v>9</v>
      </c>
      <c r="L123" s="96" t="s">
        <v>10</v>
      </c>
      <c r="M123" s="97" t="s">
        <v>11</v>
      </c>
      <c r="N123" s="11" t="s">
        <v>12</v>
      </c>
      <c r="O123" s="10" t="s">
        <v>13</v>
      </c>
      <c r="P123" s="11" t="s">
        <v>14</v>
      </c>
      <c r="Q123" s="11" t="s">
        <v>15</v>
      </c>
      <c r="R123" s="11" t="s">
        <v>16</v>
      </c>
      <c r="S123" s="10" t="s">
        <v>17</v>
      </c>
      <c r="T123" s="10" t="s">
        <v>18</v>
      </c>
      <c r="U123" s="10" t="s">
        <v>19</v>
      </c>
      <c r="V123" s="10" t="s">
        <v>20</v>
      </c>
      <c r="W123" s="10" t="s">
        <v>21</v>
      </c>
    </row>
    <row r="124" spans="1:23" hidden="1" x14ac:dyDescent="0.2">
      <c r="A124" t="s">
        <v>251</v>
      </c>
      <c r="B124" s="90">
        <f>GN_Q1_HALF17298[[#This Row],[2PT FGM]]+GN_Q1_HALF17298[[#This Row],[3PT FGM]]</f>
        <v>0</v>
      </c>
      <c r="C124" s="90">
        <f>GN_Q1_HALF17298[[#This Row],[2PT FGA]]+GN_Q1_HALF17298[[#This Row],[3PT FGA]]</f>
        <v>0</v>
      </c>
      <c r="D124" s="91" t="e">
        <f>GN_Q1_HALF17298[[#This Row],[Total FGM]]/GN_Q1_HALF17298[[#This Row],[Total FGA]]</f>
        <v>#DIV/0!</v>
      </c>
      <c r="E124" s="98">
        <f>'5_BMBs_NS'!E15</f>
        <v>0</v>
      </c>
      <c r="F124" s="19">
        <f>'5_BMBs_NS'!F15</f>
        <v>0</v>
      </c>
      <c r="G124" s="91" t="e">
        <f>GN_Q1_HALF17298[[#This Row],[2PT FGM]]/GN_Q1_HALF17298[[#This Row],[2PT FGA]]</f>
        <v>#DIV/0!</v>
      </c>
      <c r="H124" s="19">
        <f>'5_BMBs_NS'!H15</f>
        <v>0</v>
      </c>
      <c r="I124" s="19">
        <f>'5_BMBs_NS'!I15</f>
        <v>0</v>
      </c>
      <c r="J124" s="91" t="e">
        <f>GN_Q1_HALF17298[[#This Row],[3PT FGM]]/GN_Q1_HALF17298[[#This Row],[3PT FGA]]</f>
        <v>#DIV/0!</v>
      </c>
      <c r="K124" s="19">
        <f>'5_BMBs_NS'!K15</f>
        <v>0</v>
      </c>
      <c r="L124" s="19">
        <f>'5_BMBs_NS'!L15</f>
        <v>0</v>
      </c>
      <c r="M124" s="99" t="e">
        <f>GN_Q1_HALF17298[[#This Row],[FTM]]/GN_Q1_HALF17298[[#This Row],[FTA]]</f>
        <v>#DIV/0!</v>
      </c>
      <c r="N124" s="19">
        <f>SUM(GN_Q1_HALF17298[[#This Row],[2PT FGM]]*2,GN_Q1_HALF17298[[#This Row],[3PT FGM]]*3,GN_Q1_HALF17298[[#This Row],[FTM]])</f>
        <v>0</v>
      </c>
      <c r="O124" s="19">
        <f>'5_BMBs_NS'!O15</f>
        <v>0</v>
      </c>
      <c r="P124" s="19">
        <f>'5_BMBs_NS'!P15</f>
        <v>0</v>
      </c>
      <c r="Q124" s="19">
        <f>'5_BMBs_NS'!Q15</f>
        <v>0</v>
      </c>
      <c r="R124" s="19">
        <f>GN_Q1_HALF17298[[#This Row],[Off. Boards]]+GN_Q1_HALF17298[[#This Row],[Def. Boards]]</f>
        <v>0</v>
      </c>
      <c r="S124" s="19">
        <f>'5_BMBs_NS'!S15</f>
        <v>0</v>
      </c>
      <c r="T124" s="19">
        <f>'5_BMBs_NS'!T15</f>
        <v>0</v>
      </c>
      <c r="U124" s="19">
        <f>'5_BMBs_NS'!U15</f>
        <v>0</v>
      </c>
      <c r="V124" s="19">
        <f>'5_BMBs_NS'!V15</f>
        <v>0</v>
      </c>
      <c r="W124" s="92" t="e">
        <f>GN_Q1_HALF17298[[#This Row],[Dimes]]/GN_Q1_HALF17298[[#This Row],[Turnovers]]</f>
        <v>#DIV/0!</v>
      </c>
    </row>
    <row r="125" spans="1:23" x14ac:dyDescent="0.2">
      <c r="A125" t="s">
        <v>257</v>
      </c>
      <c r="B125" s="90">
        <f>GN_Q1_HALF17298[[#This Row],[2PT FGM]]+GN_Q1_HALF17298[[#This Row],[3PT FGM]]</f>
        <v>8</v>
      </c>
      <c r="C125" s="90">
        <f>GN_Q1_HALF17298[[#This Row],[2PT FGA]]+GN_Q1_HALF17298[[#This Row],[3PT FGA]]</f>
        <v>11</v>
      </c>
      <c r="D125" s="91">
        <f>GN_Q1_HALF17298[[#This Row],[Total FGM]]/GN_Q1_HALF17298[[#This Row],[Total FGA]]</f>
        <v>0.72727272727272729</v>
      </c>
      <c r="E125" s="98">
        <f>'5_BMBs_NS'!E16</f>
        <v>8</v>
      </c>
      <c r="F125" s="19">
        <f>'5_BMBs_NS'!F16</f>
        <v>11</v>
      </c>
      <c r="G125" s="91">
        <f>GN_Q1_HALF17298[[#This Row],[2PT FGM]]/GN_Q1_HALF17298[[#This Row],[2PT FGA]]</f>
        <v>0.72727272727272729</v>
      </c>
      <c r="H125" s="19">
        <f>'5_BMBs_NS'!H16</f>
        <v>0</v>
      </c>
      <c r="I125" s="19">
        <f>'5_BMBs_NS'!I16</f>
        <v>0</v>
      </c>
      <c r="J125" s="91" t="e">
        <f>GN_Q1_HALF17298[[#This Row],[3PT FGM]]/GN_Q1_HALF17298[[#This Row],[3PT FGA]]</f>
        <v>#DIV/0!</v>
      </c>
      <c r="K125" s="19">
        <f>'5_BMBs_NS'!K16</f>
        <v>0</v>
      </c>
      <c r="L125" s="19">
        <f>'5_BMBs_NS'!L16</f>
        <v>0</v>
      </c>
      <c r="M125" s="99" t="e">
        <f>GN_Q1_HALF17298[[#This Row],[FTM]]/GN_Q1_HALF17298[[#This Row],[FTA]]</f>
        <v>#DIV/0!</v>
      </c>
      <c r="N125" s="19">
        <f>SUM(GN_Q1_HALF17298[[#This Row],[2PT FGM]]*2,GN_Q1_HALF17298[[#This Row],[3PT FGM]]*3,GN_Q1_HALF17298[[#This Row],[FTM]])</f>
        <v>16</v>
      </c>
      <c r="O125" s="19">
        <f>'5_BMBs_NS'!O16</f>
        <v>7</v>
      </c>
      <c r="P125" s="19">
        <f>'5_BMBs_NS'!P16</f>
        <v>8</v>
      </c>
      <c r="Q125" s="19">
        <f>'5_BMBs_NS'!Q16</f>
        <v>5</v>
      </c>
      <c r="R125" s="19">
        <f>GN_Q1_HALF17298[[#This Row],[Off. Boards]]+GN_Q1_HALF17298[[#This Row],[Def. Boards]]</f>
        <v>13</v>
      </c>
      <c r="S125" s="19">
        <f>'5_BMBs_NS'!S16</f>
        <v>0</v>
      </c>
      <c r="T125" s="19">
        <f>'5_BMBs_NS'!T16</f>
        <v>1</v>
      </c>
      <c r="U125" s="19">
        <f>'5_BMBs_NS'!U16</f>
        <v>0</v>
      </c>
      <c r="V125" s="19">
        <f>'5_BMBs_NS'!V16</f>
        <v>1</v>
      </c>
      <c r="W125" s="92">
        <f>GN_Q1_HALF17298[[#This Row],[Dimes]]/GN_Q1_HALF17298[[#This Row],[Turnovers]]</f>
        <v>0</v>
      </c>
    </row>
    <row r="126" spans="1:23" x14ac:dyDescent="0.2">
      <c r="A126" t="s">
        <v>258</v>
      </c>
      <c r="B126" s="90">
        <f>GN_Q1_HALF17298[[#This Row],[2PT FGM]]+GN_Q1_HALF17298[[#This Row],[3PT FGM]]</f>
        <v>3</v>
      </c>
      <c r="C126" s="90">
        <f>GN_Q1_HALF17298[[#This Row],[2PT FGA]]+GN_Q1_HALF17298[[#This Row],[3PT FGA]]</f>
        <v>8</v>
      </c>
      <c r="D126" s="91">
        <f>GN_Q1_HALF17298[[#This Row],[Total FGM]]/GN_Q1_HALF17298[[#This Row],[Total FGA]]</f>
        <v>0.375</v>
      </c>
      <c r="E126" s="98">
        <f>'5_BMBs_NS'!E17</f>
        <v>2</v>
      </c>
      <c r="F126" s="19">
        <f>'5_BMBs_NS'!F17</f>
        <v>3</v>
      </c>
      <c r="G126" s="91">
        <f>GN_Q1_HALF17298[[#This Row],[2PT FGM]]/GN_Q1_HALF17298[[#This Row],[2PT FGA]]</f>
        <v>0.66666666666666663</v>
      </c>
      <c r="H126" s="19">
        <f>'5_BMBs_NS'!H17</f>
        <v>1</v>
      </c>
      <c r="I126" s="19">
        <f>'5_BMBs_NS'!I17</f>
        <v>5</v>
      </c>
      <c r="J126" s="91">
        <f>GN_Q1_HALF17298[[#This Row],[3PT FGM]]/GN_Q1_HALF17298[[#This Row],[3PT FGA]]</f>
        <v>0.2</v>
      </c>
      <c r="K126" s="19">
        <f>'5_BMBs_NS'!K17</f>
        <v>0</v>
      </c>
      <c r="L126" s="19">
        <f>'5_BMBs_NS'!L17</f>
        <v>0</v>
      </c>
      <c r="M126" s="99" t="e">
        <f>GN_Q1_HALF17298[[#This Row],[FTM]]/GN_Q1_HALF17298[[#This Row],[FTA]]</f>
        <v>#DIV/0!</v>
      </c>
      <c r="N126" s="19">
        <f>SUM(GN_Q1_HALF17298[[#This Row],[2PT FGM]]*2,GN_Q1_HALF17298[[#This Row],[3PT FGM]]*3,GN_Q1_HALF17298[[#This Row],[FTM]])</f>
        <v>7</v>
      </c>
      <c r="O126" s="19">
        <f>'5_BMBs_NS'!O17</f>
        <v>0</v>
      </c>
      <c r="P126" s="19">
        <f>'5_BMBs_NS'!P17</f>
        <v>5</v>
      </c>
      <c r="Q126" s="19">
        <f>'5_BMBs_NS'!Q17</f>
        <v>1</v>
      </c>
      <c r="R126" s="19">
        <f>GN_Q1_HALF17298[[#This Row],[Off. Boards]]+GN_Q1_HALF17298[[#This Row],[Def. Boards]]</f>
        <v>6</v>
      </c>
      <c r="S126" s="19">
        <f>'5_BMBs_NS'!S17</f>
        <v>6</v>
      </c>
      <c r="T126" s="19">
        <f>'5_BMBs_NS'!T17</f>
        <v>0</v>
      </c>
      <c r="U126" s="19">
        <f>'5_BMBs_NS'!U17</f>
        <v>0</v>
      </c>
      <c r="V126" s="19">
        <f>'5_BMBs_NS'!V17</f>
        <v>6</v>
      </c>
      <c r="W126" s="92">
        <f>GN_Q1_HALF17298[[#This Row],[Dimes]]/GN_Q1_HALF17298[[#This Row],[Turnovers]]</f>
        <v>1</v>
      </c>
    </row>
    <row r="127" spans="1:23" x14ac:dyDescent="0.2">
      <c r="A127" t="s">
        <v>259</v>
      </c>
      <c r="B127" s="90">
        <f>GN_Q1_HALF17298[[#This Row],[2PT FGM]]+GN_Q1_HALF17298[[#This Row],[3PT FGM]]</f>
        <v>4</v>
      </c>
      <c r="C127" s="90">
        <f>GN_Q1_HALF17298[[#This Row],[2PT FGA]]+GN_Q1_HALF17298[[#This Row],[3PT FGA]]</f>
        <v>10</v>
      </c>
      <c r="D127" s="91">
        <f>GN_Q1_HALF17298[[#This Row],[Total FGM]]/GN_Q1_HALF17298[[#This Row],[Total FGA]]</f>
        <v>0.4</v>
      </c>
      <c r="E127" s="98">
        <f>'5_BMBs_NS'!E18</f>
        <v>1</v>
      </c>
      <c r="F127" s="19">
        <f>'5_BMBs_NS'!F18</f>
        <v>3</v>
      </c>
      <c r="G127" s="91">
        <f>GN_Q1_HALF17298[[#This Row],[2PT FGM]]/GN_Q1_HALF17298[[#This Row],[2PT FGA]]</f>
        <v>0.33333333333333331</v>
      </c>
      <c r="H127" s="19">
        <f>'5_BMBs_NS'!H18</f>
        <v>3</v>
      </c>
      <c r="I127" s="19">
        <f>'5_BMBs_NS'!I18</f>
        <v>7</v>
      </c>
      <c r="J127" s="91">
        <f>GN_Q1_HALF17298[[#This Row],[3PT FGM]]/GN_Q1_HALF17298[[#This Row],[3PT FGA]]</f>
        <v>0.42857142857142855</v>
      </c>
      <c r="K127" s="19">
        <f>'5_BMBs_NS'!K18</f>
        <v>0</v>
      </c>
      <c r="L127" s="19">
        <f>'5_BMBs_NS'!L18</f>
        <v>0</v>
      </c>
      <c r="M127" s="99" t="e">
        <f>GN_Q1_HALF17298[[#This Row],[FTM]]/GN_Q1_HALF17298[[#This Row],[FTA]]</f>
        <v>#DIV/0!</v>
      </c>
      <c r="N127" s="19">
        <f>SUM(GN_Q1_HALF17298[[#This Row],[2PT FGM]]*2,GN_Q1_HALF17298[[#This Row],[3PT FGM]]*3,GN_Q1_HALF17298[[#This Row],[FTM]])</f>
        <v>11</v>
      </c>
      <c r="O127" s="19">
        <f>'5_BMBs_NS'!O18</f>
        <v>0</v>
      </c>
      <c r="P127" s="19">
        <f>'5_BMBs_NS'!P18</f>
        <v>2</v>
      </c>
      <c r="Q127" s="19">
        <f>'5_BMBs_NS'!Q18</f>
        <v>0</v>
      </c>
      <c r="R127" s="19">
        <f>GN_Q1_HALF17298[[#This Row],[Off. Boards]]+GN_Q1_HALF17298[[#This Row],[Def. Boards]]</f>
        <v>2</v>
      </c>
      <c r="S127" s="19">
        <f>'5_BMBs_NS'!S18</f>
        <v>5</v>
      </c>
      <c r="T127" s="19">
        <f>'5_BMBs_NS'!T18</f>
        <v>1</v>
      </c>
      <c r="U127" s="19">
        <f>'5_BMBs_NS'!U18</f>
        <v>2</v>
      </c>
      <c r="V127" s="19">
        <f>'5_BMBs_NS'!V18</f>
        <v>1</v>
      </c>
      <c r="W127" s="92">
        <f>GN_Q1_HALF17298[[#This Row],[Dimes]]/GN_Q1_HALF17298[[#This Row],[Turnovers]]</f>
        <v>5</v>
      </c>
    </row>
    <row r="128" spans="1:23" x14ac:dyDescent="0.2">
      <c r="A128" t="s">
        <v>252</v>
      </c>
      <c r="B128" s="90">
        <f>GN_Q1_HALF17298[[#This Row],[2PT FGM]]+GN_Q1_HALF17298[[#This Row],[3PT FGM]]</f>
        <v>4</v>
      </c>
      <c r="C128" s="90">
        <f>GN_Q1_HALF17298[[#This Row],[2PT FGA]]+GN_Q1_HALF17298[[#This Row],[3PT FGA]]</f>
        <v>7</v>
      </c>
      <c r="D128" s="91">
        <f>GN_Q1_HALF17298[[#This Row],[Total FGM]]/GN_Q1_HALF17298[[#This Row],[Total FGA]]</f>
        <v>0.5714285714285714</v>
      </c>
      <c r="E128" s="98">
        <f>'5_BMBs_NS'!E19</f>
        <v>3</v>
      </c>
      <c r="F128" s="19">
        <f>'5_BMBs_NS'!F19</f>
        <v>5</v>
      </c>
      <c r="G128" s="91">
        <f>GN_Q1_HALF17298[[#This Row],[2PT FGM]]/GN_Q1_HALF17298[[#This Row],[2PT FGA]]</f>
        <v>0.6</v>
      </c>
      <c r="H128" s="19">
        <f>'5_BMBs_NS'!H19</f>
        <v>1</v>
      </c>
      <c r="I128" s="19">
        <f>'5_BMBs_NS'!I19</f>
        <v>2</v>
      </c>
      <c r="J128" s="91">
        <f>GN_Q1_HALF17298[[#This Row],[3PT FGM]]/GN_Q1_HALF17298[[#This Row],[3PT FGA]]</f>
        <v>0.5</v>
      </c>
      <c r="K128" s="19">
        <f>'5_BMBs_NS'!K19</f>
        <v>0</v>
      </c>
      <c r="L128" s="19">
        <f>'5_BMBs_NS'!L19</f>
        <v>0</v>
      </c>
      <c r="M128" s="99" t="e">
        <f>GN_Q1_HALF17298[[#This Row],[FTM]]/GN_Q1_HALF17298[[#This Row],[FTA]]</f>
        <v>#DIV/0!</v>
      </c>
      <c r="N128" s="19">
        <f>SUM(GN_Q1_HALF17298[[#This Row],[2PT FGM]]*2,GN_Q1_HALF17298[[#This Row],[3PT FGM]]*3,GN_Q1_HALF17298[[#This Row],[FTM]])</f>
        <v>9</v>
      </c>
      <c r="O128" s="19">
        <f>'5_BMBs_NS'!O19</f>
        <v>0</v>
      </c>
      <c r="P128" s="19">
        <f>'5_BMBs_NS'!P19</f>
        <v>1</v>
      </c>
      <c r="Q128" s="19">
        <f>'5_BMBs_NS'!Q19</f>
        <v>3</v>
      </c>
      <c r="R128" s="19">
        <f>GN_Q1_HALF17298[[#This Row],[Off. Boards]]+GN_Q1_HALF17298[[#This Row],[Def. Boards]]</f>
        <v>4</v>
      </c>
      <c r="S128" s="19">
        <f>'5_BMBs_NS'!S19</f>
        <v>0</v>
      </c>
      <c r="T128" s="19">
        <f>'5_BMBs_NS'!T19</f>
        <v>1</v>
      </c>
      <c r="U128" s="19">
        <f>'5_BMBs_NS'!U19</f>
        <v>0</v>
      </c>
      <c r="V128" s="19">
        <f>'5_BMBs_NS'!V19</f>
        <v>2</v>
      </c>
      <c r="W128" s="92">
        <f>GN_Q1_HALF17298[[#This Row],[Dimes]]/GN_Q1_HALF17298[[#This Row],[Turnovers]]</f>
        <v>0</v>
      </c>
    </row>
    <row r="129" spans="1:23" ht="16" thickBot="1" x14ac:dyDescent="0.25">
      <c r="A129" s="82" t="s">
        <v>76</v>
      </c>
      <c r="B129" s="100">
        <f>SUM(B124:B128)</f>
        <v>19</v>
      </c>
      <c r="C129" s="100">
        <f>SUM(C124:C128)</f>
        <v>36</v>
      </c>
      <c r="D129" s="101">
        <f>GN_Q1_HALF17298[[#This Row],[Total FGM]]/GN_Q1_HALF17298[[#This Row],[Total FGA]]</f>
        <v>0.52777777777777779</v>
      </c>
      <c r="E129" s="102">
        <f>SUM(E124:E128)</f>
        <v>14</v>
      </c>
      <c r="F129" s="103">
        <f>SUM(F124:F128)</f>
        <v>22</v>
      </c>
      <c r="G129" s="104">
        <f>GN_Q1_HALF17298[[#This Row],[2PT FGM]]/GN_Q1_HALF17298[[#This Row],[2PT FGA]]</f>
        <v>0.63636363636363635</v>
      </c>
      <c r="H129" s="103">
        <f>SUM(H124:H128)</f>
        <v>5</v>
      </c>
      <c r="I129" s="103">
        <f>SUM(I124:I128)</f>
        <v>14</v>
      </c>
      <c r="J129" s="109">
        <f>GN_Q1_HALF17298[[#This Row],[3PT FGM]]/GN_Q1_HALF17298[[#This Row],[3PT FGA]]</f>
        <v>0.35714285714285715</v>
      </c>
      <c r="K129" s="103">
        <f>SUM(K124:K128)</f>
        <v>0</v>
      </c>
      <c r="L129" s="103">
        <f>SUM(L124:L128)</f>
        <v>0</v>
      </c>
      <c r="M129" s="105" t="e">
        <f>GN_Q1_HALF17298[[#This Row],[FTM]]/GN_Q1_HALF17298[[#This Row],[FTA]]</f>
        <v>#DIV/0!</v>
      </c>
      <c r="N129" s="62">
        <f>SUM(GN_Q1_HALF17298[[#This Row],[2PT FGM]]*2,GN_Q1_HALF17298[[#This Row],[3PT FGM]]*3,GN_Q1_HALF17298[[#This Row],[FTM]])</f>
        <v>43</v>
      </c>
      <c r="O129" s="100">
        <f>SUM(O124:O128)</f>
        <v>7</v>
      </c>
      <c r="P129" s="100">
        <f>SUM(P124:P128)</f>
        <v>16</v>
      </c>
      <c r="Q129" s="100">
        <f>SUM(Q124:Q128)</f>
        <v>9</v>
      </c>
      <c r="R129" s="106">
        <f>GN_Q1_HALF17298[[#This Row],[Def. Boards]]+GN_Q1_HALF17298[[#This Row],[Off. Boards]]</f>
        <v>25</v>
      </c>
      <c r="S129" s="100">
        <f>SUM(S124:S128)</f>
        <v>11</v>
      </c>
      <c r="T129" s="100">
        <f>SUM(T124:T128)</f>
        <v>3</v>
      </c>
      <c r="U129" s="100">
        <f>SUM(U124:U128)</f>
        <v>2</v>
      </c>
      <c r="V129" s="100">
        <f>SUM(V124:V128)</f>
        <v>10</v>
      </c>
      <c r="W129" s="107">
        <f>GN_Q1_HALF17298[[#This Row],[Dimes]]/GN_Q1_HALF17298[[#This Row],[Turnovers]]</f>
        <v>1.1000000000000001</v>
      </c>
    </row>
    <row r="131" spans="1:23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</row>
    <row r="132" spans="1:23" hidden="1" x14ac:dyDescent="0.2">
      <c r="C132" s="86" t="s">
        <v>68</v>
      </c>
      <c r="D132" s="86" t="s">
        <v>134</v>
      </c>
      <c r="E132" s="86" t="s">
        <v>74</v>
      </c>
    </row>
    <row r="133" spans="1:23" ht="24" hidden="1" x14ac:dyDescent="0.2">
      <c r="A133" s="84" t="s">
        <v>66</v>
      </c>
      <c r="B133" s="85" t="s">
        <v>127</v>
      </c>
      <c r="C133" s="53"/>
      <c r="D133" s="85" t="s">
        <v>137</v>
      </c>
      <c r="E133" s="85"/>
      <c r="H133" s="23"/>
      <c r="I133" s="23"/>
    </row>
    <row r="134" spans="1:23" ht="24" hidden="1" x14ac:dyDescent="0.2">
      <c r="A134" s="84"/>
      <c r="B134" s="85" t="s">
        <v>151</v>
      </c>
      <c r="C134" s="85">
        <f>N143</f>
        <v>0</v>
      </c>
      <c r="D134" s="85"/>
      <c r="E134" s="85">
        <f>N153</f>
        <v>0</v>
      </c>
      <c r="H134" s="23"/>
    </row>
    <row r="135" spans="1:23" hidden="1" x14ac:dyDescent="0.2">
      <c r="A135" t="s">
        <v>149</v>
      </c>
    </row>
    <row r="136" spans="1:23" ht="16" hidden="1" thickBot="1" x14ac:dyDescent="0.25">
      <c r="A136" s="13" t="s">
        <v>148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</row>
    <row r="137" spans="1:23" ht="16" hidden="1" x14ac:dyDescent="0.2">
      <c r="A137" s="89" t="s">
        <v>169</v>
      </c>
      <c r="B137" s="11" t="s">
        <v>0</v>
      </c>
      <c r="C137" s="11" t="s">
        <v>1</v>
      </c>
      <c r="D137" s="11" t="s">
        <v>2</v>
      </c>
      <c r="E137" s="95" t="s">
        <v>3</v>
      </c>
      <c r="F137" s="96" t="s">
        <v>4</v>
      </c>
      <c r="G137" s="96" t="s">
        <v>5</v>
      </c>
      <c r="H137" s="96" t="s">
        <v>6</v>
      </c>
      <c r="I137" s="96" t="s">
        <v>7</v>
      </c>
      <c r="J137" s="96" t="s">
        <v>8</v>
      </c>
      <c r="K137" s="96" t="s">
        <v>9</v>
      </c>
      <c r="L137" s="96" t="s">
        <v>10</v>
      </c>
      <c r="M137" s="97" t="s">
        <v>11</v>
      </c>
      <c r="N137" s="11" t="s">
        <v>12</v>
      </c>
      <c r="O137" s="10" t="s">
        <v>13</v>
      </c>
      <c r="P137" s="11" t="s">
        <v>14</v>
      </c>
      <c r="Q137" s="11" t="s">
        <v>15</v>
      </c>
      <c r="R137" s="11" t="s">
        <v>16</v>
      </c>
      <c r="S137" s="10" t="s">
        <v>17</v>
      </c>
      <c r="T137" s="10" t="s">
        <v>18</v>
      </c>
      <c r="U137" s="10" t="s">
        <v>19</v>
      </c>
      <c r="V137" s="10" t="s">
        <v>20</v>
      </c>
      <c r="W137" s="10" t="s">
        <v>21</v>
      </c>
    </row>
    <row r="138" spans="1:23" hidden="1" x14ac:dyDescent="0.2">
      <c r="A138" s="13"/>
      <c r="B138" s="90">
        <f>LITI_Q1_TOT85[[#This Row],[2PT FGM]]+LITI_Q1_TOT85[[#This Row],[3PT FGM]]</f>
        <v>0</v>
      </c>
      <c r="C138" s="90">
        <f>LITI_Q1_TOT85[[#This Row],[2PT FGA]]+LITI_Q1_TOT85[[#This Row],[3PT FGA]]</f>
        <v>0</v>
      </c>
      <c r="D138" s="91" t="e">
        <f>LITI_Q1_TOT85[[#This Row],[Total FGM]]/LITI_Q1_TOT85[[#This Row],[Total FGA]]</f>
        <v>#DIV/0!</v>
      </c>
      <c r="E138" s="142"/>
      <c r="F138" s="19"/>
      <c r="G138" s="91" t="e">
        <f>LITI_Q1_TOT85[[#This Row],[2PT FGM]]/LITI_Q1_TOT85[[#This Row],[2PT FGA]]</f>
        <v>#DIV/0!</v>
      </c>
      <c r="H138" s="19"/>
      <c r="I138" s="19"/>
      <c r="J138" s="91" t="e">
        <f>LITI_Q1_TOT85[[#This Row],[3PT FGM]]/LITI_Q1_TOT85[[#This Row],[3PT FGA]]</f>
        <v>#DIV/0!</v>
      </c>
      <c r="K138" s="19"/>
      <c r="L138" s="19"/>
      <c r="M138" s="99" t="e">
        <f>LITI_Q1_TOT85[[#This Row],[FTM]]/LITI_Q1_TOT85[[#This Row],[FTA]]</f>
        <v>#DIV/0!</v>
      </c>
      <c r="N138" s="19">
        <f>SUM(LITI_Q1_TOT85[[#This Row],[2PT FGM]]*2,LITI_Q1_TOT85[[#This Row],[3PT FGM]]*3,LITI_Q1_TOT85[[#This Row],[FTM]])</f>
        <v>0</v>
      </c>
      <c r="O138" s="19"/>
      <c r="P138" s="19"/>
      <c r="Q138" s="19"/>
      <c r="R138" s="19"/>
      <c r="S138" s="19"/>
      <c r="T138" s="19"/>
      <c r="U138" s="19"/>
      <c r="V138" s="19"/>
      <c r="W138" s="92" t="e">
        <f>LITI_Q1_TOT85[[#This Row],[Dimes]]/LITI_Q1_TOT85[[#This Row],[Turnovers]]</f>
        <v>#DIV/0!</v>
      </c>
    </row>
    <row r="139" spans="1:23" hidden="1" x14ac:dyDescent="0.2">
      <c r="A139" s="13"/>
      <c r="B139" s="90">
        <f>LITI_Q1_TOT85[[#This Row],[2PT FGM]]+LITI_Q1_TOT85[[#This Row],[3PT FGM]]</f>
        <v>0</v>
      </c>
      <c r="C139" s="90">
        <f>LITI_Q1_TOT85[[#This Row],[2PT FGA]]+LITI_Q1_TOT85[[#This Row],[3PT FGA]]</f>
        <v>0</v>
      </c>
      <c r="D139" s="91" t="e">
        <f>LITI_Q1_TOT85[[#This Row],[Total FGM]]/LITI_Q1_TOT85[[#This Row],[Total FGA]]</f>
        <v>#DIV/0!</v>
      </c>
      <c r="E139" s="142"/>
      <c r="F139" s="19"/>
      <c r="G139" s="91" t="e">
        <f>LITI_Q1_TOT85[[#This Row],[2PT FGM]]/LITI_Q1_TOT85[[#This Row],[2PT FGA]]</f>
        <v>#DIV/0!</v>
      </c>
      <c r="H139" s="19"/>
      <c r="I139" s="19"/>
      <c r="J139" s="91" t="e">
        <f>LITI_Q1_TOT85[[#This Row],[3PT FGM]]/LITI_Q1_TOT85[[#This Row],[3PT FGA]]</f>
        <v>#DIV/0!</v>
      </c>
      <c r="K139" s="19"/>
      <c r="L139" s="19"/>
      <c r="M139" s="99" t="e">
        <f>LITI_Q1_TOT85[[#This Row],[FTM]]/LITI_Q1_TOT85[[#This Row],[FTA]]</f>
        <v>#DIV/0!</v>
      </c>
      <c r="N139" s="19">
        <f>SUM(LITI_Q1_TOT85[[#This Row],[2PT FGM]]*2,LITI_Q1_TOT85[[#This Row],[3PT FGM]]*3,LITI_Q1_TOT85[[#This Row],[FTM]])</f>
        <v>0</v>
      </c>
      <c r="O139" s="19"/>
      <c r="P139" s="19"/>
      <c r="Q139" s="19"/>
      <c r="R139" s="19"/>
      <c r="S139" s="19"/>
      <c r="T139" s="19"/>
      <c r="U139" s="19"/>
      <c r="V139" s="19"/>
      <c r="W139" s="92" t="e">
        <f>LITI_Q1_TOT85[[#This Row],[Dimes]]/LITI_Q1_TOT85[[#This Row],[Turnovers]]</f>
        <v>#DIV/0!</v>
      </c>
    </row>
    <row r="140" spans="1:23" hidden="1" x14ac:dyDescent="0.2">
      <c r="A140" s="13"/>
      <c r="B140" s="90">
        <f>LITI_Q1_TOT85[[#This Row],[2PT FGM]]+LITI_Q1_TOT85[[#This Row],[3PT FGM]]</f>
        <v>0</v>
      </c>
      <c r="C140" s="90">
        <f>LITI_Q1_TOT85[[#This Row],[2PT FGA]]+LITI_Q1_TOT85[[#This Row],[3PT FGA]]</f>
        <v>0</v>
      </c>
      <c r="D140" s="91" t="e">
        <f>LITI_Q1_TOT85[[#This Row],[Total FGM]]/LITI_Q1_TOT85[[#This Row],[Total FGA]]</f>
        <v>#DIV/0!</v>
      </c>
      <c r="E140" s="142"/>
      <c r="F140" s="19"/>
      <c r="G140" s="91" t="e">
        <f>LITI_Q1_TOT85[[#This Row],[2PT FGM]]/LITI_Q1_TOT85[[#This Row],[2PT FGA]]</f>
        <v>#DIV/0!</v>
      </c>
      <c r="H140" s="19"/>
      <c r="I140" s="19"/>
      <c r="J140" s="91" t="e">
        <f>LITI_Q1_TOT85[[#This Row],[3PT FGM]]/LITI_Q1_TOT85[[#This Row],[3PT FGA]]</f>
        <v>#DIV/0!</v>
      </c>
      <c r="K140" s="19"/>
      <c r="L140" s="19"/>
      <c r="M140" s="99" t="e">
        <f>LITI_Q1_TOT85[[#This Row],[FTM]]/LITI_Q1_TOT85[[#This Row],[FTA]]</f>
        <v>#DIV/0!</v>
      </c>
      <c r="N140" s="19">
        <f>SUM(LITI_Q1_TOT85[[#This Row],[2PT FGM]]*2,LITI_Q1_TOT85[[#This Row],[3PT FGM]]*3,LITI_Q1_TOT85[[#This Row],[FTM]])</f>
        <v>0</v>
      </c>
      <c r="O140" s="19"/>
      <c r="P140" s="19"/>
      <c r="Q140" s="19"/>
      <c r="R140" s="19"/>
      <c r="S140" s="19"/>
      <c r="T140" s="19"/>
      <c r="U140" s="19"/>
      <c r="V140" s="19"/>
      <c r="W140" s="92" t="e">
        <f>LITI_Q1_TOT85[[#This Row],[Dimes]]/LITI_Q1_TOT85[[#This Row],[Turnovers]]</f>
        <v>#DIV/0!</v>
      </c>
    </row>
    <row r="141" spans="1:23" hidden="1" x14ac:dyDescent="0.2">
      <c r="A141" s="13"/>
      <c r="B141" s="90">
        <f>LITI_Q1_TOT85[[#This Row],[2PT FGM]]+LITI_Q1_TOT85[[#This Row],[3PT FGM]]</f>
        <v>0</v>
      </c>
      <c r="C141" s="90">
        <f>LITI_Q1_TOT85[[#This Row],[2PT FGA]]+LITI_Q1_TOT85[[#This Row],[3PT FGA]]</f>
        <v>0</v>
      </c>
      <c r="D141" s="91" t="e">
        <f>LITI_Q1_TOT85[[#This Row],[Total FGM]]/LITI_Q1_TOT85[[#This Row],[Total FGA]]</f>
        <v>#DIV/0!</v>
      </c>
      <c r="E141" s="142"/>
      <c r="F141" s="19"/>
      <c r="G141" s="91" t="e">
        <f>LITI_Q1_TOT85[[#This Row],[2PT FGM]]/LITI_Q1_TOT85[[#This Row],[2PT FGA]]</f>
        <v>#DIV/0!</v>
      </c>
      <c r="H141" s="19"/>
      <c r="I141" s="19"/>
      <c r="J141" s="91" t="e">
        <f>LITI_Q1_TOT85[[#This Row],[3PT FGM]]/LITI_Q1_TOT85[[#This Row],[3PT FGA]]</f>
        <v>#DIV/0!</v>
      </c>
      <c r="K141" s="19"/>
      <c r="L141" s="19"/>
      <c r="M141" s="99" t="e">
        <f>LITI_Q1_TOT85[[#This Row],[FTM]]/LITI_Q1_TOT85[[#This Row],[FTA]]</f>
        <v>#DIV/0!</v>
      </c>
      <c r="N141" s="19">
        <f>SUM(LITI_Q1_TOT85[[#This Row],[2PT FGM]]*2,LITI_Q1_TOT85[[#This Row],[3PT FGM]]*3,LITI_Q1_TOT85[[#This Row],[FTM]])</f>
        <v>0</v>
      </c>
      <c r="O141" s="19"/>
      <c r="P141" s="19"/>
      <c r="Q141" s="19"/>
      <c r="R141" s="19"/>
      <c r="S141" s="19"/>
      <c r="T141" s="19"/>
      <c r="U141" s="19"/>
      <c r="V141" s="19"/>
      <c r="W141" s="92" t="e">
        <f>LITI_Q1_TOT85[[#This Row],[Dimes]]/LITI_Q1_TOT85[[#This Row],[Turnovers]]</f>
        <v>#DIV/0!</v>
      </c>
    </row>
    <row r="142" spans="1:23" hidden="1" x14ac:dyDescent="0.2">
      <c r="A142" s="93"/>
      <c r="B142" s="90"/>
      <c r="C142" s="90"/>
      <c r="D142" s="91"/>
      <c r="E142" s="142"/>
      <c r="F142" s="19"/>
      <c r="G142" s="91"/>
      <c r="H142" s="19"/>
      <c r="I142" s="19"/>
      <c r="J142" s="91"/>
      <c r="K142" s="19"/>
      <c r="L142" s="19"/>
      <c r="M142" s="99"/>
      <c r="N142" s="19"/>
      <c r="O142" s="19"/>
      <c r="P142" s="19"/>
      <c r="Q142" s="19"/>
      <c r="R142" s="19"/>
      <c r="S142" s="19"/>
      <c r="T142" s="19"/>
      <c r="U142" s="19"/>
      <c r="V142" s="19"/>
      <c r="W142" s="92"/>
    </row>
    <row r="143" spans="1:23" ht="16" hidden="1" thickBot="1" x14ac:dyDescent="0.25">
      <c r="A143" s="82" t="s">
        <v>76</v>
      </c>
      <c r="B143" s="100">
        <f>SUM(B138:B142)</f>
        <v>0</v>
      </c>
      <c r="C143" s="100">
        <f>SUM(C138:C142)</f>
        <v>0</v>
      </c>
      <c r="D143" s="101" t="e">
        <f>LITI_Q1_TOT85[[#This Row],[Total FGM]]/LITI_Q1_TOT85[[#This Row],[Total FGA]]</f>
        <v>#DIV/0!</v>
      </c>
      <c r="E143" s="102">
        <f>SUM(E138:E142)</f>
        <v>0</v>
      </c>
      <c r="F143" s="103">
        <f>SUM(F138:F142)</f>
        <v>0</v>
      </c>
      <c r="G143" s="108" t="e">
        <f>LITI_Q1_TOT85[[#This Row],[2PT FGM]]/LITI_Q1_TOT85[[#This Row],[2PT FGA]]</f>
        <v>#DIV/0!</v>
      </c>
      <c r="H143" s="103">
        <f>SUM(H138:H142)</f>
        <v>0</v>
      </c>
      <c r="I143" s="103">
        <f>SUM(I138:I142)</f>
        <v>0</v>
      </c>
      <c r="J143" s="104" t="e">
        <f>LITI_Q1_TOT85[[#This Row],[3PT FGM]]/LITI_Q1_TOT85[[#This Row],[3PT FGA]]</f>
        <v>#DIV/0!</v>
      </c>
      <c r="K143" s="103">
        <f>SUM(K138:K142)</f>
        <v>0</v>
      </c>
      <c r="L143" s="103">
        <f>SUM(L138:L142)</f>
        <v>0</v>
      </c>
      <c r="M143" s="105" t="e">
        <f>LITI_Q1_TOT85[[#This Row],[FTM]]/LITI_Q1_TOT85[[#This Row],[FTA]]</f>
        <v>#DIV/0!</v>
      </c>
      <c r="N143" s="62">
        <f>SUM(LITI_Q1_TOT85[[#This Row],[2PT FGM]]*2,LITI_Q1_TOT85[[#This Row],[3PT FGM]]*3,LITI_Q1_TOT85[[#This Row],[FTM]])</f>
        <v>0</v>
      </c>
      <c r="O143" s="106">
        <f>SUM(O138:O142)</f>
        <v>0</v>
      </c>
      <c r="P143" s="106">
        <f t="shared" ref="P143:V143" si="22">SUM(P138:P142)</f>
        <v>0</v>
      </c>
      <c r="Q143" s="106">
        <f t="shared" si="22"/>
        <v>0</v>
      </c>
      <c r="R143" s="106">
        <f t="shared" si="22"/>
        <v>0</v>
      </c>
      <c r="S143" s="106">
        <f t="shared" si="22"/>
        <v>0</v>
      </c>
      <c r="T143" s="106">
        <f t="shared" si="22"/>
        <v>0</v>
      </c>
      <c r="U143" s="106">
        <f t="shared" si="22"/>
        <v>0</v>
      </c>
      <c r="V143" s="106">
        <f t="shared" si="22"/>
        <v>0</v>
      </c>
      <c r="W143" s="107" t="e">
        <f>LITI_Q1_TOT85[[#This Row],[Dimes]]/LITI_Q1_TOT85[[#This Row],[Turnovers]]</f>
        <v>#DIV/0!</v>
      </c>
    </row>
    <row r="144" spans="1:23" hidden="1" x14ac:dyDescent="0.2"/>
    <row r="145" spans="1:23" hidden="1" x14ac:dyDescent="0.2">
      <c r="A145" t="s">
        <v>150</v>
      </c>
    </row>
    <row r="146" spans="1:23" ht="16" hidden="1" thickBot="1" x14ac:dyDescent="0.25">
      <c r="A146" s="94" t="s">
        <v>148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</row>
    <row r="147" spans="1:23" ht="16" hidden="1" x14ac:dyDescent="0.2">
      <c r="A147" s="89" t="s">
        <v>169</v>
      </c>
      <c r="B147" s="11" t="s">
        <v>0</v>
      </c>
      <c r="C147" s="11" t="s">
        <v>1</v>
      </c>
      <c r="D147" s="11" t="s">
        <v>2</v>
      </c>
      <c r="E147" s="95" t="s">
        <v>3</v>
      </c>
      <c r="F147" s="96" t="s">
        <v>4</v>
      </c>
      <c r="G147" s="96" t="s">
        <v>5</v>
      </c>
      <c r="H147" s="96" t="s">
        <v>6</v>
      </c>
      <c r="I147" s="96" t="s">
        <v>7</v>
      </c>
      <c r="J147" s="96" t="s">
        <v>8</v>
      </c>
      <c r="K147" s="96" t="s">
        <v>9</v>
      </c>
      <c r="L147" s="96" t="s">
        <v>10</v>
      </c>
      <c r="M147" s="97" t="s">
        <v>11</v>
      </c>
      <c r="N147" s="11" t="s">
        <v>12</v>
      </c>
      <c r="O147" s="10" t="s">
        <v>13</v>
      </c>
      <c r="P147" s="11" t="s">
        <v>14</v>
      </c>
      <c r="Q147" s="11" t="s">
        <v>15</v>
      </c>
      <c r="R147" s="11" t="s">
        <v>16</v>
      </c>
      <c r="S147" s="10" t="s">
        <v>17</v>
      </c>
      <c r="T147" s="10" t="s">
        <v>18</v>
      </c>
      <c r="U147" s="10" t="s">
        <v>19</v>
      </c>
      <c r="V147" s="10" t="s">
        <v>20</v>
      </c>
      <c r="W147" s="10" t="s">
        <v>21</v>
      </c>
    </row>
    <row r="148" spans="1:23" hidden="1" x14ac:dyDescent="0.2">
      <c r="A148" s="13"/>
      <c r="B148" s="90">
        <f>GN_Q1_TOT88[[#This Row],[2PT FGM]]+GN_Q1_TOT88[[#This Row],[3PT FGM]]</f>
        <v>0</v>
      </c>
      <c r="C148" s="90">
        <f>GN_Q1_TOT88[[#This Row],[2PT FGA]]+GN_Q1_TOT88[[#This Row],[3PT FGA]]</f>
        <v>0</v>
      </c>
      <c r="D148" s="91" t="e">
        <f>GN_Q1_TOT88[[#This Row],[Total FGM]]/GN_Q1_TOT88[[#This Row],[Total FGA]]</f>
        <v>#DIV/0!</v>
      </c>
      <c r="E148" s="98"/>
      <c r="F148" s="19"/>
      <c r="G148" s="91" t="e">
        <f>GN_Q1_TOT88[[#This Row],[2PT FGM]]/GN_Q1_TOT88[[#This Row],[2PT FGA]]</f>
        <v>#DIV/0!</v>
      </c>
      <c r="H148" s="19"/>
      <c r="I148" s="19"/>
      <c r="J148" s="91" t="e">
        <f>GN_Q1_TOT88[[#This Row],[3PT FGM]]/GN_Q1_TOT88[[#This Row],[3PT FGA]]</f>
        <v>#DIV/0!</v>
      </c>
      <c r="K148" s="19"/>
      <c r="L148" s="19"/>
      <c r="M148" s="99" t="e">
        <f>GN_Q1_TOT88[[#This Row],[FTM]]/GN_Q1_TOT88[[#This Row],[FTA]]</f>
        <v>#DIV/0!</v>
      </c>
      <c r="N148" s="19">
        <f>SUM(GN_Q1_TOT88[[#This Row],[2PT FGM]]*2,GN_Q1_TOT88[[#This Row],[3PT FGM]]*3,GN_Q1_TOT88[[#This Row],[FTM]])</f>
        <v>0</v>
      </c>
      <c r="O148" s="19"/>
      <c r="P148" s="19"/>
      <c r="Q148" s="19"/>
      <c r="R148" s="19"/>
      <c r="S148" s="19"/>
      <c r="T148" s="19"/>
      <c r="U148" s="19"/>
      <c r="V148" s="19"/>
      <c r="W148" s="92" t="e">
        <f>GN_Q1_TOT88[[#This Row],[Dimes]]/GN_Q1_TOT88[[#This Row],[Turnovers]]</f>
        <v>#DIV/0!</v>
      </c>
    </row>
    <row r="149" spans="1:23" hidden="1" x14ac:dyDescent="0.2">
      <c r="A149" s="14"/>
      <c r="B149" s="90">
        <f>GN_Q1_TOT88[[#This Row],[2PT FGM]]+GN_Q1_TOT88[[#This Row],[3PT FGM]]</f>
        <v>0</v>
      </c>
      <c r="C149" s="90">
        <f>GN_Q1_TOT88[[#This Row],[2PT FGA]]+GN_Q1_TOT88[[#This Row],[3PT FGA]]</f>
        <v>0</v>
      </c>
      <c r="D149" s="91" t="e">
        <f>GN_Q1_TOT88[[#This Row],[Total FGM]]/GN_Q1_TOT88[[#This Row],[Total FGA]]</f>
        <v>#DIV/0!</v>
      </c>
      <c r="E149" s="98"/>
      <c r="F149" s="19"/>
      <c r="G149" s="91" t="e">
        <f>GN_Q1_TOT88[[#This Row],[2PT FGM]]/GN_Q1_TOT88[[#This Row],[2PT FGA]]</f>
        <v>#DIV/0!</v>
      </c>
      <c r="H149" s="19"/>
      <c r="I149" s="19"/>
      <c r="J149" s="91" t="e">
        <f>GN_Q1_TOT88[[#This Row],[3PT FGM]]/GN_Q1_TOT88[[#This Row],[3PT FGA]]</f>
        <v>#DIV/0!</v>
      </c>
      <c r="K149" s="19"/>
      <c r="L149" s="19"/>
      <c r="M149" s="99" t="e">
        <f>GN_Q1_TOT88[[#This Row],[FTM]]/GN_Q1_TOT88[[#This Row],[FTA]]</f>
        <v>#DIV/0!</v>
      </c>
      <c r="N149" s="19">
        <f>SUM(GN_Q1_TOT88[[#This Row],[2PT FGM]]*2,GN_Q1_TOT88[[#This Row],[3PT FGM]]*3,GN_Q1_TOT88[[#This Row],[FTM]])</f>
        <v>0</v>
      </c>
      <c r="O149" s="19"/>
      <c r="P149" s="19"/>
      <c r="Q149" s="19"/>
      <c r="R149" s="19"/>
      <c r="S149" s="19"/>
      <c r="T149" s="19"/>
      <c r="U149" s="19"/>
      <c r="V149" s="19"/>
      <c r="W149" s="92" t="e">
        <f>GN_Q1_TOT88[[#This Row],[Dimes]]/GN_Q1_TOT88[[#This Row],[Turnovers]]</f>
        <v>#DIV/0!</v>
      </c>
    </row>
    <row r="150" spans="1:23" hidden="1" x14ac:dyDescent="0.2">
      <c r="A150" s="13"/>
      <c r="B150" s="90">
        <f>GN_Q1_TOT88[[#This Row],[2PT FGM]]+GN_Q1_TOT88[[#This Row],[3PT FGM]]</f>
        <v>0</v>
      </c>
      <c r="C150" s="90">
        <f>GN_Q1_TOT88[[#This Row],[2PT FGA]]+GN_Q1_TOT88[[#This Row],[3PT FGA]]</f>
        <v>0</v>
      </c>
      <c r="D150" s="91" t="e">
        <f>GN_Q1_TOT88[[#This Row],[Total FGM]]/GN_Q1_TOT88[[#This Row],[Total FGA]]</f>
        <v>#DIV/0!</v>
      </c>
      <c r="E150" s="98"/>
      <c r="F150" s="19"/>
      <c r="G150" s="91" t="e">
        <f>GN_Q1_TOT88[[#This Row],[2PT FGM]]/GN_Q1_TOT88[[#This Row],[2PT FGA]]</f>
        <v>#DIV/0!</v>
      </c>
      <c r="H150" s="19"/>
      <c r="I150" s="19"/>
      <c r="J150" s="91" t="e">
        <f>GN_Q1_TOT88[[#This Row],[3PT FGM]]/GN_Q1_TOT88[[#This Row],[3PT FGA]]</f>
        <v>#DIV/0!</v>
      </c>
      <c r="K150" s="19"/>
      <c r="L150" s="19"/>
      <c r="M150" s="99" t="e">
        <f>GN_Q1_TOT88[[#This Row],[FTM]]/GN_Q1_TOT88[[#This Row],[FTA]]</f>
        <v>#DIV/0!</v>
      </c>
      <c r="N150" s="19">
        <f>SUM(GN_Q1_TOT88[[#This Row],[2PT FGM]]*2,GN_Q1_TOT88[[#This Row],[3PT FGM]]*3,GN_Q1_TOT88[[#This Row],[FTM]])</f>
        <v>0</v>
      </c>
      <c r="O150" s="19"/>
      <c r="P150" s="19"/>
      <c r="Q150" s="19"/>
      <c r="R150" s="19"/>
      <c r="S150" s="19"/>
      <c r="T150" s="19"/>
      <c r="U150" s="19"/>
      <c r="V150" s="19"/>
      <c r="W150" s="92" t="e">
        <f>GN_Q1_TOT88[[#This Row],[Dimes]]/GN_Q1_TOT88[[#This Row],[Turnovers]]</f>
        <v>#DIV/0!</v>
      </c>
    </row>
    <row r="151" spans="1:23" hidden="1" x14ac:dyDescent="0.2">
      <c r="A151" s="13"/>
      <c r="B151" s="90">
        <f>GN_Q1_TOT88[[#This Row],[2PT FGM]]+GN_Q1_TOT88[[#This Row],[3PT FGM]]</f>
        <v>0</v>
      </c>
      <c r="C151" s="90">
        <f>GN_Q1_TOT88[[#This Row],[2PT FGA]]+GN_Q1_TOT88[[#This Row],[3PT FGA]]</f>
        <v>0</v>
      </c>
      <c r="D151" s="91" t="e">
        <f>GN_Q1_TOT88[[#This Row],[Total FGM]]/GN_Q1_TOT88[[#This Row],[Total FGA]]</f>
        <v>#DIV/0!</v>
      </c>
      <c r="E151" s="98"/>
      <c r="F151" s="19"/>
      <c r="G151" s="91" t="e">
        <f>GN_Q1_TOT88[[#This Row],[2PT FGM]]/GN_Q1_TOT88[[#This Row],[2PT FGA]]</f>
        <v>#DIV/0!</v>
      </c>
      <c r="H151" s="19"/>
      <c r="I151" s="19"/>
      <c r="J151" s="91" t="e">
        <f>GN_Q1_TOT88[[#This Row],[3PT FGM]]/GN_Q1_TOT88[[#This Row],[3PT FGA]]</f>
        <v>#DIV/0!</v>
      </c>
      <c r="K151" s="19"/>
      <c r="L151" s="19"/>
      <c r="M151" s="99" t="e">
        <f>GN_Q1_TOT88[[#This Row],[FTM]]/GN_Q1_TOT88[[#This Row],[FTA]]</f>
        <v>#DIV/0!</v>
      </c>
      <c r="N151" s="19">
        <f>SUM(GN_Q1_TOT88[[#This Row],[2PT FGM]]*2,GN_Q1_TOT88[[#This Row],[3PT FGM]]*3,GN_Q1_TOT88[[#This Row],[FTM]])</f>
        <v>0</v>
      </c>
      <c r="O151" s="19"/>
      <c r="P151" s="19"/>
      <c r="Q151" s="19"/>
      <c r="R151" s="19"/>
      <c r="S151" s="19"/>
      <c r="T151" s="19"/>
      <c r="U151" s="19"/>
      <c r="V151" s="19"/>
      <c r="W151" s="92" t="e">
        <f>GN_Q1_TOT88[[#This Row],[Dimes]]/GN_Q1_TOT88[[#This Row],[Turnovers]]</f>
        <v>#DIV/0!</v>
      </c>
    </row>
    <row r="152" spans="1:23" hidden="1" x14ac:dyDescent="0.2">
      <c r="A152" s="93"/>
      <c r="B152" s="90"/>
      <c r="C152" s="90"/>
      <c r="D152" s="91"/>
      <c r="E152" s="98"/>
      <c r="F152" s="19"/>
      <c r="G152" s="91"/>
      <c r="H152" s="19"/>
      <c r="I152" s="19"/>
      <c r="J152" s="91"/>
      <c r="K152" s="19"/>
      <c r="L152" s="19"/>
      <c r="M152" s="99"/>
      <c r="N152" s="19"/>
      <c r="O152" s="19"/>
      <c r="P152" s="19"/>
      <c r="Q152" s="19"/>
      <c r="R152" s="19"/>
      <c r="S152" s="19"/>
      <c r="T152" s="19"/>
      <c r="U152" s="19"/>
      <c r="V152" s="19"/>
      <c r="W152" s="92"/>
    </row>
    <row r="153" spans="1:23" ht="16" hidden="1" thickBot="1" x14ac:dyDescent="0.25">
      <c r="A153" s="82" t="s">
        <v>76</v>
      </c>
      <c r="B153" s="100">
        <f>SUM(B148:B152)</f>
        <v>0</v>
      </c>
      <c r="C153" s="100">
        <f>SUM(C148:C152)</f>
        <v>0</v>
      </c>
      <c r="D153" s="101" t="e">
        <f>GN_Q1_TOT88[[#This Row],[Total FGM]]/GN_Q1_TOT88[[#This Row],[Total FGA]]</f>
        <v>#DIV/0!</v>
      </c>
      <c r="E153" s="102">
        <f>SUM(E148:E152)</f>
        <v>0</v>
      </c>
      <c r="F153" s="103">
        <f>SUM(F148:F152)</f>
        <v>0</v>
      </c>
      <c r="G153" s="104" t="e">
        <f>GN_Q1_TOT88[[#This Row],[2PT FGM]]/GN_Q1_TOT88[[#This Row],[2PT FGA]]</f>
        <v>#DIV/0!</v>
      </c>
      <c r="H153" s="103">
        <f>SUM(H148:H152)</f>
        <v>0</v>
      </c>
      <c r="I153" s="103">
        <f>SUM(I148:I152)</f>
        <v>0</v>
      </c>
      <c r="J153" s="109" t="e">
        <f>GN_Q1_TOT88[[#This Row],[3PT FGM]]/GN_Q1_TOT88[[#This Row],[3PT FGA]]</f>
        <v>#DIV/0!</v>
      </c>
      <c r="K153" s="103">
        <f>SUM(K148:K152)</f>
        <v>0</v>
      </c>
      <c r="L153" s="103">
        <f>SUM(L148:L152)</f>
        <v>0</v>
      </c>
      <c r="M153" s="105" t="e">
        <f>GN_Q1_TOT88[[#This Row],[FTM]]/GN_Q1_TOT88[[#This Row],[FTA]]</f>
        <v>#DIV/0!</v>
      </c>
      <c r="N153" s="62">
        <f>SUM(GN_Q1_TOT88[[#This Row],[2PT FGM]]*2,GN_Q1_TOT88[[#This Row],[3PT FGM]]*3,GN_Q1_TOT88[[#This Row],[FTM]])</f>
        <v>0</v>
      </c>
      <c r="O153" s="100">
        <f>SUM(O148:O152)</f>
        <v>0</v>
      </c>
      <c r="P153" s="100">
        <f>SUM(P148:P152)</f>
        <v>0</v>
      </c>
      <c r="Q153" s="100">
        <f>SUM(Q148:Q152)</f>
        <v>0</v>
      </c>
      <c r="R153" s="106">
        <f>GN_Q1_TOT88[[#This Row],[Def. Boards]]+GN_Q1_TOT88[[#This Row],[Off. Boards]]</f>
        <v>0</v>
      </c>
      <c r="S153" s="100">
        <f>SUM(S148:S152)</f>
        <v>0</v>
      </c>
      <c r="T153" s="100">
        <f>SUM(T148:T152)</f>
        <v>0</v>
      </c>
      <c r="U153" s="100">
        <f>SUM(U148:U152)</f>
        <v>0</v>
      </c>
      <c r="V153" s="100">
        <f>SUM(V148:V152)</f>
        <v>0</v>
      </c>
      <c r="W153" s="107" t="e">
        <f>GN_Q1_TOT88[[#This Row],[Dimes]]/GN_Q1_TOT88[[#This Row],[Turnovers]]</f>
        <v>#DIV/0!</v>
      </c>
    </row>
    <row r="154" spans="1:23" hidden="1" x14ac:dyDescent="0.2"/>
    <row r="155" spans="1:23" ht="16" hidden="1" thickBot="1" x14ac:dyDescent="0.25">
      <c r="A155" s="59" t="s">
        <v>146</v>
      </c>
    </row>
    <row r="156" spans="1:23" ht="16" hidden="1" x14ac:dyDescent="0.2">
      <c r="A156" s="89" t="s">
        <v>169</v>
      </c>
      <c r="B156" s="11" t="s">
        <v>0</v>
      </c>
      <c r="C156" s="11" t="s">
        <v>1</v>
      </c>
      <c r="D156" s="11" t="s">
        <v>2</v>
      </c>
      <c r="E156" s="95" t="s">
        <v>3</v>
      </c>
      <c r="F156" s="96" t="s">
        <v>4</v>
      </c>
      <c r="G156" s="96" t="s">
        <v>5</v>
      </c>
      <c r="H156" s="96" t="s">
        <v>6</v>
      </c>
      <c r="I156" s="96" t="s">
        <v>7</v>
      </c>
      <c r="J156" s="96" t="s">
        <v>8</v>
      </c>
      <c r="K156" s="96" t="s">
        <v>9</v>
      </c>
      <c r="L156" s="96" t="s">
        <v>10</v>
      </c>
      <c r="M156" s="97" t="s">
        <v>11</v>
      </c>
      <c r="N156" s="11" t="s">
        <v>12</v>
      </c>
      <c r="O156" s="10" t="s">
        <v>13</v>
      </c>
      <c r="P156" s="11" t="s">
        <v>14</v>
      </c>
      <c r="Q156" s="11" t="s">
        <v>15</v>
      </c>
      <c r="R156" s="11" t="s">
        <v>16</v>
      </c>
      <c r="S156" s="10" t="s">
        <v>17</v>
      </c>
      <c r="T156" s="10" t="s">
        <v>18</v>
      </c>
      <c r="U156" s="10" t="s">
        <v>19</v>
      </c>
      <c r="V156" s="10" t="s">
        <v>20</v>
      </c>
      <c r="W156" s="10" t="s">
        <v>21</v>
      </c>
    </row>
    <row r="157" spans="1:23" hidden="1" x14ac:dyDescent="0.2">
      <c r="A157" s="13"/>
      <c r="B157" s="90">
        <f>LITI_Q1_HALF191[[#This Row],[2PT FGM]]+LITI_Q1_HALF191[[#This Row],[3PT FGM]]</f>
        <v>0</v>
      </c>
      <c r="C157" s="90">
        <f>LITI_Q1_HALF191[[#This Row],[2PT FGA]]+LITI_Q1_HALF191[[#This Row],[3PT FGA]]</f>
        <v>0</v>
      </c>
      <c r="D157" s="91" t="e">
        <f>LITI_Q1_HALF191[[#This Row],[Total FGM]]/LITI_Q1_HALF191[[#This Row],[Total FGA]]</f>
        <v>#DIV/0!</v>
      </c>
      <c r="E157" s="98"/>
      <c r="F157" s="19"/>
      <c r="G157" s="91" t="e">
        <f>LITI_Q1_HALF191[[#This Row],[2PT FGM]]/LITI_Q1_HALF191[[#This Row],[2PT FGA]]</f>
        <v>#DIV/0!</v>
      </c>
      <c r="H157" s="19"/>
      <c r="I157" s="19"/>
      <c r="J157" s="91" t="e">
        <f>LITI_Q1_HALF191[[#This Row],[3PT FGM]]/LITI_Q1_HALF191[[#This Row],[3PT FGA]]</f>
        <v>#DIV/0!</v>
      </c>
      <c r="K157" s="19"/>
      <c r="L157" s="19"/>
      <c r="M157" s="99" t="e">
        <f>LITI_Q1_HALF191[[#This Row],[FTM]]/LITI_Q1_HALF191[[#This Row],[FTA]]</f>
        <v>#DIV/0!</v>
      </c>
      <c r="N157" s="19">
        <f>SUM(LITI_Q1_HALF191[[#This Row],[2PT FGM]]*2,LITI_Q1_HALF191[[#This Row],[3PT FGM]]*3,LITI_Q1_HALF191[[#This Row],[FTM]])</f>
        <v>0</v>
      </c>
      <c r="O157" s="19"/>
      <c r="P157" s="19"/>
      <c r="Q157" s="19"/>
      <c r="R157" s="19">
        <f>LITI_Q1_HALF191[[#This Row],[Off. Boards]]+LITI_Q1_HALF191[[#This Row],[Def. Boards]]</f>
        <v>0</v>
      </c>
      <c r="S157" s="19"/>
      <c r="T157" s="19"/>
      <c r="U157" s="19"/>
      <c r="V157" s="19"/>
      <c r="W157" s="92" t="e">
        <f>LITI_Q1_HALF191[[#This Row],[Dimes]]/LITI_Q1_HALF191[[#This Row],[Turnovers]]</f>
        <v>#DIV/0!</v>
      </c>
    </row>
    <row r="158" spans="1:23" hidden="1" x14ac:dyDescent="0.2">
      <c r="A158" s="13"/>
      <c r="B158" s="90">
        <f>LITI_Q1_HALF191[[#This Row],[2PT FGM]]+LITI_Q1_HALF191[[#This Row],[3PT FGM]]</f>
        <v>0</v>
      </c>
      <c r="C158" s="90">
        <f>LITI_Q1_HALF191[[#This Row],[2PT FGA]]+LITI_Q1_HALF191[[#This Row],[3PT FGA]]</f>
        <v>0</v>
      </c>
      <c r="D158" s="91" t="e">
        <f>LITI_Q1_HALF191[[#This Row],[Total FGM]]/LITI_Q1_HALF191[[#This Row],[Total FGA]]</f>
        <v>#DIV/0!</v>
      </c>
      <c r="E158" s="98"/>
      <c r="F158" s="19"/>
      <c r="G158" s="91" t="e">
        <f>LITI_Q1_HALF191[[#This Row],[2PT FGM]]/LITI_Q1_HALF191[[#This Row],[2PT FGA]]</f>
        <v>#DIV/0!</v>
      </c>
      <c r="H158" s="19"/>
      <c r="I158" s="19"/>
      <c r="J158" s="91" t="e">
        <f>LITI_Q1_HALF191[[#This Row],[3PT FGM]]/LITI_Q1_HALF191[[#This Row],[3PT FGA]]</f>
        <v>#DIV/0!</v>
      </c>
      <c r="K158" s="19"/>
      <c r="L158" s="19"/>
      <c r="M158" s="99" t="e">
        <f>LITI_Q1_HALF191[[#This Row],[FTM]]/LITI_Q1_HALF191[[#This Row],[FTA]]</f>
        <v>#DIV/0!</v>
      </c>
      <c r="N158" s="19">
        <f>SUM(LITI_Q1_HALF191[[#This Row],[2PT FGM]]*2,LITI_Q1_HALF191[[#This Row],[3PT FGM]]*3,LITI_Q1_HALF191[[#This Row],[FTM]])</f>
        <v>0</v>
      </c>
      <c r="O158" s="19"/>
      <c r="P158" s="19"/>
      <c r="Q158" s="19"/>
      <c r="R158" s="19">
        <f>LITI_Q1_HALF191[[#This Row],[Off. Boards]]+LITI_Q1_HALF191[[#This Row],[Def. Boards]]</f>
        <v>0</v>
      </c>
      <c r="S158" s="19"/>
      <c r="T158" s="19"/>
      <c r="U158" s="19"/>
      <c r="V158" s="19"/>
      <c r="W158" s="92" t="e">
        <f>LITI_Q1_HALF191[[#This Row],[Dimes]]/LITI_Q1_HALF191[[#This Row],[Turnovers]]</f>
        <v>#DIV/0!</v>
      </c>
    </row>
    <row r="159" spans="1:23" hidden="1" x14ac:dyDescent="0.2">
      <c r="A159" s="13"/>
      <c r="B159" s="90">
        <f>LITI_Q1_HALF191[[#This Row],[2PT FGM]]+LITI_Q1_HALF191[[#This Row],[3PT FGM]]</f>
        <v>0</v>
      </c>
      <c r="C159" s="90">
        <f>LITI_Q1_HALF191[[#This Row],[2PT FGA]]+LITI_Q1_HALF191[[#This Row],[3PT FGA]]</f>
        <v>0</v>
      </c>
      <c r="D159" s="91" t="e">
        <f>LITI_Q1_HALF191[[#This Row],[Total FGM]]/LITI_Q1_HALF191[[#This Row],[Total FGA]]</f>
        <v>#DIV/0!</v>
      </c>
      <c r="E159" s="98"/>
      <c r="F159" s="19"/>
      <c r="G159" s="91" t="e">
        <f>LITI_Q1_HALF191[[#This Row],[2PT FGM]]/LITI_Q1_HALF191[[#This Row],[2PT FGA]]</f>
        <v>#DIV/0!</v>
      </c>
      <c r="H159" s="19"/>
      <c r="I159" s="19"/>
      <c r="J159" s="91" t="e">
        <f>LITI_Q1_HALF191[[#This Row],[3PT FGM]]/LITI_Q1_HALF191[[#This Row],[3PT FGA]]</f>
        <v>#DIV/0!</v>
      </c>
      <c r="K159" s="19"/>
      <c r="L159" s="19"/>
      <c r="M159" s="99" t="e">
        <f>LITI_Q1_HALF191[[#This Row],[FTM]]/LITI_Q1_HALF191[[#This Row],[FTA]]</f>
        <v>#DIV/0!</v>
      </c>
      <c r="N159" s="19">
        <f>SUM(LITI_Q1_HALF191[[#This Row],[2PT FGM]]*2,LITI_Q1_HALF191[[#This Row],[3PT FGM]]*3,LITI_Q1_HALF191[[#This Row],[FTM]])</f>
        <v>0</v>
      </c>
      <c r="O159" s="19"/>
      <c r="P159" s="19"/>
      <c r="Q159" s="19"/>
      <c r="R159" s="19">
        <f>LITI_Q1_HALF191[[#This Row],[Off. Boards]]+LITI_Q1_HALF191[[#This Row],[Def. Boards]]</f>
        <v>0</v>
      </c>
      <c r="S159" s="19"/>
      <c r="T159" s="19"/>
      <c r="U159" s="19"/>
      <c r="V159" s="19"/>
      <c r="W159" s="92" t="e">
        <f>LITI_Q1_HALF191[[#This Row],[Dimes]]/LITI_Q1_HALF191[[#This Row],[Turnovers]]</f>
        <v>#DIV/0!</v>
      </c>
    </row>
    <row r="160" spans="1:23" hidden="1" x14ac:dyDescent="0.2">
      <c r="A160" s="13"/>
      <c r="B160" s="90">
        <f>LITI_Q1_HALF191[[#This Row],[2PT FGM]]+LITI_Q1_HALF191[[#This Row],[3PT FGM]]</f>
        <v>0</v>
      </c>
      <c r="C160" s="90">
        <f>LITI_Q1_HALF191[[#This Row],[2PT FGA]]+LITI_Q1_HALF191[[#This Row],[3PT FGA]]</f>
        <v>0</v>
      </c>
      <c r="D160" s="91" t="e">
        <f>LITI_Q1_HALF191[[#This Row],[Total FGM]]/LITI_Q1_HALF191[[#This Row],[Total FGA]]</f>
        <v>#DIV/0!</v>
      </c>
      <c r="E160" s="98"/>
      <c r="F160" s="19"/>
      <c r="G160" s="91" t="e">
        <f>LITI_Q1_HALF191[[#This Row],[2PT FGM]]/LITI_Q1_HALF191[[#This Row],[2PT FGA]]</f>
        <v>#DIV/0!</v>
      </c>
      <c r="H160" s="19"/>
      <c r="I160" s="19"/>
      <c r="J160" s="91" t="e">
        <f>LITI_Q1_HALF191[[#This Row],[3PT FGM]]/LITI_Q1_HALF191[[#This Row],[3PT FGA]]</f>
        <v>#DIV/0!</v>
      </c>
      <c r="K160" s="19"/>
      <c r="L160" s="19"/>
      <c r="M160" s="99" t="e">
        <f>LITI_Q1_HALF191[[#This Row],[FTM]]/LITI_Q1_HALF191[[#This Row],[FTA]]</f>
        <v>#DIV/0!</v>
      </c>
      <c r="N160" s="19">
        <f>SUM(LITI_Q1_HALF191[[#This Row],[2PT FGM]]*2,LITI_Q1_HALF191[[#This Row],[3PT FGM]]*3,LITI_Q1_HALF191[[#This Row],[FTM]])</f>
        <v>0</v>
      </c>
      <c r="O160" s="19"/>
      <c r="P160" s="19"/>
      <c r="Q160" s="19"/>
      <c r="R160" s="19">
        <f>LITI_Q1_HALF191[[#This Row],[Off. Boards]]+LITI_Q1_HALF191[[#This Row],[Def. Boards]]</f>
        <v>0</v>
      </c>
      <c r="S160" s="19"/>
      <c r="T160" s="19"/>
      <c r="U160" s="19"/>
      <c r="V160" s="19"/>
      <c r="W160" s="92" t="e">
        <f>LITI_Q1_HALF191[[#This Row],[Dimes]]/LITI_Q1_HALF191[[#This Row],[Turnovers]]</f>
        <v>#DIV/0!</v>
      </c>
    </row>
    <row r="161" spans="1:23" hidden="1" x14ac:dyDescent="0.2">
      <c r="A161" s="93"/>
      <c r="B161" s="90"/>
      <c r="C161" s="90"/>
      <c r="D161" s="91"/>
      <c r="E161" s="98"/>
      <c r="F161" s="19"/>
      <c r="G161" s="91"/>
      <c r="H161" s="19"/>
      <c r="I161" s="19"/>
      <c r="J161" s="91"/>
      <c r="K161" s="19"/>
      <c r="L161" s="19"/>
      <c r="M161" s="99"/>
      <c r="N161" s="19"/>
      <c r="O161" s="19"/>
      <c r="P161" s="19"/>
      <c r="Q161" s="19"/>
      <c r="R161" s="19"/>
      <c r="S161" s="19"/>
      <c r="T161" s="19"/>
      <c r="U161" s="19"/>
      <c r="V161" s="19"/>
      <c r="W161" s="92"/>
    </row>
    <row r="162" spans="1:23" ht="16" hidden="1" thickBot="1" x14ac:dyDescent="0.25">
      <c r="A162" s="82" t="s">
        <v>76</v>
      </c>
      <c r="B162" s="100">
        <f>SUM(B157:B161)</f>
        <v>0</v>
      </c>
      <c r="C162" s="100">
        <f>SUM(C157:C161)</f>
        <v>0</v>
      </c>
      <c r="D162" s="101" t="e">
        <f>LITI_Q1_HALF191[[#This Row],[Total FGM]]/LITI_Q1_HALF191[[#This Row],[Total FGA]]</f>
        <v>#DIV/0!</v>
      </c>
      <c r="E162" s="102">
        <f>SUM(E157:E161)</f>
        <v>0</v>
      </c>
      <c r="F162" s="103">
        <f>SUM(F157:F161)</f>
        <v>0</v>
      </c>
      <c r="G162" s="108" t="e">
        <f>LITI_Q1_HALF191[[#This Row],[2PT FGM]]/LITI_Q1_HALF191[[#This Row],[2PT FGA]]</f>
        <v>#DIV/0!</v>
      </c>
      <c r="H162" s="103">
        <f>SUM(H157:H161)</f>
        <v>0</v>
      </c>
      <c r="I162" s="103">
        <f>SUM(I157:I161)</f>
        <v>0</v>
      </c>
      <c r="J162" s="104" t="e">
        <f>LITI_Q1_HALF191[[#This Row],[3PT FGM]]/LITI_Q1_HALF191[[#This Row],[3PT FGA]]</f>
        <v>#DIV/0!</v>
      </c>
      <c r="K162" s="103">
        <f>SUM(K157:K161)</f>
        <v>0</v>
      </c>
      <c r="L162" s="103">
        <f>SUM(L157:L161)</f>
        <v>0</v>
      </c>
      <c r="M162" s="105" t="e">
        <f>LITI_Q1_HALF191[[#This Row],[FTM]]/LITI_Q1_HALF191[[#This Row],[FTA]]</f>
        <v>#DIV/0!</v>
      </c>
      <c r="N162" s="62">
        <f>SUM(LITI_Q1_HALF191[[#This Row],[2PT FGM]]*2,LITI_Q1_HALF191[[#This Row],[3PT FGM]]*3,LITI_Q1_HALF191[[#This Row],[FTM]])</f>
        <v>0</v>
      </c>
      <c r="O162" s="106">
        <f>SUM(O157:O161)</f>
        <v>0</v>
      </c>
      <c r="P162" s="106">
        <f t="shared" ref="P162:V162" si="23">SUM(P157:P161)</f>
        <v>0</v>
      </c>
      <c r="Q162" s="106">
        <f t="shared" si="23"/>
        <v>0</v>
      </c>
      <c r="R162" s="106">
        <f t="shared" si="23"/>
        <v>0</v>
      </c>
      <c r="S162" s="106">
        <f t="shared" si="23"/>
        <v>0</v>
      </c>
      <c r="T162" s="106">
        <f t="shared" si="23"/>
        <v>0</v>
      </c>
      <c r="U162" s="106">
        <f t="shared" si="23"/>
        <v>0</v>
      </c>
      <c r="V162" s="106">
        <f t="shared" si="23"/>
        <v>0</v>
      </c>
      <c r="W162" s="107" t="e">
        <f>LITI_Q1_HALF191[[#This Row],[Dimes]]/LITI_Q1_HALF191[[#This Row],[Turnovers]]</f>
        <v>#DIV/0!</v>
      </c>
    </row>
    <row r="163" spans="1:23" hidden="1" x14ac:dyDescent="0.2"/>
    <row r="164" spans="1:23" ht="16" hidden="1" thickBot="1" x14ac:dyDescent="0.25">
      <c r="A164" s="94" t="s">
        <v>146</v>
      </c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</row>
    <row r="165" spans="1:23" ht="16" hidden="1" x14ac:dyDescent="0.2">
      <c r="A165" s="89" t="s">
        <v>169</v>
      </c>
      <c r="B165" s="11" t="s">
        <v>0</v>
      </c>
      <c r="C165" s="11" t="s">
        <v>1</v>
      </c>
      <c r="D165" s="11" t="s">
        <v>2</v>
      </c>
      <c r="E165" s="95" t="s">
        <v>3</v>
      </c>
      <c r="F165" s="96" t="s">
        <v>4</v>
      </c>
      <c r="G165" s="96" t="s">
        <v>5</v>
      </c>
      <c r="H165" s="96" t="s">
        <v>6</v>
      </c>
      <c r="I165" s="96" t="s">
        <v>7</v>
      </c>
      <c r="J165" s="96" t="s">
        <v>8</v>
      </c>
      <c r="K165" s="96" t="s">
        <v>9</v>
      </c>
      <c r="L165" s="96" t="s">
        <v>10</v>
      </c>
      <c r="M165" s="97" t="s">
        <v>11</v>
      </c>
      <c r="N165" s="11" t="s">
        <v>12</v>
      </c>
      <c r="O165" s="10" t="s">
        <v>13</v>
      </c>
      <c r="P165" s="11" t="s">
        <v>14</v>
      </c>
      <c r="Q165" s="11" t="s">
        <v>15</v>
      </c>
      <c r="R165" s="11" t="s">
        <v>16</v>
      </c>
      <c r="S165" s="10" t="s">
        <v>17</v>
      </c>
      <c r="T165" s="10" t="s">
        <v>18</v>
      </c>
      <c r="U165" s="10" t="s">
        <v>19</v>
      </c>
      <c r="V165" s="10" t="s">
        <v>20</v>
      </c>
      <c r="W165" s="10" t="s">
        <v>21</v>
      </c>
    </row>
    <row r="166" spans="1:23" hidden="1" x14ac:dyDescent="0.2">
      <c r="A166" s="13"/>
      <c r="B166" s="90">
        <f>GN_Q1_HALF194[[#This Row],[2PT FGM]]+GN_Q1_HALF194[[#This Row],[3PT FGM]]</f>
        <v>0</v>
      </c>
      <c r="C166" s="90">
        <f>GN_Q1_HALF194[[#This Row],[2PT FGA]]+GN_Q1_HALF194[[#This Row],[3PT FGA]]</f>
        <v>0</v>
      </c>
      <c r="D166" s="91" t="e">
        <f>GN_Q1_HALF194[[#This Row],[Total FGM]]/GN_Q1_HALF194[[#This Row],[Total FGA]]</f>
        <v>#DIV/0!</v>
      </c>
      <c r="E166" s="98"/>
      <c r="F166" s="19"/>
      <c r="G166" s="91" t="e">
        <f>GN_Q1_HALF194[[#This Row],[2PT FGM]]/GN_Q1_HALF194[[#This Row],[2PT FGA]]</f>
        <v>#DIV/0!</v>
      </c>
      <c r="H166" s="19"/>
      <c r="I166" s="19"/>
      <c r="J166" s="91" t="e">
        <f>GN_Q1_HALF194[[#This Row],[3PT FGM]]/GN_Q1_HALF194[[#This Row],[3PT FGA]]</f>
        <v>#DIV/0!</v>
      </c>
      <c r="K166" s="19"/>
      <c r="L166" s="19"/>
      <c r="M166" s="99" t="e">
        <f>GN_Q1_HALF194[[#This Row],[FTM]]/GN_Q1_HALF194[[#This Row],[FTA]]</f>
        <v>#DIV/0!</v>
      </c>
      <c r="N166" s="19">
        <f>SUM(GN_Q1_HALF194[[#This Row],[2PT FGM]]*2,GN_Q1_HALF194[[#This Row],[3PT FGM]]*3,GN_Q1_HALF194[[#This Row],[FTM]])</f>
        <v>0</v>
      </c>
      <c r="O166" s="19"/>
      <c r="P166" s="19"/>
      <c r="Q166" s="19"/>
      <c r="R166" s="19">
        <f>GN_Q1_HALF194[[#This Row],[Off. Boards]]+GN_Q1_HALF194[[#This Row],[Def. Boards]]</f>
        <v>0</v>
      </c>
      <c r="S166" s="19"/>
      <c r="T166" s="19"/>
      <c r="U166" s="19"/>
      <c r="V166" s="19"/>
      <c r="W166" s="92" t="e">
        <f>GN_Q1_HALF194[[#This Row],[Dimes]]/GN_Q1_HALF194[[#This Row],[Turnovers]]</f>
        <v>#DIV/0!</v>
      </c>
    </row>
    <row r="167" spans="1:23" hidden="1" x14ac:dyDescent="0.2">
      <c r="A167" s="14"/>
      <c r="B167" s="90">
        <f>GN_Q1_HALF194[[#This Row],[2PT FGM]]+GN_Q1_HALF194[[#This Row],[3PT FGM]]</f>
        <v>0</v>
      </c>
      <c r="C167" s="90">
        <f>GN_Q1_HALF194[[#This Row],[2PT FGA]]+GN_Q1_HALF194[[#This Row],[3PT FGA]]</f>
        <v>0</v>
      </c>
      <c r="D167" s="91" t="e">
        <f>GN_Q1_HALF194[[#This Row],[Total FGM]]/GN_Q1_HALF194[[#This Row],[Total FGA]]</f>
        <v>#DIV/0!</v>
      </c>
      <c r="E167" s="98"/>
      <c r="F167" s="19"/>
      <c r="G167" s="91" t="e">
        <f>GN_Q1_HALF194[[#This Row],[2PT FGM]]/GN_Q1_HALF194[[#This Row],[2PT FGA]]</f>
        <v>#DIV/0!</v>
      </c>
      <c r="H167" s="19"/>
      <c r="I167" s="19"/>
      <c r="J167" s="91" t="e">
        <f>GN_Q1_HALF194[[#This Row],[3PT FGM]]/GN_Q1_HALF194[[#This Row],[3PT FGA]]</f>
        <v>#DIV/0!</v>
      </c>
      <c r="K167" s="19"/>
      <c r="L167" s="19"/>
      <c r="M167" s="99" t="e">
        <f>GN_Q1_HALF194[[#This Row],[FTM]]/GN_Q1_HALF194[[#This Row],[FTA]]</f>
        <v>#DIV/0!</v>
      </c>
      <c r="N167" s="19">
        <f>SUM(GN_Q1_HALF194[[#This Row],[2PT FGM]]*2,GN_Q1_HALF194[[#This Row],[3PT FGM]]*3,GN_Q1_HALF194[[#This Row],[FTM]])</f>
        <v>0</v>
      </c>
      <c r="O167" s="19"/>
      <c r="P167" s="19"/>
      <c r="Q167" s="19"/>
      <c r="R167" s="19">
        <f>GN_Q1_HALF194[[#This Row],[Off. Boards]]+GN_Q1_HALF194[[#This Row],[Def. Boards]]</f>
        <v>0</v>
      </c>
      <c r="S167" s="19"/>
      <c r="T167" s="19"/>
      <c r="U167" s="19"/>
      <c r="V167" s="19"/>
      <c r="W167" s="92" t="e">
        <f>GN_Q1_HALF194[[#This Row],[Dimes]]/GN_Q1_HALF194[[#This Row],[Turnovers]]</f>
        <v>#DIV/0!</v>
      </c>
    </row>
    <row r="168" spans="1:23" hidden="1" x14ac:dyDescent="0.2">
      <c r="A168" s="13"/>
      <c r="B168" s="90">
        <f>GN_Q1_HALF194[[#This Row],[2PT FGM]]+GN_Q1_HALF194[[#This Row],[3PT FGM]]</f>
        <v>0</v>
      </c>
      <c r="C168" s="90">
        <f>GN_Q1_HALF194[[#This Row],[2PT FGA]]+GN_Q1_HALF194[[#This Row],[3PT FGA]]</f>
        <v>0</v>
      </c>
      <c r="D168" s="91" t="e">
        <f>GN_Q1_HALF194[[#This Row],[Total FGM]]/GN_Q1_HALF194[[#This Row],[Total FGA]]</f>
        <v>#DIV/0!</v>
      </c>
      <c r="E168" s="98"/>
      <c r="F168" s="19"/>
      <c r="G168" s="91" t="e">
        <f>GN_Q1_HALF194[[#This Row],[2PT FGM]]/GN_Q1_HALF194[[#This Row],[2PT FGA]]</f>
        <v>#DIV/0!</v>
      </c>
      <c r="H168" s="19"/>
      <c r="I168" s="19"/>
      <c r="J168" s="91" t="e">
        <f>GN_Q1_HALF194[[#This Row],[3PT FGM]]/GN_Q1_HALF194[[#This Row],[3PT FGA]]</f>
        <v>#DIV/0!</v>
      </c>
      <c r="K168" s="19"/>
      <c r="L168" s="19"/>
      <c r="M168" s="99" t="e">
        <f>GN_Q1_HALF194[[#This Row],[FTM]]/GN_Q1_HALF194[[#This Row],[FTA]]</f>
        <v>#DIV/0!</v>
      </c>
      <c r="N168" s="19">
        <f>SUM(GN_Q1_HALF194[[#This Row],[2PT FGM]]*2,GN_Q1_HALF194[[#This Row],[3PT FGM]]*3,GN_Q1_HALF194[[#This Row],[FTM]])</f>
        <v>0</v>
      </c>
      <c r="O168" s="19"/>
      <c r="P168" s="19"/>
      <c r="Q168" s="19"/>
      <c r="R168" s="19">
        <f>GN_Q1_HALF194[[#This Row],[Off. Boards]]+GN_Q1_HALF194[[#This Row],[Def. Boards]]</f>
        <v>0</v>
      </c>
      <c r="S168" s="19"/>
      <c r="T168" s="19"/>
      <c r="U168" s="19"/>
      <c r="V168" s="19"/>
      <c r="W168" s="92" t="e">
        <f>GN_Q1_HALF194[[#This Row],[Dimes]]/GN_Q1_HALF194[[#This Row],[Turnovers]]</f>
        <v>#DIV/0!</v>
      </c>
    </row>
    <row r="169" spans="1:23" hidden="1" x14ac:dyDescent="0.2">
      <c r="A169" s="13"/>
      <c r="B169" s="90">
        <f>GN_Q1_HALF194[[#This Row],[2PT FGM]]+GN_Q1_HALF194[[#This Row],[3PT FGM]]</f>
        <v>0</v>
      </c>
      <c r="C169" s="90">
        <f>GN_Q1_HALF194[[#This Row],[2PT FGA]]+GN_Q1_HALF194[[#This Row],[3PT FGA]]</f>
        <v>0</v>
      </c>
      <c r="D169" s="91" t="e">
        <f>GN_Q1_HALF194[[#This Row],[Total FGM]]/GN_Q1_HALF194[[#This Row],[Total FGA]]</f>
        <v>#DIV/0!</v>
      </c>
      <c r="E169" s="98"/>
      <c r="F169" s="19"/>
      <c r="G169" s="91" t="e">
        <f>GN_Q1_HALF194[[#This Row],[2PT FGM]]/GN_Q1_HALF194[[#This Row],[2PT FGA]]</f>
        <v>#DIV/0!</v>
      </c>
      <c r="H169" s="19"/>
      <c r="I169" s="19"/>
      <c r="J169" s="91" t="e">
        <f>GN_Q1_HALF194[[#This Row],[3PT FGM]]/GN_Q1_HALF194[[#This Row],[3PT FGA]]</f>
        <v>#DIV/0!</v>
      </c>
      <c r="K169" s="19"/>
      <c r="L169" s="19"/>
      <c r="M169" s="99" t="e">
        <f>GN_Q1_HALF194[[#This Row],[FTM]]/GN_Q1_HALF194[[#This Row],[FTA]]</f>
        <v>#DIV/0!</v>
      </c>
      <c r="N169" s="19">
        <f>SUM(GN_Q1_HALF194[[#This Row],[2PT FGM]]*2,GN_Q1_HALF194[[#This Row],[3PT FGM]]*3,GN_Q1_HALF194[[#This Row],[FTM]])</f>
        <v>0</v>
      </c>
      <c r="O169" s="19"/>
      <c r="P169" s="19"/>
      <c r="Q169" s="19"/>
      <c r="R169" s="19">
        <f>GN_Q1_HALF194[[#This Row],[Off. Boards]]+GN_Q1_HALF194[[#This Row],[Def. Boards]]</f>
        <v>0</v>
      </c>
      <c r="S169" s="19"/>
      <c r="T169" s="19"/>
      <c r="U169" s="19"/>
      <c r="V169" s="19"/>
      <c r="W169" s="92" t="e">
        <f>GN_Q1_HALF194[[#This Row],[Dimes]]/GN_Q1_HALF194[[#This Row],[Turnovers]]</f>
        <v>#DIV/0!</v>
      </c>
    </row>
    <row r="170" spans="1:23" hidden="1" x14ac:dyDescent="0.2">
      <c r="A170" s="93"/>
      <c r="B170" s="90"/>
      <c r="C170" s="90"/>
      <c r="D170" s="91"/>
      <c r="E170" s="98"/>
      <c r="F170" s="19"/>
      <c r="G170" s="91"/>
      <c r="H170" s="19"/>
      <c r="I170" s="19"/>
      <c r="J170" s="91"/>
      <c r="K170" s="19"/>
      <c r="L170" s="19"/>
      <c r="M170" s="99"/>
      <c r="N170" s="19"/>
      <c r="O170" s="19"/>
      <c r="P170" s="19"/>
      <c r="Q170" s="19"/>
      <c r="R170" s="19"/>
      <c r="S170" s="19"/>
      <c r="T170" s="19"/>
      <c r="U170" s="19"/>
      <c r="V170" s="19"/>
      <c r="W170" s="92"/>
    </row>
    <row r="171" spans="1:23" ht="16" hidden="1" thickBot="1" x14ac:dyDescent="0.25">
      <c r="A171" s="82" t="s">
        <v>76</v>
      </c>
      <c r="B171" s="100">
        <f>SUM(B166:B170)</f>
        <v>0</v>
      </c>
      <c r="C171" s="100">
        <f>SUM(C166:C170)</f>
        <v>0</v>
      </c>
      <c r="D171" s="101" t="e">
        <f>GN_Q1_HALF194[[#This Row],[Total FGM]]/GN_Q1_HALF194[[#This Row],[Total FGA]]</f>
        <v>#DIV/0!</v>
      </c>
      <c r="E171" s="102">
        <f>SUM(E166:E170)</f>
        <v>0</v>
      </c>
      <c r="F171" s="103">
        <f>SUM(F166:F170)</f>
        <v>0</v>
      </c>
      <c r="G171" s="104" t="e">
        <f>GN_Q1_HALF194[[#This Row],[2PT FGM]]/GN_Q1_HALF194[[#This Row],[2PT FGA]]</f>
        <v>#DIV/0!</v>
      </c>
      <c r="H171" s="103">
        <f>SUM(H166:H170)</f>
        <v>0</v>
      </c>
      <c r="I171" s="103">
        <f>SUM(I166:I170)</f>
        <v>0</v>
      </c>
      <c r="J171" s="109" t="e">
        <f>GN_Q1_HALF194[[#This Row],[3PT FGM]]/GN_Q1_HALF194[[#This Row],[3PT FGA]]</f>
        <v>#DIV/0!</v>
      </c>
      <c r="K171" s="103">
        <f>SUM(K166:K170)</f>
        <v>0</v>
      </c>
      <c r="L171" s="103">
        <f>SUM(L166:L170)</f>
        <v>0</v>
      </c>
      <c r="M171" s="105" t="e">
        <f>GN_Q1_HALF194[[#This Row],[FTM]]/GN_Q1_HALF194[[#This Row],[FTA]]</f>
        <v>#DIV/0!</v>
      </c>
      <c r="N171" s="62">
        <f>SUM(GN_Q1_HALF194[[#This Row],[2PT FGM]]*2,GN_Q1_HALF194[[#This Row],[3PT FGM]]*3,GN_Q1_HALF194[[#This Row],[FTM]])</f>
        <v>0</v>
      </c>
      <c r="O171" s="100">
        <f>SUM(O166:O170)</f>
        <v>0</v>
      </c>
      <c r="P171" s="100">
        <f>SUM(P166:P170)</f>
        <v>0</v>
      </c>
      <c r="Q171" s="100">
        <f>SUM(Q166:Q170)</f>
        <v>0</v>
      </c>
      <c r="R171" s="106">
        <f>GN_Q1_HALF194[[#This Row],[Def. Boards]]+GN_Q1_HALF194[[#This Row],[Off. Boards]]</f>
        <v>0</v>
      </c>
      <c r="S171" s="100">
        <f>SUM(S166:S170)</f>
        <v>0</v>
      </c>
      <c r="T171" s="100">
        <f>SUM(T166:T170)</f>
        <v>0</v>
      </c>
      <c r="U171" s="100">
        <f>SUM(U166:U170)</f>
        <v>0</v>
      </c>
      <c r="V171" s="100">
        <f>SUM(V166:V170)</f>
        <v>0</v>
      </c>
      <c r="W171" s="107" t="e">
        <f>GN_Q1_HALF194[[#This Row],[Dimes]]/GN_Q1_HALF194[[#This Row],[Turnovers]]</f>
        <v>#DIV/0!</v>
      </c>
    </row>
    <row r="172" spans="1:23" hidden="1" x14ac:dyDescent="0.2"/>
    <row r="173" spans="1:23" ht="16" hidden="1" thickBot="1" x14ac:dyDescent="0.25">
      <c r="A173" s="13" t="s">
        <v>147</v>
      </c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</row>
    <row r="174" spans="1:23" ht="16" hidden="1" x14ac:dyDescent="0.2">
      <c r="A174" s="89" t="s">
        <v>169</v>
      </c>
      <c r="B174" s="11" t="s">
        <v>0</v>
      </c>
      <c r="C174" s="11" t="s">
        <v>1</v>
      </c>
      <c r="D174" s="11" t="s">
        <v>2</v>
      </c>
      <c r="E174" s="95" t="s">
        <v>3</v>
      </c>
      <c r="F174" s="96" t="s">
        <v>4</v>
      </c>
      <c r="G174" s="96" t="s">
        <v>5</v>
      </c>
      <c r="H174" s="96" t="s">
        <v>6</v>
      </c>
      <c r="I174" s="96" t="s">
        <v>7</v>
      </c>
      <c r="J174" s="96" t="s">
        <v>8</v>
      </c>
      <c r="K174" s="96" t="s">
        <v>9</v>
      </c>
      <c r="L174" s="96" t="s">
        <v>10</v>
      </c>
      <c r="M174" s="97" t="s">
        <v>11</v>
      </c>
      <c r="N174" s="11" t="s">
        <v>12</v>
      </c>
      <c r="O174" s="10" t="s">
        <v>13</v>
      </c>
      <c r="P174" s="11" t="s">
        <v>14</v>
      </c>
      <c r="Q174" s="11" t="s">
        <v>15</v>
      </c>
      <c r="R174" s="11" t="s">
        <v>16</v>
      </c>
      <c r="S174" s="10" t="s">
        <v>17</v>
      </c>
      <c r="T174" s="10" t="s">
        <v>18</v>
      </c>
      <c r="U174" s="10" t="s">
        <v>19</v>
      </c>
      <c r="V174" s="10" t="s">
        <v>20</v>
      </c>
      <c r="W174" s="10" t="s">
        <v>21</v>
      </c>
    </row>
    <row r="175" spans="1:23" hidden="1" x14ac:dyDescent="0.2">
      <c r="A175" s="13"/>
      <c r="B175" s="90">
        <f>LITI_Q1_HALF17197[[#This Row],[2PT FGM]]+LITI_Q1_HALF17197[[#This Row],[3PT FGM]]</f>
        <v>0</v>
      </c>
      <c r="C175" s="90">
        <f>LITI_Q1_HALF17197[[#This Row],[2PT FGA]]+LITI_Q1_HALF17197[[#This Row],[3PT FGA]]</f>
        <v>0</v>
      </c>
      <c r="D175" s="91" t="e">
        <f>LITI_Q1_HALF17197[[#This Row],[Total FGM]]/LITI_Q1_HALF17197[[#This Row],[Total FGA]]</f>
        <v>#DIV/0!</v>
      </c>
      <c r="E175" s="98"/>
      <c r="F175" s="19"/>
      <c r="G175" s="91" t="e">
        <f>LITI_Q1_HALF17197[[#This Row],[2PT FGM]]/LITI_Q1_HALF17197[[#This Row],[2PT FGA]]</f>
        <v>#DIV/0!</v>
      </c>
      <c r="H175" s="19"/>
      <c r="I175" s="19"/>
      <c r="J175" s="91" t="e">
        <f>LITI_Q1_HALF17197[[#This Row],[3PT FGM]]/LITI_Q1_HALF17197[[#This Row],[3PT FGA]]</f>
        <v>#DIV/0!</v>
      </c>
      <c r="K175" s="19"/>
      <c r="L175" s="19"/>
      <c r="M175" s="99" t="e">
        <f>LITI_Q1_HALF17197[[#This Row],[FTM]]/LITI_Q1_HALF17197[[#This Row],[FTA]]</f>
        <v>#DIV/0!</v>
      </c>
      <c r="N175" s="19">
        <f>SUM(LITI_Q1_HALF17197[[#This Row],[2PT FGM]]*2,LITI_Q1_HALF17197[[#This Row],[3PT FGM]]*3,LITI_Q1_HALF17197[[#This Row],[FTM]])</f>
        <v>0</v>
      </c>
      <c r="O175" s="19"/>
      <c r="P175" s="19"/>
      <c r="Q175" s="19"/>
      <c r="R175" s="19">
        <f>LITI_Q1_HALF17197[[#This Row],[Off. Boards]]+LITI_Q1_HALF17197[[#This Row],[Def. Boards]]</f>
        <v>0</v>
      </c>
      <c r="S175" s="19"/>
      <c r="T175" s="19"/>
      <c r="U175" s="19"/>
      <c r="V175" s="19"/>
      <c r="W175" s="92" t="e">
        <f>LITI_Q1_HALF17197[[#This Row],[Dimes]]/LITI_Q1_HALF17197[[#This Row],[Turnovers]]</f>
        <v>#DIV/0!</v>
      </c>
    </row>
    <row r="176" spans="1:23" hidden="1" x14ac:dyDescent="0.2">
      <c r="A176" s="13"/>
      <c r="B176" s="90">
        <f>LITI_Q1_HALF17197[[#This Row],[2PT FGM]]+LITI_Q1_HALF17197[[#This Row],[3PT FGM]]</f>
        <v>0</v>
      </c>
      <c r="C176" s="90">
        <f>LITI_Q1_HALF17197[[#This Row],[2PT FGA]]+LITI_Q1_HALF17197[[#This Row],[3PT FGA]]</f>
        <v>0</v>
      </c>
      <c r="D176" s="91" t="e">
        <f>LITI_Q1_HALF17197[[#This Row],[Total FGM]]/LITI_Q1_HALF17197[[#This Row],[Total FGA]]</f>
        <v>#DIV/0!</v>
      </c>
      <c r="E176" s="98"/>
      <c r="F176" s="19"/>
      <c r="G176" s="91" t="e">
        <f>LITI_Q1_HALF17197[[#This Row],[2PT FGM]]/LITI_Q1_HALF17197[[#This Row],[2PT FGA]]</f>
        <v>#DIV/0!</v>
      </c>
      <c r="H176" s="19"/>
      <c r="I176" s="19"/>
      <c r="J176" s="91" t="e">
        <f>LITI_Q1_HALF17197[[#This Row],[3PT FGM]]/LITI_Q1_HALF17197[[#This Row],[3PT FGA]]</f>
        <v>#DIV/0!</v>
      </c>
      <c r="K176" s="19"/>
      <c r="L176" s="19"/>
      <c r="M176" s="99" t="e">
        <f>LITI_Q1_HALF17197[[#This Row],[FTM]]/LITI_Q1_HALF17197[[#This Row],[FTA]]</f>
        <v>#DIV/0!</v>
      </c>
      <c r="N176" s="19">
        <f>SUM(LITI_Q1_HALF17197[[#This Row],[2PT FGM]]*2,LITI_Q1_HALF17197[[#This Row],[3PT FGM]]*3,LITI_Q1_HALF17197[[#This Row],[FTM]])</f>
        <v>0</v>
      </c>
      <c r="O176" s="19"/>
      <c r="P176" s="19"/>
      <c r="Q176" s="19"/>
      <c r="R176" s="19">
        <f>LITI_Q1_HALF17197[[#This Row],[Off. Boards]]+LITI_Q1_HALF17197[[#This Row],[Def. Boards]]</f>
        <v>0</v>
      </c>
      <c r="S176" s="19"/>
      <c r="T176" s="19"/>
      <c r="U176" s="19"/>
      <c r="V176" s="19"/>
      <c r="W176" s="92" t="e">
        <f>LITI_Q1_HALF17197[[#This Row],[Dimes]]/LITI_Q1_HALF17197[[#This Row],[Turnovers]]</f>
        <v>#DIV/0!</v>
      </c>
    </row>
    <row r="177" spans="1:23" hidden="1" x14ac:dyDescent="0.2">
      <c r="A177" s="13"/>
      <c r="B177" s="90">
        <f>LITI_Q1_HALF17197[[#This Row],[2PT FGM]]+LITI_Q1_HALF17197[[#This Row],[3PT FGM]]</f>
        <v>0</v>
      </c>
      <c r="C177" s="90">
        <f>LITI_Q1_HALF17197[[#This Row],[2PT FGA]]+LITI_Q1_HALF17197[[#This Row],[3PT FGA]]</f>
        <v>0</v>
      </c>
      <c r="D177" s="91" t="e">
        <f>LITI_Q1_HALF17197[[#This Row],[Total FGM]]/LITI_Q1_HALF17197[[#This Row],[Total FGA]]</f>
        <v>#DIV/0!</v>
      </c>
      <c r="E177" s="98"/>
      <c r="F177" s="19"/>
      <c r="G177" s="91" t="e">
        <f>LITI_Q1_HALF17197[[#This Row],[2PT FGM]]/LITI_Q1_HALF17197[[#This Row],[2PT FGA]]</f>
        <v>#DIV/0!</v>
      </c>
      <c r="H177" s="19"/>
      <c r="I177" s="19"/>
      <c r="J177" s="91" t="e">
        <f>LITI_Q1_HALF17197[[#This Row],[3PT FGM]]/LITI_Q1_HALF17197[[#This Row],[3PT FGA]]</f>
        <v>#DIV/0!</v>
      </c>
      <c r="K177" s="19"/>
      <c r="L177" s="19"/>
      <c r="M177" s="99" t="e">
        <f>LITI_Q1_HALF17197[[#This Row],[FTM]]/LITI_Q1_HALF17197[[#This Row],[FTA]]</f>
        <v>#DIV/0!</v>
      </c>
      <c r="N177" s="19">
        <f>SUM(LITI_Q1_HALF17197[[#This Row],[2PT FGM]]*2,LITI_Q1_HALF17197[[#This Row],[3PT FGM]]*3,LITI_Q1_HALF17197[[#This Row],[FTM]])</f>
        <v>0</v>
      </c>
      <c r="O177" s="19"/>
      <c r="P177" s="19"/>
      <c r="Q177" s="19"/>
      <c r="R177" s="19">
        <f>LITI_Q1_HALF17197[[#This Row],[Off. Boards]]+LITI_Q1_HALF17197[[#This Row],[Def. Boards]]</f>
        <v>0</v>
      </c>
      <c r="S177" s="19"/>
      <c r="T177" s="19"/>
      <c r="U177" s="19"/>
      <c r="V177" s="19"/>
      <c r="W177" s="92" t="e">
        <f>LITI_Q1_HALF17197[[#This Row],[Dimes]]/LITI_Q1_HALF17197[[#This Row],[Turnovers]]</f>
        <v>#DIV/0!</v>
      </c>
    </row>
    <row r="178" spans="1:23" hidden="1" x14ac:dyDescent="0.2">
      <c r="A178" s="13"/>
      <c r="B178" s="90">
        <f>LITI_Q1_HALF17197[[#This Row],[2PT FGM]]+LITI_Q1_HALF17197[[#This Row],[3PT FGM]]</f>
        <v>0</v>
      </c>
      <c r="C178" s="90">
        <f>LITI_Q1_HALF17197[[#This Row],[2PT FGA]]+LITI_Q1_HALF17197[[#This Row],[3PT FGA]]</f>
        <v>0</v>
      </c>
      <c r="D178" s="91" t="e">
        <f>LITI_Q1_HALF17197[[#This Row],[Total FGM]]/LITI_Q1_HALF17197[[#This Row],[Total FGA]]</f>
        <v>#DIV/0!</v>
      </c>
      <c r="E178" s="98"/>
      <c r="F178" s="19"/>
      <c r="G178" s="91" t="e">
        <f>LITI_Q1_HALF17197[[#This Row],[2PT FGM]]/LITI_Q1_HALF17197[[#This Row],[2PT FGA]]</f>
        <v>#DIV/0!</v>
      </c>
      <c r="H178" s="19"/>
      <c r="I178" s="19"/>
      <c r="J178" s="91" t="e">
        <f>LITI_Q1_HALF17197[[#This Row],[3PT FGM]]/LITI_Q1_HALF17197[[#This Row],[3PT FGA]]</f>
        <v>#DIV/0!</v>
      </c>
      <c r="K178" s="19"/>
      <c r="L178" s="19"/>
      <c r="M178" s="99" t="e">
        <f>LITI_Q1_HALF17197[[#This Row],[FTM]]/LITI_Q1_HALF17197[[#This Row],[FTA]]</f>
        <v>#DIV/0!</v>
      </c>
      <c r="N178" s="19">
        <f>SUM(LITI_Q1_HALF17197[[#This Row],[2PT FGM]]*2,LITI_Q1_HALF17197[[#This Row],[3PT FGM]]*3,LITI_Q1_HALF17197[[#This Row],[FTM]])</f>
        <v>0</v>
      </c>
      <c r="O178" s="19"/>
      <c r="P178" s="19"/>
      <c r="Q178" s="19"/>
      <c r="R178" s="19">
        <f>LITI_Q1_HALF17197[[#This Row],[Off. Boards]]+LITI_Q1_HALF17197[[#This Row],[Def. Boards]]</f>
        <v>0</v>
      </c>
      <c r="S178" s="19"/>
      <c r="T178" s="19"/>
      <c r="U178" s="19"/>
      <c r="V178" s="19"/>
      <c r="W178" s="92" t="e">
        <f>LITI_Q1_HALF17197[[#This Row],[Dimes]]/LITI_Q1_HALF17197[[#This Row],[Turnovers]]</f>
        <v>#DIV/0!</v>
      </c>
    </row>
    <row r="179" spans="1:23" hidden="1" x14ac:dyDescent="0.2">
      <c r="A179" s="93"/>
      <c r="B179" s="90"/>
      <c r="C179" s="90"/>
      <c r="D179" s="91"/>
      <c r="E179" s="98"/>
      <c r="F179" s="19"/>
      <c r="G179" s="91"/>
      <c r="H179" s="19"/>
      <c r="I179" s="19"/>
      <c r="J179" s="91"/>
      <c r="K179" s="19"/>
      <c r="L179" s="19"/>
      <c r="M179" s="99"/>
      <c r="N179" s="19"/>
      <c r="O179" s="19"/>
      <c r="P179" s="19"/>
      <c r="Q179" s="19"/>
      <c r="R179" s="19"/>
      <c r="S179" s="19"/>
      <c r="T179" s="19"/>
      <c r="U179" s="19"/>
      <c r="V179" s="19"/>
      <c r="W179" s="92"/>
    </row>
    <row r="180" spans="1:23" ht="16" hidden="1" thickBot="1" x14ac:dyDescent="0.25">
      <c r="A180" s="82" t="s">
        <v>76</v>
      </c>
      <c r="B180" s="100">
        <f>SUM(B175:B179)</f>
        <v>0</v>
      </c>
      <c r="C180" s="100">
        <f>SUM(C175:C179)</f>
        <v>0</v>
      </c>
      <c r="D180" s="101" t="e">
        <f>LITI_Q1_HALF17197[[#This Row],[Total FGM]]/LITI_Q1_HALF17197[[#This Row],[Total FGA]]</f>
        <v>#DIV/0!</v>
      </c>
      <c r="E180" s="102">
        <f>SUM(E175:E179)</f>
        <v>0</v>
      </c>
      <c r="F180" s="103">
        <f>SUM(F175:F179)</f>
        <v>0</v>
      </c>
      <c r="G180" s="108" t="e">
        <f>LITI_Q1_HALF17197[[#This Row],[2PT FGM]]/LITI_Q1_HALF17197[[#This Row],[2PT FGA]]</f>
        <v>#DIV/0!</v>
      </c>
      <c r="H180" s="103">
        <f>SUM(H175:H179)</f>
        <v>0</v>
      </c>
      <c r="I180" s="103">
        <f>SUM(I175:I179)</f>
        <v>0</v>
      </c>
      <c r="J180" s="104" t="e">
        <f>LITI_Q1_HALF17197[[#This Row],[3PT FGM]]/LITI_Q1_HALF17197[[#This Row],[3PT FGA]]</f>
        <v>#DIV/0!</v>
      </c>
      <c r="K180" s="103">
        <f>SUM(K175:K179)</f>
        <v>0</v>
      </c>
      <c r="L180" s="103">
        <f>SUM(L175:L179)</f>
        <v>0</v>
      </c>
      <c r="M180" s="105" t="e">
        <f>LITI_Q1_HALF17197[[#This Row],[FTM]]/LITI_Q1_HALF17197[[#This Row],[FTA]]</f>
        <v>#DIV/0!</v>
      </c>
      <c r="N180" s="62">
        <f>SUM(LITI_Q1_HALF17197[[#This Row],[2PT FGM]]*2,LITI_Q1_HALF17197[[#This Row],[3PT FGM]]*3,LITI_Q1_HALF17197[[#This Row],[FTM]])</f>
        <v>0</v>
      </c>
      <c r="O180" s="106">
        <f>SUM(O175:O179)</f>
        <v>0</v>
      </c>
      <c r="P180" s="106">
        <f t="shared" ref="P180:V180" si="24">SUM(P175:P179)</f>
        <v>0</v>
      </c>
      <c r="Q180" s="106">
        <f t="shared" si="24"/>
        <v>0</v>
      </c>
      <c r="R180" s="106">
        <f t="shared" si="24"/>
        <v>0</v>
      </c>
      <c r="S180" s="106">
        <f t="shared" si="24"/>
        <v>0</v>
      </c>
      <c r="T180" s="106">
        <f t="shared" si="24"/>
        <v>0</v>
      </c>
      <c r="U180" s="106">
        <f t="shared" si="24"/>
        <v>0</v>
      </c>
      <c r="V180" s="106">
        <f t="shared" si="24"/>
        <v>0</v>
      </c>
      <c r="W180" s="107" t="e">
        <f>LITI_Q1_HALF17197[[#This Row],[Dimes]]/LITI_Q1_HALF17197[[#This Row],[Turnovers]]</f>
        <v>#DIV/0!</v>
      </c>
    </row>
    <row r="181" spans="1:23" hidden="1" x14ac:dyDescent="0.2"/>
    <row r="182" spans="1:23" ht="16" hidden="1" thickBot="1" x14ac:dyDescent="0.25">
      <c r="A182" s="94" t="s">
        <v>147</v>
      </c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</row>
    <row r="183" spans="1:23" ht="16" hidden="1" x14ac:dyDescent="0.2">
      <c r="A183" s="89" t="s">
        <v>169</v>
      </c>
      <c r="B183" s="11" t="s">
        <v>0</v>
      </c>
      <c r="C183" s="11" t="s">
        <v>1</v>
      </c>
      <c r="D183" s="11" t="s">
        <v>2</v>
      </c>
      <c r="E183" s="95" t="s">
        <v>3</v>
      </c>
      <c r="F183" s="96" t="s">
        <v>4</v>
      </c>
      <c r="G183" s="96" t="s">
        <v>5</v>
      </c>
      <c r="H183" s="96" t="s">
        <v>6</v>
      </c>
      <c r="I183" s="96" t="s">
        <v>7</v>
      </c>
      <c r="J183" s="96" t="s">
        <v>8</v>
      </c>
      <c r="K183" s="96" t="s">
        <v>9</v>
      </c>
      <c r="L183" s="96" t="s">
        <v>10</v>
      </c>
      <c r="M183" s="97" t="s">
        <v>11</v>
      </c>
      <c r="N183" s="11" t="s">
        <v>12</v>
      </c>
      <c r="O183" s="10" t="s">
        <v>13</v>
      </c>
      <c r="P183" s="11" t="s">
        <v>14</v>
      </c>
      <c r="Q183" s="11" t="s">
        <v>15</v>
      </c>
      <c r="R183" s="11" t="s">
        <v>16</v>
      </c>
      <c r="S183" s="10" t="s">
        <v>17</v>
      </c>
      <c r="T183" s="10" t="s">
        <v>18</v>
      </c>
      <c r="U183" s="10" t="s">
        <v>19</v>
      </c>
      <c r="V183" s="10" t="s">
        <v>20</v>
      </c>
      <c r="W183" s="10" t="s">
        <v>21</v>
      </c>
    </row>
    <row r="184" spans="1:23" hidden="1" x14ac:dyDescent="0.2">
      <c r="A184" s="13"/>
      <c r="B184" s="90">
        <f>GN_Q1_HALF172100[[#This Row],[2PT FGM]]+GN_Q1_HALF172100[[#This Row],[3PT FGM]]</f>
        <v>0</v>
      </c>
      <c r="C184" s="90">
        <f>GN_Q1_HALF172100[[#This Row],[2PT FGA]]+GN_Q1_HALF172100[[#This Row],[3PT FGA]]</f>
        <v>0</v>
      </c>
      <c r="D184" s="91" t="e">
        <f>GN_Q1_HALF172100[[#This Row],[Total FGM]]/GN_Q1_HALF172100[[#This Row],[Total FGA]]</f>
        <v>#DIV/0!</v>
      </c>
      <c r="E184" s="98"/>
      <c r="F184" s="19"/>
      <c r="G184" s="91" t="e">
        <f>GN_Q1_HALF172100[[#This Row],[2PT FGM]]/GN_Q1_HALF172100[[#This Row],[2PT FGA]]</f>
        <v>#DIV/0!</v>
      </c>
      <c r="H184" s="19"/>
      <c r="I184" s="19"/>
      <c r="J184" s="91" t="e">
        <f>GN_Q1_HALF172100[[#This Row],[3PT FGM]]/GN_Q1_HALF172100[[#This Row],[3PT FGA]]</f>
        <v>#DIV/0!</v>
      </c>
      <c r="K184" s="19"/>
      <c r="L184" s="19"/>
      <c r="M184" s="99" t="e">
        <f>GN_Q1_HALF172100[[#This Row],[FTM]]/GN_Q1_HALF172100[[#This Row],[FTA]]</f>
        <v>#DIV/0!</v>
      </c>
      <c r="N184" s="19">
        <f>SUM(GN_Q1_HALF172100[[#This Row],[2PT FGM]]*2,GN_Q1_HALF172100[[#This Row],[3PT FGM]]*3,GN_Q1_HALF172100[[#This Row],[FTM]])</f>
        <v>0</v>
      </c>
      <c r="O184" s="19"/>
      <c r="P184" s="19"/>
      <c r="Q184" s="19"/>
      <c r="R184" s="19">
        <f>GN_Q1_HALF172100[[#This Row],[Off. Boards]]+GN_Q1_HALF172100[[#This Row],[Def. Boards]]</f>
        <v>0</v>
      </c>
      <c r="S184" s="19"/>
      <c r="T184" s="19"/>
      <c r="U184" s="19"/>
      <c r="V184" s="19"/>
      <c r="W184" s="92" t="e">
        <f>GN_Q1_HALF172100[[#This Row],[Dimes]]/GN_Q1_HALF172100[[#This Row],[Turnovers]]</f>
        <v>#DIV/0!</v>
      </c>
    </row>
    <row r="185" spans="1:23" hidden="1" x14ac:dyDescent="0.2">
      <c r="A185" s="14"/>
      <c r="B185" s="90">
        <f>GN_Q1_HALF172100[[#This Row],[2PT FGM]]+GN_Q1_HALF172100[[#This Row],[3PT FGM]]</f>
        <v>0</v>
      </c>
      <c r="C185" s="90">
        <f>GN_Q1_HALF172100[[#This Row],[2PT FGA]]+GN_Q1_HALF172100[[#This Row],[3PT FGA]]</f>
        <v>0</v>
      </c>
      <c r="D185" s="91" t="e">
        <f>GN_Q1_HALF172100[[#This Row],[Total FGM]]/GN_Q1_HALF172100[[#This Row],[Total FGA]]</f>
        <v>#DIV/0!</v>
      </c>
      <c r="E185" s="98"/>
      <c r="F185" s="19"/>
      <c r="G185" s="91" t="e">
        <f>GN_Q1_HALF172100[[#This Row],[2PT FGM]]/GN_Q1_HALF172100[[#This Row],[2PT FGA]]</f>
        <v>#DIV/0!</v>
      </c>
      <c r="H185" s="19"/>
      <c r="I185" s="19"/>
      <c r="J185" s="91" t="e">
        <f>GN_Q1_HALF172100[[#This Row],[3PT FGM]]/GN_Q1_HALF172100[[#This Row],[3PT FGA]]</f>
        <v>#DIV/0!</v>
      </c>
      <c r="K185" s="19"/>
      <c r="L185" s="19"/>
      <c r="M185" s="99" t="e">
        <f>GN_Q1_HALF172100[[#This Row],[FTM]]/GN_Q1_HALF172100[[#This Row],[FTA]]</f>
        <v>#DIV/0!</v>
      </c>
      <c r="N185" s="19">
        <f>SUM(GN_Q1_HALF172100[[#This Row],[2PT FGM]]*2,GN_Q1_HALF172100[[#This Row],[3PT FGM]]*3,GN_Q1_HALF172100[[#This Row],[FTM]])</f>
        <v>0</v>
      </c>
      <c r="O185" s="19"/>
      <c r="P185" s="19"/>
      <c r="Q185" s="19"/>
      <c r="R185" s="19">
        <f>GN_Q1_HALF172100[[#This Row],[Off. Boards]]+GN_Q1_HALF172100[[#This Row],[Def. Boards]]</f>
        <v>0</v>
      </c>
      <c r="S185" s="19"/>
      <c r="T185" s="19"/>
      <c r="U185" s="19"/>
      <c r="V185" s="19"/>
      <c r="W185" s="92" t="e">
        <f>GN_Q1_HALF172100[[#This Row],[Dimes]]/GN_Q1_HALF172100[[#This Row],[Turnovers]]</f>
        <v>#DIV/0!</v>
      </c>
    </row>
    <row r="186" spans="1:23" hidden="1" x14ac:dyDescent="0.2">
      <c r="A186" s="13"/>
      <c r="B186" s="90">
        <f>GN_Q1_HALF172100[[#This Row],[2PT FGM]]+GN_Q1_HALF172100[[#This Row],[3PT FGM]]</f>
        <v>0</v>
      </c>
      <c r="C186" s="90">
        <f>GN_Q1_HALF172100[[#This Row],[2PT FGA]]+GN_Q1_HALF172100[[#This Row],[3PT FGA]]</f>
        <v>0</v>
      </c>
      <c r="D186" s="91" t="e">
        <f>GN_Q1_HALF172100[[#This Row],[Total FGM]]/GN_Q1_HALF172100[[#This Row],[Total FGA]]</f>
        <v>#DIV/0!</v>
      </c>
      <c r="E186" s="98"/>
      <c r="F186" s="19"/>
      <c r="G186" s="91" t="e">
        <f>GN_Q1_HALF172100[[#This Row],[2PT FGM]]/GN_Q1_HALF172100[[#This Row],[2PT FGA]]</f>
        <v>#DIV/0!</v>
      </c>
      <c r="H186" s="19"/>
      <c r="I186" s="19"/>
      <c r="J186" s="91" t="e">
        <f>GN_Q1_HALF172100[[#This Row],[3PT FGM]]/GN_Q1_HALF172100[[#This Row],[3PT FGA]]</f>
        <v>#DIV/0!</v>
      </c>
      <c r="K186" s="19"/>
      <c r="L186" s="19"/>
      <c r="M186" s="99" t="e">
        <f>GN_Q1_HALF172100[[#This Row],[FTM]]/GN_Q1_HALF172100[[#This Row],[FTA]]</f>
        <v>#DIV/0!</v>
      </c>
      <c r="N186" s="19">
        <f>SUM(GN_Q1_HALF172100[[#This Row],[2PT FGM]]*2,GN_Q1_HALF172100[[#This Row],[3PT FGM]]*3,GN_Q1_HALF172100[[#This Row],[FTM]])</f>
        <v>0</v>
      </c>
      <c r="O186" s="19"/>
      <c r="P186" s="19"/>
      <c r="Q186" s="19"/>
      <c r="R186" s="19">
        <f>GN_Q1_HALF172100[[#This Row],[Off. Boards]]+GN_Q1_HALF172100[[#This Row],[Def. Boards]]</f>
        <v>0</v>
      </c>
      <c r="S186" s="19"/>
      <c r="T186" s="19"/>
      <c r="U186" s="19"/>
      <c r="V186" s="19"/>
      <c r="W186" s="92" t="e">
        <f>GN_Q1_HALF172100[[#This Row],[Dimes]]/GN_Q1_HALF172100[[#This Row],[Turnovers]]</f>
        <v>#DIV/0!</v>
      </c>
    </row>
    <row r="187" spans="1:23" hidden="1" x14ac:dyDescent="0.2">
      <c r="A187" s="13"/>
      <c r="B187" s="90">
        <f>GN_Q1_HALF172100[[#This Row],[2PT FGM]]+GN_Q1_HALF172100[[#This Row],[3PT FGM]]</f>
        <v>0</v>
      </c>
      <c r="C187" s="90">
        <f>GN_Q1_HALF172100[[#This Row],[2PT FGA]]+GN_Q1_HALF172100[[#This Row],[3PT FGA]]</f>
        <v>0</v>
      </c>
      <c r="D187" s="91" t="e">
        <f>GN_Q1_HALF172100[[#This Row],[Total FGM]]/GN_Q1_HALF172100[[#This Row],[Total FGA]]</f>
        <v>#DIV/0!</v>
      </c>
      <c r="E187" s="98"/>
      <c r="F187" s="19"/>
      <c r="G187" s="91" t="e">
        <f>GN_Q1_HALF172100[[#This Row],[2PT FGM]]/GN_Q1_HALF172100[[#This Row],[2PT FGA]]</f>
        <v>#DIV/0!</v>
      </c>
      <c r="H187" s="19"/>
      <c r="I187" s="19"/>
      <c r="J187" s="91" t="e">
        <f>GN_Q1_HALF172100[[#This Row],[3PT FGM]]/GN_Q1_HALF172100[[#This Row],[3PT FGA]]</f>
        <v>#DIV/0!</v>
      </c>
      <c r="K187" s="19"/>
      <c r="L187" s="19"/>
      <c r="M187" s="99" t="e">
        <f>GN_Q1_HALF172100[[#This Row],[FTM]]/GN_Q1_HALF172100[[#This Row],[FTA]]</f>
        <v>#DIV/0!</v>
      </c>
      <c r="N187" s="19">
        <f>SUM(GN_Q1_HALF172100[[#This Row],[2PT FGM]]*2,GN_Q1_HALF172100[[#This Row],[3PT FGM]]*3,GN_Q1_HALF172100[[#This Row],[FTM]])</f>
        <v>0</v>
      </c>
      <c r="O187" s="19"/>
      <c r="P187" s="19"/>
      <c r="Q187" s="19"/>
      <c r="R187" s="19">
        <f>GN_Q1_HALF172100[[#This Row],[Off. Boards]]+GN_Q1_HALF172100[[#This Row],[Def. Boards]]</f>
        <v>0</v>
      </c>
      <c r="S187" s="19"/>
      <c r="T187" s="19"/>
      <c r="U187" s="19"/>
      <c r="V187" s="19"/>
      <c r="W187" s="92" t="e">
        <f>GN_Q1_HALF172100[[#This Row],[Dimes]]/GN_Q1_HALF172100[[#This Row],[Turnovers]]</f>
        <v>#DIV/0!</v>
      </c>
    </row>
    <row r="188" spans="1:23" hidden="1" x14ac:dyDescent="0.2">
      <c r="A188" s="93"/>
      <c r="B188" s="90"/>
      <c r="C188" s="90"/>
      <c r="D188" s="91"/>
      <c r="E188" s="98"/>
      <c r="F188" s="19"/>
      <c r="G188" s="91"/>
      <c r="H188" s="19"/>
      <c r="I188" s="19"/>
      <c r="J188" s="91"/>
      <c r="K188" s="19"/>
      <c r="L188" s="19"/>
      <c r="M188" s="99"/>
      <c r="N188" s="19"/>
      <c r="O188" s="19"/>
      <c r="P188" s="19"/>
      <c r="Q188" s="19"/>
      <c r="R188" s="19"/>
      <c r="S188" s="19"/>
      <c r="T188" s="19"/>
      <c r="U188" s="19"/>
      <c r="V188" s="19"/>
      <c r="W188" s="92"/>
    </row>
    <row r="189" spans="1:23" ht="16" hidden="1" thickBot="1" x14ac:dyDescent="0.25">
      <c r="A189" s="82" t="s">
        <v>76</v>
      </c>
      <c r="B189" s="100">
        <f>SUM(B184:B188)</f>
        <v>0</v>
      </c>
      <c r="C189" s="100">
        <f>SUM(C184:C188)</f>
        <v>0</v>
      </c>
      <c r="D189" s="101" t="e">
        <f>GN_Q1_HALF172100[[#This Row],[Total FGM]]/GN_Q1_HALF172100[[#This Row],[Total FGA]]</f>
        <v>#DIV/0!</v>
      </c>
      <c r="E189" s="102">
        <f>SUM(E184:E188)</f>
        <v>0</v>
      </c>
      <c r="F189" s="103">
        <f>SUM(F184:F188)</f>
        <v>0</v>
      </c>
      <c r="G189" s="104" t="e">
        <f>GN_Q1_HALF172100[[#This Row],[2PT FGM]]/GN_Q1_HALF172100[[#This Row],[2PT FGA]]</f>
        <v>#DIV/0!</v>
      </c>
      <c r="H189" s="103">
        <f>SUM(H184:H188)</f>
        <v>0</v>
      </c>
      <c r="I189" s="103">
        <f>SUM(I184:I188)</f>
        <v>0</v>
      </c>
      <c r="J189" s="109" t="e">
        <f>GN_Q1_HALF172100[[#This Row],[3PT FGM]]/GN_Q1_HALF172100[[#This Row],[3PT FGA]]</f>
        <v>#DIV/0!</v>
      </c>
      <c r="K189" s="103">
        <f>SUM(K184:K188)</f>
        <v>0</v>
      </c>
      <c r="L189" s="103">
        <f>SUM(L184:L188)</f>
        <v>0</v>
      </c>
      <c r="M189" s="105" t="e">
        <f>GN_Q1_HALF172100[[#This Row],[FTM]]/GN_Q1_HALF172100[[#This Row],[FTA]]</f>
        <v>#DIV/0!</v>
      </c>
      <c r="N189" s="62">
        <f>SUM(GN_Q1_HALF172100[[#This Row],[2PT FGM]]*2,GN_Q1_HALF172100[[#This Row],[3PT FGM]]*3,GN_Q1_HALF172100[[#This Row],[FTM]])</f>
        <v>0</v>
      </c>
      <c r="O189" s="100">
        <f>SUM(O184:O188)</f>
        <v>0</v>
      </c>
      <c r="P189" s="100">
        <f>SUM(P184:P188)</f>
        <v>0</v>
      </c>
      <c r="Q189" s="100">
        <f>SUM(Q184:Q188)</f>
        <v>0</v>
      </c>
      <c r="R189" s="106">
        <f>GN_Q1_HALF172100[[#This Row],[Def. Boards]]+GN_Q1_HALF172100[[#This Row],[Off. Boards]]</f>
        <v>0</v>
      </c>
      <c r="S189" s="100">
        <f>SUM(S184:S188)</f>
        <v>0</v>
      </c>
      <c r="T189" s="100">
        <f>SUM(T184:T188)</f>
        <v>0</v>
      </c>
      <c r="U189" s="100">
        <f>SUM(U184:U188)</f>
        <v>0</v>
      </c>
      <c r="V189" s="100">
        <f>SUM(V184:V188)</f>
        <v>0</v>
      </c>
      <c r="W189" s="107" t="e">
        <f>GN_Q1_HALF172100[[#This Row],[Dimes]]/GN_Q1_HALF172100[[#This Row],[Turnovers]]</f>
        <v>#DIV/0!</v>
      </c>
    </row>
    <row r="190" spans="1:23" hidden="1" x14ac:dyDescent="0.2"/>
    <row r="191" spans="1:23" hidden="1" x14ac:dyDescent="0.2"/>
    <row r="192" spans="1:23" hidden="1" x14ac:dyDescent="0.2"/>
    <row r="193" hidden="1" x14ac:dyDescent="0.2"/>
    <row r="194" hidden="1" x14ac:dyDescent="0.2"/>
  </sheetData>
  <mergeCells count="2">
    <mergeCell ref="E69:F69"/>
    <mergeCell ref="E90:F90"/>
  </mergeCells>
  <pageMargins left="0.7" right="0.7" top="0.75" bottom="0.75" header="0.3" footer="0.3"/>
  <pageSetup orientation="portrait" r:id="rId1"/>
  <tableParts count="18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7E136-755C-4C69-A651-346658E2E525}">
  <dimension ref="A1:W57"/>
  <sheetViews>
    <sheetView showGridLines="0" workbookViewId="0">
      <selection activeCell="C18" sqref="C18"/>
    </sheetView>
  </sheetViews>
  <sheetFormatPr baseColWidth="10" defaultColWidth="8.83203125" defaultRowHeight="15" x14ac:dyDescent="0.2"/>
  <cols>
    <col min="1" max="1" width="21.1640625" bestFit="1" customWidth="1"/>
    <col min="2" max="2" width="10.5" bestFit="1" customWidth="1"/>
    <col min="3" max="3" width="21.33203125" bestFit="1" customWidth="1"/>
    <col min="5" max="5" width="16.5" bestFit="1" customWidth="1"/>
    <col min="6" max="6" width="12.83203125" bestFit="1" customWidth="1"/>
    <col min="7" max="7" width="13.1640625" bestFit="1" customWidth="1"/>
    <col min="8" max="8" width="13.5" bestFit="1" customWidth="1"/>
    <col min="9" max="9" width="12.83203125" bestFit="1" customWidth="1"/>
    <col min="10" max="10" width="13.1640625" bestFit="1" customWidth="1"/>
    <col min="16" max="16" width="11.5" bestFit="1" customWidth="1"/>
    <col min="18" max="18" width="11.5" bestFit="1" customWidth="1"/>
  </cols>
  <sheetData>
    <row r="1" spans="1:23" x14ac:dyDescent="0.2">
      <c r="B1" s="159"/>
      <c r="C1" s="86" t="s">
        <v>68</v>
      </c>
      <c r="D1" s="86" t="s">
        <v>134</v>
      </c>
      <c r="E1" s="86" t="s">
        <v>74</v>
      </c>
    </row>
    <row r="2" spans="1:23" ht="24" x14ac:dyDescent="0.2">
      <c r="A2" s="84" t="s">
        <v>66</v>
      </c>
      <c r="B2" s="85" t="s">
        <v>183</v>
      </c>
      <c r="C2" s="85" t="s">
        <v>208</v>
      </c>
      <c r="D2" s="85" t="s">
        <v>137</v>
      </c>
      <c r="E2" s="85" t="s">
        <v>209</v>
      </c>
      <c r="H2" s="23"/>
    </row>
    <row r="3" spans="1:23" ht="24" x14ac:dyDescent="0.2">
      <c r="A3" s="84"/>
      <c r="B3" s="85" t="s">
        <v>151</v>
      </c>
      <c r="C3" s="85">
        <f>N11</f>
        <v>20</v>
      </c>
      <c r="D3" s="85"/>
      <c r="E3" s="85">
        <f>N20</f>
        <v>33</v>
      </c>
      <c r="H3" s="23"/>
    </row>
    <row r="4" spans="1:23" ht="16" thickBot="1" x14ac:dyDescent="0.25">
      <c r="A4" s="225" t="s">
        <v>260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</row>
    <row r="5" spans="1:23" ht="32" x14ac:dyDescent="0.2">
      <c r="A5" s="166" t="s">
        <v>208</v>
      </c>
      <c r="B5" s="11" t="s">
        <v>0</v>
      </c>
      <c r="C5" s="11" t="s">
        <v>1</v>
      </c>
      <c r="D5" s="11" t="s">
        <v>2</v>
      </c>
      <c r="E5" s="95" t="s">
        <v>3</v>
      </c>
      <c r="F5" s="96" t="s">
        <v>4</v>
      </c>
      <c r="G5" s="96" t="s">
        <v>5</v>
      </c>
      <c r="H5" s="96" t="s">
        <v>6</v>
      </c>
      <c r="I5" s="96" t="s">
        <v>7</v>
      </c>
      <c r="J5" s="96" t="s">
        <v>8</v>
      </c>
      <c r="K5" s="96" t="s">
        <v>9</v>
      </c>
      <c r="L5" s="96" t="s">
        <v>10</v>
      </c>
      <c r="M5" s="97" t="s">
        <v>11</v>
      </c>
      <c r="N5" s="11" t="s">
        <v>12</v>
      </c>
      <c r="O5" s="10" t="s">
        <v>13</v>
      </c>
      <c r="P5" s="11" t="s">
        <v>14</v>
      </c>
      <c r="Q5" s="11" t="s">
        <v>15</v>
      </c>
      <c r="R5" s="11" t="s">
        <v>16</v>
      </c>
      <c r="S5" s="10" t="s">
        <v>17</v>
      </c>
      <c r="T5" s="10" t="s">
        <v>18</v>
      </c>
      <c r="U5" s="10" t="s">
        <v>19</v>
      </c>
      <c r="V5" s="10" t="s">
        <v>20</v>
      </c>
      <c r="W5" s="10" t="s">
        <v>21</v>
      </c>
    </row>
    <row r="6" spans="1:23" x14ac:dyDescent="0.2">
      <c r="A6" s="13" t="s">
        <v>96</v>
      </c>
      <c r="B6" s="90">
        <f>LITI_Q1_HALF113[[#This Row],[2PT FGM]]+LITI_Q1_HALF113[[#This Row],[3PT FGM]]</f>
        <v>1</v>
      </c>
      <c r="C6" s="243">
        <f>LITI_Q1_HALF113[[#This Row],[2PT FGA]]+LITI_Q1_HALF113[[#This Row],[3PT FGA]]</f>
        <v>10</v>
      </c>
      <c r="D6" s="91">
        <f>LITI_Q1_HALF113[[#This Row],[Total FGM]]/LITI_Q1_HALF113[[#This Row],[Total FGA]]</f>
        <v>0.1</v>
      </c>
      <c r="E6" s="142">
        <f>SUMIF($A$22:$A$59,$A$6,E22:E59)</f>
        <v>1</v>
      </c>
      <c r="F6" s="170">
        <f>SUMIF($A$22:$A$59,$A$6,F22:F59)</f>
        <v>3</v>
      </c>
      <c r="G6" s="91">
        <f>LITI_Q1_HALF113[[#This Row],[2PT FGM]]/LITI_Q1_HALF113[[#This Row],[2PT FGA]]</f>
        <v>0.33333333333333331</v>
      </c>
      <c r="H6" s="170">
        <f>SUMIF($A$22:$A$59,$A$6,H22:H59)</f>
        <v>0</v>
      </c>
      <c r="I6" s="247">
        <f>SUMIF($A$22:$A$59,$A$6,I22:I59)</f>
        <v>7</v>
      </c>
      <c r="J6" s="91">
        <f>LITI_Q1_HALF113[[#This Row],[3PT FGM]]/LITI_Q1_HALF113[[#This Row],[3PT FGA]]</f>
        <v>0</v>
      </c>
      <c r="K6" s="170">
        <f>SUMIF($A$22:$A$59,$A$6,K22:K59)</f>
        <v>0</v>
      </c>
      <c r="L6" s="170">
        <f>SUMIF($A$22:$A$59,$A$6,L22:L59)</f>
        <v>0</v>
      </c>
      <c r="M6" s="99" t="e">
        <f>LITI_Q1_HALF113[[#This Row],[FTM]]/LITI_Q1_HALF113[[#This Row],[FTA]]</f>
        <v>#DIV/0!</v>
      </c>
      <c r="N6" s="19">
        <f>SUM(LITI_Q1_HALF113[[#This Row],[2PT FGM]]*2,LITI_Q1_HALF113[[#This Row],[3PT FGM]]*3,LITI_Q1_HALF113[[#This Row],[FTM]])</f>
        <v>2</v>
      </c>
      <c r="O6" s="170">
        <f>SUMIF($A$22:$A$59,$A$6,O22:O59)</f>
        <v>0</v>
      </c>
      <c r="P6" s="170">
        <f>SUMIF($A$22:$A$59,$A$6,P22:P59)</f>
        <v>2</v>
      </c>
      <c r="Q6" s="170">
        <f>SUMIF($A$22:$A$59,$A$6,Q22:Q59)</f>
        <v>2</v>
      </c>
      <c r="R6" s="19">
        <f>LITI_Q1_HALF113[[#This Row],[Off. Boards]]+LITI_Q1_HALF113[[#This Row],[Def. Boards]]</f>
        <v>4</v>
      </c>
      <c r="S6" s="170">
        <f>SUMIF($A$22:$A$59,$A$6,S22:S59)</f>
        <v>2</v>
      </c>
      <c r="T6" s="170">
        <f>SUMIF($A$22:$A$59,$A$6,T22:T59)</f>
        <v>2</v>
      </c>
      <c r="U6" s="170">
        <f>SUMIF($A$22:$A$59,$A$6,U22:U59)</f>
        <v>0</v>
      </c>
      <c r="V6" s="170">
        <f>SUMIF($A$22:$A$59,$A$6,V22:V59)</f>
        <v>1</v>
      </c>
      <c r="W6" s="92">
        <f>LITI_Q1_HALF113[[#This Row],[Dimes]]/LITI_Q1_HALF113[[#This Row],[Turnovers]]</f>
        <v>2</v>
      </c>
    </row>
    <row r="7" spans="1:23" x14ac:dyDescent="0.2">
      <c r="A7" s="13" t="s">
        <v>207</v>
      </c>
      <c r="B7" s="90">
        <f>LITI_Q1_HALF113[[#This Row],[2PT FGM]]+LITI_Q1_HALF113[[#This Row],[3PT FGM]]</f>
        <v>3</v>
      </c>
      <c r="C7" s="90">
        <f>LITI_Q1_HALF113[[#This Row],[2PT FGA]]+LITI_Q1_HALF113[[#This Row],[3PT FGA]]</f>
        <v>6</v>
      </c>
      <c r="D7" s="91">
        <f>LITI_Q1_HALF113[[#This Row],[Total FGM]]/LITI_Q1_HALF113[[#This Row],[Total FGA]]</f>
        <v>0.5</v>
      </c>
      <c r="E7" s="142">
        <f>SUMIF($A$22:$A$59,$A$7,E22:E59)</f>
        <v>2</v>
      </c>
      <c r="F7" s="170">
        <f>SUMIF($A$22:$A$59,$A$7,F22:F59)</f>
        <v>5</v>
      </c>
      <c r="G7" s="91">
        <f>LITI_Q1_HALF113[[#This Row],[2PT FGM]]/LITI_Q1_HALF113[[#This Row],[2PT FGA]]</f>
        <v>0.4</v>
      </c>
      <c r="H7" s="170">
        <f>SUMIF($A$22:$A$59,$A$7,H22:H59)</f>
        <v>1</v>
      </c>
      <c r="I7" s="170">
        <f>SUMIF($A$22:$A$59,$A$7,I22:I59)</f>
        <v>1</v>
      </c>
      <c r="J7" s="244">
        <f>LITI_Q1_HALF113[[#This Row],[3PT FGM]]/LITI_Q1_HALF113[[#This Row],[3PT FGA]]</f>
        <v>1</v>
      </c>
      <c r="K7" s="170">
        <f>SUMIF($A$22:$A$59,$A$7,K22:K59)</f>
        <v>0</v>
      </c>
      <c r="L7" s="170">
        <f>SUMIF($A$22:$A$59,$A$7,L22:L59)</f>
        <v>0</v>
      </c>
      <c r="M7" s="99" t="e">
        <f>LITI_Q1_HALF113[[#This Row],[FTM]]/LITI_Q1_HALF113[[#This Row],[FTA]]</f>
        <v>#DIV/0!</v>
      </c>
      <c r="N7" s="19">
        <f>SUM(LITI_Q1_HALF113[[#This Row],[2PT FGM]]*2,LITI_Q1_HALF113[[#This Row],[3PT FGM]]*3,LITI_Q1_HALF113[[#This Row],[FTM]])</f>
        <v>7</v>
      </c>
      <c r="O7" s="170">
        <f>SUMIF($A$22:$A$59,$A$7,O22:O59)</f>
        <v>1</v>
      </c>
      <c r="P7" s="170">
        <f>SUMIF($A$22:$A$59,$A$7,P22:P59)</f>
        <v>1</v>
      </c>
      <c r="Q7" s="170">
        <f>SUMIF($A$22:$A$59,$A$7,Q22:Q59)</f>
        <v>1</v>
      </c>
      <c r="R7" s="19">
        <f>LITI_Q1_HALF113[[#This Row],[Off. Boards]]+LITI_Q1_HALF113[[#This Row],[Def. Boards]]</f>
        <v>2</v>
      </c>
      <c r="S7" s="170">
        <f>SUMIF($A$22:$A$59,$A$7,S22:S59)</f>
        <v>1</v>
      </c>
      <c r="T7" s="170">
        <f>SUMIF($A$22:$A$59,$A$7,T22:T59)</f>
        <v>0</v>
      </c>
      <c r="U7" s="170">
        <f>SUMIF($A$22:$A$59,$A$7,U22:U59)</f>
        <v>0</v>
      </c>
      <c r="V7" s="170">
        <f>SUMIF($A$22:$A$59,$A$7,V22:V59)</f>
        <v>2</v>
      </c>
      <c r="W7" s="92">
        <f>LITI_Q1_HALF113[[#This Row],[Dimes]]/LITI_Q1_HALF113[[#This Row],[Turnovers]]</f>
        <v>0.5</v>
      </c>
    </row>
    <row r="8" spans="1:23" x14ac:dyDescent="0.2">
      <c r="A8" s="13" t="s">
        <v>88</v>
      </c>
      <c r="B8" s="90">
        <f>LITI_Q1_HALF113[[#This Row],[2PT FGM]]+LITI_Q1_HALF113[[#This Row],[3PT FGM]]</f>
        <v>1</v>
      </c>
      <c r="C8" s="90">
        <f>LITI_Q1_HALF113[[#This Row],[2PT FGA]]+LITI_Q1_HALF113[[#This Row],[3PT FGA]]</f>
        <v>8</v>
      </c>
      <c r="D8" s="91">
        <f>LITI_Q1_HALF113[[#This Row],[Total FGM]]/LITI_Q1_HALF113[[#This Row],[Total FGA]]</f>
        <v>0.125</v>
      </c>
      <c r="E8" s="142">
        <f>SUMIF($A$22:$A$59,$A$8,E22:E59)</f>
        <v>1</v>
      </c>
      <c r="F8" s="170">
        <f>SUMIF($A$22:$A$59,$A$8,F22:F59)</f>
        <v>4</v>
      </c>
      <c r="G8" s="91">
        <f>LITI_Q1_HALF113[[#This Row],[2PT FGM]]/LITI_Q1_HALF113[[#This Row],[2PT FGA]]</f>
        <v>0.25</v>
      </c>
      <c r="H8" s="170">
        <f>SUMIF($A$22:$A$59,$A$8,H22:H59)</f>
        <v>0</v>
      </c>
      <c r="I8" s="170">
        <f>SUMIF($A$22:$A$59,$A$8,I22:I59)</f>
        <v>4</v>
      </c>
      <c r="J8" s="91">
        <f>LITI_Q1_HALF113[[#This Row],[3PT FGM]]/LITI_Q1_HALF113[[#This Row],[3PT FGA]]</f>
        <v>0</v>
      </c>
      <c r="K8" s="170">
        <f>SUMIF($A$22:$A$59,$A$8,K22:K59)</f>
        <v>0</v>
      </c>
      <c r="L8" s="170">
        <f>SUMIF($A$22:$A$59,$A$8,L22:L59)</f>
        <v>0</v>
      </c>
      <c r="M8" s="99" t="e">
        <f>LITI_Q1_HALF113[[#This Row],[FTM]]/LITI_Q1_HALF113[[#This Row],[FTA]]</f>
        <v>#DIV/0!</v>
      </c>
      <c r="N8" s="19">
        <f>SUM(LITI_Q1_HALF113[[#This Row],[2PT FGM]]*2,LITI_Q1_HALF113[[#This Row],[3PT FGM]]*3,LITI_Q1_HALF113[[#This Row],[FTM]])</f>
        <v>2</v>
      </c>
      <c r="O8" s="170">
        <f>SUMIF($A$22:$A$59,$A$8,O22:O59)</f>
        <v>0</v>
      </c>
      <c r="P8" s="170">
        <f>SUMIF($A$22:$A$59,$A$8,P22:P59)</f>
        <v>3</v>
      </c>
      <c r="Q8" s="247">
        <f>SUMIF($A$22:$A$59,$A$8,Q22:Q59)</f>
        <v>3</v>
      </c>
      <c r="R8" s="19">
        <f>LITI_Q1_HALF113[[#This Row],[Off. Boards]]+LITI_Q1_HALF113[[#This Row],[Def. Boards]]</f>
        <v>6</v>
      </c>
      <c r="S8" s="170">
        <f>SUMIF($A$22:$A$59,$A$8,S22:S59)</f>
        <v>3</v>
      </c>
      <c r="T8" s="247">
        <f>SUMIF($A$22:$A$59,$A$8,T22:T59)</f>
        <v>3</v>
      </c>
      <c r="U8" s="170">
        <f>SUMIF($A$22:$A$59,$A$8,U22:U59)</f>
        <v>0</v>
      </c>
      <c r="V8" s="248">
        <f>SUMIF($A$22:$A$59,$A$8,V22:V59)</f>
        <v>3</v>
      </c>
      <c r="W8" s="92">
        <f>LITI_Q1_HALF113[[#This Row],[Dimes]]/LITI_Q1_HALF113[[#This Row],[Turnovers]]</f>
        <v>1</v>
      </c>
    </row>
    <row r="9" spans="1:23" x14ac:dyDescent="0.2">
      <c r="A9" s="13" t="s">
        <v>98</v>
      </c>
      <c r="B9" s="90">
        <f>LITI_Q1_HALF113[[#This Row],[2PT FGM]]+LITI_Q1_HALF113[[#This Row],[3PT FGM]]</f>
        <v>1</v>
      </c>
      <c r="C9" s="90">
        <f>LITI_Q1_HALF113[[#This Row],[2PT FGA]]+LITI_Q1_HALF113[[#This Row],[3PT FGA]]</f>
        <v>5</v>
      </c>
      <c r="D9" s="91">
        <f>LITI_Q1_HALF113[[#This Row],[Total FGM]]/LITI_Q1_HALF113[[#This Row],[Total FGA]]</f>
        <v>0.2</v>
      </c>
      <c r="E9" s="142">
        <f>SUMIF($A$22:$A$59,$A$9,E22:E59)</f>
        <v>1</v>
      </c>
      <c r="F9" s="170">
        <f>SUMIF($A$22:$A$59,$A$9,F22:F59)</f>
        <v>4</v>
      </c>
      <c r="G9" s="91">
        <f>LITI_Q1_HALF113[[#This Row],[2PT FGM]]/LITI_Q1_HALF113[[#This Row],[2PT FGA]]</f>
        <v>0.25</v>
      </c>
      <c r="H9" s="170">
        <f>SUMIF($A$22:$A$59,$A$9,H22:H59)</f>
        <v>0</v>
      </c>
      <c r="I9" s="170">
        <f>SUMIF($A$22:$A$59,$A$9,I22:I59)</f>
        <v>1</v>
      </c>
      <c r="J9" s="91">
        <f>LITI_Q1_HALF113[[#This Row],[3PT FGM]]/LITI_Q1_HALF113[[#This Row],[3PT FGA]]</f>
        <v>0</v>
      </c>
      <c r="K9" s="170">
        <f>SUMIF($A$22:$A$59,$A$9,K22:K59)</f>
        <v>0</v>
      </c>
      <c r="L9" s="170">
        <f>SUMIF($A$22:$A$59,$A$9,L22:L59)</f>
        <v>0</v>
      </c>
      <c r="M9" s="99" t="e">
        <f>LITI_Q1_HALF113[[#This Row],[FTM]]/LITI_Q1_HALF113[[#This Row],[FTA]]</f>
        <v>#DIV/0!</v>
      </c>
      <c r="N9" s="19">
        <f>SUM(LITI_Q1_HALF113[[#This Row],[2PT FGM]]*2,LITI_Q1_HALF113[[#This Row],[3PT FGM]]*3,LITI_Q1_HALF113[[#This Row],[FTM]])</f>
        <v>2</v>
      </c>
      <c r="O9" s="170">
        <f>SUMIF($A$22:$A$59,$A$9,O22:O59)</f>
        <v>0</v>
      </c>
      <c r="P9" s="170">
        <f>SUMIF($A$22:$A$59,$A$9,P22:P59)</f>
        <v>5</v>
      </c>
      <c r="Q9" s="170">
        <f>SUMIF($A$22:$A$59,$A$9,Q22:Q59)</f>
        <v>1</v>
      </c>
      <c r="R9" s="19">
        <f>LITI_Q1_HALF113[[#This Row],[Off. Boards]]+LITI_Q1_HALF113[[#This Row],[Def. Boards]]</f>
        <v>6</v>
      </c>
      <c r="S9" s="170">
        <f>SUMIF($A$22:$A$59,$A$9,S22:S59)</f>
        <v>0</v>
      </c>
      <c r="T9" s="170">
        <f>SUMIF($A$22:$A$59,$A$9,T22:T59)</f>
        <v>0</v>
      </c>
      <c r="U9" s="170">
        <f>SUMIF($A$22:$A$59,$A$9,U22:U59)</f>
        <v>0</v>
      </c>
      <c r="V9" s="170">
        <f>SUMIF($A$22:$A$59,$A$9,V22:V59)</f>
        <v>1</v>
      </c>
      <c r="W9" s="92">
        <f>LITI_Q1_HALF113[[#This Row],[Dimes]]/LITI_Q1_HALF113[[#This Row],[Turnovers]]</f>
        <v>0</v>
      </c>
    </row>
    <row r="10" spans="1:23" x14ac:dyDescent="0.2">
      <c r="A10" s="13" t="s">
        <v>83</v>
      </c>
      <c r="B10" s="90">
        <f>LITI_Q1_HALF113[[#This Row],[2PT FGM]]+LITI_Q1_HALF113[[#This Row],[3PT FGM]]</f>
        <v>3</v>
      </c>
      <c r="C10" s="90">
        <f>LITI_Q1_HALF113[[#This Row],[2PT FGA]]+LITI_Q1_HALF113[[#This Row],[3PT FGA]]</f>
        <v>8</v>
      </c>
      <c r="D10" s="91">
        <f>LITI_Q1_HALF113[[#This Row],[Total FGM]]/LITI_Q1_HALF113[[#This Row],[Total FGA]]</f>
        <v>0.375</v>
      </c>
      <c r="E10" s="142">
        <f>SUMIF($A$22:$A$59,$A$10,E22:E59)</f>
        <v>2</v>
      </c>
      <c r="F10" s="170">
        <f>SUMIF($A$22:$A$59,$A$10,F22:F59)</f>
        <v>4</v>
      </c>
      <c r="G10" s="91">
        <f>LITI_Q1_HALF113[[#This Row],[2PT FGM]]/LITI_Q1_HALF113[[#This Row],[2PT FGA]]</f>
        <v>0.5</v>
      </c>
      <c r="H10" s="170">
        <f>SUMIF($A$22:$A$59,$A$10,H22:H59)</f>
        <v>1</v>
      </c>
      <c r="I10" s="170">
        <f>SUMIF($A$22:$A$59,$A$10,I22:I59)</f>
        <v>4</v>
      </c>
      <c r="J10" s="91">
        <f>LITI_Q1_HALF113[[#This Row],[3PT FGM]]/LITI_Q1_HALF113[[#This Row],[3PT FGA]]</f>
        <v>0.25</v>
      </c>
      <c r="K10" s="170">
        <f>SUMIF($A$22:$A$59,$A$10,K22:K59)</f>
        <v>0</v>
      </c>
      <c r="L10" s="170">
        <f>SUMIF($A$22:$A$59,$A$10,L22:L59)</f>
        <v>0</v>
      </c>
      <c r="M10" s="99" t="e">
        <f>LITI_Q1_HALF113[[#This Row],[FTM]]/LITI_Q1_HALF113[[#This Row],[FTA]]</f>
        <v>#DIV/0!</v>
      </c>
      <c r="N10" s="19">
        <f>SUM(LITI_Q1_HALF113[[#This Row],[2PT FGM]]*2,LITI_Q1_HALF113[[#This Row],[3PT FGM]]*3,LITI_Q1_HALF113[[#This Row],[FTM]])</f>
        <v>7</v>
      </c>
      <c r="O10" s="170">
        <f>SUMIF($A$22:$A$59,$A$10,O22:O59)</f>
        <v>0</v>
      </c>
      <c r="P10" s="170">
        <f>SUMIF($A$22:$A$59,$A$10,P22:P59)</f>
        <v>1</v>
      </c>
      <c r="Q10" s="170">
        <f>SUMIF($A$22:$A$59,$A$10,Q22:Q59)</f>
        <v>0</v>
      </c>
      <c r="R10" s="19">
        <f>LITI_Q1_HALF113[[#This Row],[Off. Boards]]+LITI_Q1_HALF113[[#This Row],[Def. Boards]]</f>
        <v>1</v>
      </c>
      <c r="S10" s="170">
        <f>SUMIF($A$22:$A$59,$A$10,S22:S59)</f>
        <v>1</v>
      </c>
      <c r="T10" s="170">
        <f>SUMIF($A$22:$A$59,$A$10,T22:T59)</f>
        <v>1</v>
      </c>
      <c r="U10" s="170">
        <f>SUMIF($A$22:$A$59,$A$10,U22:U59)</f>
        <v>0</v>
      </c>
      <c r="V10" s="170">
        <f>SUMIF($A$22:$A$59,$A$10,V22:V59)</f>
        <v>0</v>
      </c>
      <c r="W10" s="92" t="e">
        <f>LITI_Q1_HALF113[[#This Row],[Dimes]]/LITI_Q1_HALF113[[#This Row],[Turnovers]]</f>
        <v>#DIV/0!</v>
      </c>
    </row>
    <row r="11" spans="1:23" ht="16" thickBot="1" x14ac:dyDescent="0.25">
      <c r="A11" s="82" t="s">
        <v>76</v>
      </c>
      <c r="B11" s="100">
        <f>SUM(B6:B10)</f>
        <v>9</v>
      </c>
      <c r="C11" s="100">
        <f>SUM(C6:C10)</f>
        <v>37</v>
      </c>
      <c r="D11" s="101">
        <f>LITI_Q1_HALF113[[#This Row],[Total FGM]]/LITI_Q1_HALF113[[#This Row],[Total FGA]]</f>
        <v>0.24324324324324326</v>
      </c>
      <c r="E11" s="102">
        <f>SUM(E6:E10)</f>
        <v>7</v>
      </c>
      <c r="F11" s="103">
        <f>SUM(F6:F10)</f>
        <v>20</v>
      </c>
      <c r="G11" s="108">
        <f>LITI_Q1_HALF113[[#This Row],[2PT FGM]]/LITI_Q1_HALF113[[#This Row],[2PT FGA]]</f>
        <v>0.35</v>
      </c>
      <c r="H11" s="103">
        <f>SUM(H6:H10)</f>
        <v>2</v>
      </c>
      <c r="I11" s="103">
        <f>SUM(I6:I10)</f>
        <v>17</v>
      </c>
      <c r="J11" s="104">
        <f>LITI_Q1_HALF113[[#This Row],[3PT FGM]]/LITI_Q1_HALF113[[#This Row],[3PT FGA]]</f>
        <v>0.11764705882352941</v>
      </c>
      <c r="K11" s="103">
        <f>SUM(K6:K10)</f>
        <v>0</v>
      </c>
      <c r="L11" s="103">
        <f>SUM(L6:L10)</f>
        <v>0</v>
      </c>
      <c r="M11" s="105" t="e">
        <f>LITI_Q1_HALF113[[#This Row],[FTM]]/LITI_Q1_HALF113[[#This Row],[FTA]]</f>
        <v>#DIV/0!</v>
      </c>
      <c r="N11" s="62">
        <f>SUM(LITI_Q1_HALF113[[#This Row],[2PT FGM]]*2,LITI_Q1_HALF113[[#This Row],[3PT FGM]]*3,LITI_Q1_HALF113[[#This Row],[FTM]])</f>
        <v>20</v>
      </c>
      <c r="O11" s="106">
        <f>SUM(O6:O10)</f>
        <v>1</v>
      </c>
      <c r="P11" s="106">
        <f t="shared" ref="P11:V11" si="0">SUM(P6:P10)</f>
        <v>12</v>
      </c>
      <c r="Q11" s="106">
        <f t="shared" si="0"/>
        <v>7</v>
      </c>
      <c r="R11" s="106">
        <f t="shared" si="0"/>
        <v>19</v>
      </c>
      <c r="S11" s="106">
        <f t="shared" si="0"/>
        <v>7</v>
      </c>
      <c r="T11" s="106">
        <f t="shared" si="0"/>
        <v>6</v>
      </c>
      <c r="U11" s="106">
        <f t="shared" si="0"/>
        <v>0</v>
      </c>
      <c r="V11" s="106">
        <f t="shared" si="0"/>
        <v>7</v>
      </c>
      <c r="W11" s="107">
        <f>LITI_Q1_HALF113[[#This Row],[Dimes]]/LITI_Q1_HALF113[[#This Row],[Turnovers]]</f>
        <v>1</v>
      </c>
    </row>
    <row r="13" spans="1:23" ht="16" thickBot="1" x14ac:dyDescent="0.25">
      <c r="A13" s="227" t="s">
        <v>260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</row>
    <row r="14" spans="1:23" ht="32" x14ac:dyDescent="0.2">
      <c r="A14" s="166" t="s">
        <v>209</v>
      </c>
      <c r="B14" s="11" t="s">
        <v>0</v>
      </c>
      <c r="C14" s="11" t="s">
        <v>1</v>
      </c>
      <c r="D14" s="11" t="s">
        <v>2</v>
      </c>
      <c r="E14" s="95" t="s">
        <v>3</v>
      </c>
      <c r="F14" s="96" t="s">
        <v>4</v>
      </c>
      <c r="G14" s="96" t="s">
        <v>5</v>
      </c>
      <c r="H14" s="96" t="s">
        <v>6</v>
      </c>
      <c r="I14" s="96" t="s">
        <v>7</v>
      </c>
      <c r="J14" s="96" t="s">
        <v>8</v>
      </c>
      <c r="K14" s="96" t="s">
        <v>9</v>
      </c>
      <c r="L14" s="96" t="s">
        <v>10</v>
      </c>
      <c r="M14" s="97" t="s">
        <v>11</v>
      </c>
      <c r="N14" s="11" t="s">
        <v>12</v>
      </c>
      <c r="O14" s="10" t="s">
        <v>13</v>
      </c>
      <c r="P14" s="11" t="s">
        <v>14</v>
      </c>
      <c r="Q14" s="11" t="s">
        <v>15</v>
      </c>
      <c r="R14" s="11" t="s">
        <v>16</v>
      </c>
      <c r="S14" s="10" t="s">
        <v>17</v>
      </c>
      <c r="T14" s="10" t="s">
        <v>18</v>
      </c>
      <c r="U14" s="10" t="s">
        <v>19</v>
      </c>
      <c r="V14" s="10" t="s">
        <v>20</v>
      </c>
      <c r="W14" s="10" t="s">
        <v>21</v>
      </c>
    </row>
    <row r="15" spans="1:23" x14ac:dyDescent="0.2">
      <c r="A15" s="178" t="s">
        <v>24</v>
      </c>
      <c r="B15" s="243">
        <f>GN_Q1_HALF114[[#This Row],[2PT FGM]]+GN_Q1_HALF114[[#This Row],[3PT FGM]]</f>
        <v>5</v>
      </c>
      <c r="C15" s="90">
        <f>GN_Q1_HALF114[[#This Row],[2PT FGA]]+GN_Q1_HALF114[[#This Row],[3PT FGA]]</f>
        <v>7</v>
      </c>
      <c r="D15" s="244">
        <f>GN_Q1_HALF114[[#This Row],[Total FGM]]/GN_Q1_HALF114[[#This Row],[Total FGA]]</f>
        <v>0.7142857142857143</v>
      </c>
      <c r="E15" s="98">
        <f>SUMIF($A$22:$A$59,$A$15,E22:E59)</f>
        <v>2</v>
      </c>
      <c r="F15" s="19">
        <f>SUMIF($A$22:$A$59,$A$15,F22:F59)</f>
        <v>2</v>
      </c>
      <c r="G15" s="244">
        <f>GN_Q1_HALF114[[#This Row],[2PT FGM]]/GN_Q1_HALF114[[#This Row],[2PT FGA]]</f>
        <v>1</v>
      </c>
      <c r="H15" s="246">
        <f>SUMIF($A$22:$A$59,$A$15,H22:H59)</f>
        <v>3</v>
      </c>
      <c r="I15" s="19">
        <f>SUMIF($A$22:$A$59,$A$15,I22:I59)</f>
        <v>5</v>
      </c>
      <c r="J15" s="91">
        <f>GN_Q1_HALF114[[#This Row],[3PT FGM]]/GN_Q1_HALF114[[#This Row],[3PT FGA]]</f>
        <v>0.6</v>
      </c>
      <c r="K15" s="19">
        <f>SUMIF($A$22:$A$59,$A$15,K22:K59)</f>
        <v>0</v>
      </c>
      <c r="L15" s="19">
        <f>SUMIF($A$22:$A$59,$A$15,L22:L59)</f>
        <v>0</v>
      </c>
      <c r="M15" s="99" t="e">
        <f>GN_Q1_HALF114[[#This Row],[FTM]]/GN_Q1_HALF114[[#This Row],[FTA]]</f>
        <v>#DIV/0!</v>
      </c>
      <c r="N15" s="246">
        <f>SUM(GN_Q1_HALF114[[#This Row],[2PT FGM]]*2,GN_Q1_HALF114[[#This Row],[3PT FGM]]*3,GN_Q1_HALF114[[#This Row],[FTM]])</f>
        <v>13</v>
      </c>
      <c r="O15" s="19">
        <f>SUMIF($A$22:$A$59,$A$15,O22:O59)</f>
        <v>1</v>
      </c>
      <c r="P15" s="246">
        <f>SUMIF($A$22:$A$59,$A$15,P22:P59)</f>
        <v>9</v>
      </c>
      <c r="Q15" s="19">
        <f>SUMIF($A$22:$A$59,$A$15,Q22:Q59)</f>
        <v>1</v>
      </c>
      <c r="R15" s="246">
        <f>GN_Q1_HALF114[[#This Row],[Off. Boards]]+GN_Q1_HALF114[[#This Row],[Def. Boards]]</f>
        <v>10</v>
      </c>
      <c r="S15" s="246">
        <f>SUMIF($A$22:$A$59,$A$15,S22:S59)</f>
        <v>6</v>
      </c>
      <c r="T15" s="19">
        <f>SUMIF($A$22:$A$59,$A$15,T22:T59)</f>
        <v>2</v>
      </c>
      <c r="U15" s="19">
        <f>SUMIF($A$22:$A$59,$A$15,U22:U59)</f>
        <v>0</v>
      </c>
      <c r="V15" s="19">
        <f>SUMIF($A$22:$A$59,$A$15,V22:V59)</f>
        <v>2</v>
      </c>
      <c r="W15" s="250">
        <f>GN_Q1_HALF114[[#This Row],[Dimes]]/GN_Q1_HALF114[[#This Row],[Turnovers]]</f>
        <v>3</v>
      </c>
    </row>
    <row r="16" spans="1:23" x14ac:dyDescent="0.2">
      <c r="A16" t="s">
        <v>135</v>
      </c>
      <c r="B16" s="90">
        <f>GN_Q1_HALF114[[#This Row],[2PT FGM]]+GN_Q1_HALF114[[#This Row],[3PT FGM]]</f>
        <v>4</v>
      </c>
      <c r="C16" s="90">
        <f>GN_Q1_HALF114[[#This Row],[2PT FGA]]+GN_Q1_HALF114[[#This Row],[3PT FGA]]</f>
        <v>6</v>
      </c>
      <c r="D16" s="91">
        <f>GN_Q1_HALF114[[#This Row],[Total FGM]]/GN_Q1_HALF114[[#This Row],[Total FGA]]</f>
        <v>0.66666666666666663</v>
      </c>
      <c r="E16" s="245">
        <f>SUMIF($A$22:$A$59,$A$16,E22:E59)</f>
        <v>4</v>
      </c>
      <c r="F16" s="246">
        <f>SUMIF($A$22:$A$59,$A$16,F22:F59)</f>
        <v>6</v>
      </c>
      <c r="G16" s="91">
        <f>GN_Q1_HALF114[[#This Row],[2PT FGM]]/GN_Q1_HALF114[[#This Row],[2PT FGA]]</f>
        <v>0.66666666666666663</v>
      </c>
      <c r="H16" s="19">
        <f>SUMIF($A$22:$A$59,$A$16,H22:H59)</f>
        <v>0</v>
      </c>
      <c r="I16" s="19">
        <f>SUMIF($A$22:$A$59,$A$16,I22:I59)</f>
        <v>0</v>
      </c>
      <c r="J16" s="91" t="e">
        <f>GN_Q1_HALF114[[#This Row],[3PT FGM]]/GN_Q1_HALF114[[#This Row],[3PT FGA]]</f>
        <v>#DIV/0!</v>
      </c>
      <c r="K16" s="19">
        <f>SUMIF($A$22:$A$59,$A$16,K22:K59)</f>
        <v>0</v>
      </c>
      <c r="L16" s="19">
        <f>SUMIF($A$22:$A$59,$A$16,L22:L59)</f>
        <v>0</v>
      </c>
      <c r="M16" s="99" t="e">
        <f>GN_Q1_HALF114[[#This Row],[FTM]]/GN_Q1_HALF114[[#This Row],[FTA]]</f>
        <v>#DIV/0!</v>
      </c>
      <c r="N16" s="19">
        <f>SUM(GN_Q1_HALF114[[#This Row],[2PT FGM]]*2,GN_Q1_HALF114[[#This Row],[3PT FGM]]*3,GN_Q1_HALF114[[#This Row],[FTM]])</f>
        <v>8</v>
      </c>
      <c r="O16" s="246">
        <f>SUMIF($A$22:$A$59,$A$16,O22:O59)</f>
        <v>4</v>
      </c>
      <c r="P16" s="19">
        <f>SUMIF($A$22:$A$59,$A$16,P22:P59)</f>
        <v>3</v>
      </c>
      <c r="Q16" s="19">
        <f>SUMIF($A$22:$A$59,$A$16,Q22:Q59)</f>
        <v>1</v>
      </c>
      <c r="R16" s="19">
        <f>GN_Q1_HALF114[[#This Row],[Off. Boards]]+GN_Q1_HALF114[[#This Row],[Def. Boards]]</f>
        <v>4</v>
      </c>
      <c r="S16" s="19">
        <f>SUMIF($A$22:$A$59,$A$16,S22:S59)</f>
        <v>0</v>
      </c>
      <c r="T16" s="19">
        <f>SUMIF($A$22:$A$59,$A$16,T22:T59)</f>
        <v>0</v>
      </c>
      <c r="U16" s="246">
        <f>SUMIF($A$22:$A$59,$A$16,U22:U59)</f>
        <v>2</v>
      </c>
      <c r="V16" s="19">
        <f>SUMIF($A$22:$A$59,$A$16,V22:V59)</f>
        <v>2</v>
      </c>
      <c r="W16" s="92">
        <f>GN_Q1_HALF114[[#This Row],[Dimes]]/GN_Q1_HALF114[[#This Row],[Turnovers]]</f>
        <v>0</v>
      </c>
    </row>
    <row r="17" spans="1:23" x14ac:dyDescent="0.2">
      <c r="A17" t="s">
        <v>103</v>
      </c>
      <c r="B17" s="90">
        <f>GN_Q1_HALF114[[#This Row],[2PT FGM]]+GN_Q1_HALF114[[#This Row],[3PT FGM]]</f>
        <v>1</v>
      </c>
      <c r="C17" s="90">
        <f>GN_Q1_HALF114[[#This Row],[2PT FGA]]+GN_Q1_HALF114[[#This Row],[3PT FGA]]</f>
        <v>7</v>
      </c>
      <c r="D17" s="91">
        <f>GN_Q1_HALF114[[#This Row],[Total FGM]]/GN_Q1_HALF114[[#This Row],[Total FGA]]</f>
        <v>0.14285714285714285</v>
      </c>
      <c r="E17" s="98">
        <f>SUMIF($A$22:$A$59,$A$17,E22:E59)</f>
        <v>1</v>
      </c>
      <c r="F17" s="19">
        <f>SUMIF($A$22:$A$59,$A$17,F22:F59)</f>
        <v>2</v>
      </c>
      <c r="G17" s="91">
        <f>GN_Q1_HALF114[[#This Row],[2PT FGM]]/GN_Q1_HALF114[[#This Row],[2PT FGA]]</f>
        <v>0.5</v>
      </c>
      <c r="H17" s="19">
        <f>SUMIF($A$22:$A$59,$A$17,H22:H59)</f>
        <v>0</v>
      </c>
      <c r="I17" s="19">
        <f>SUMIF($A$22:$A$59,$A$17,I22:I59)</f>
        <v>5</v>
      </c>
      <c r="J17" s="91">
        <f>GN_Q1_HALF114[[#This Row],[3PT FGM]]/GN_Q1_HALF114[[#This Row],[3PT FGA]]</f>
        <v>0</v>
      </c>
      <c r="K17" s="19">
        <f>SUMIF($A$22:$A$59,$A$17,K22:K59)</f>
        <v>0</v>
      </c>
      <c r="L17" s="19">
        <f>SUMIF($A$22:$A$59,$A$17,L22:L59)</f>
        <v>0</v>
      </c>
      <c r="M17" s="99" t="e">
        <f>GN_Q1_HALF114[[#This Row],[FTM]]/GN_Q1_HALF114[[#This Row],[FTA]]</f>
        <v>#DIV/0!</v>
      </c>
      <c r="N17" s="19">
        <f>SUM(GN_Q1_HALF114[[#This Row],[2PT FGM]]*2,GN_Q1_HALF114[[#This Row],[3PT FGM]]*3,GN_Q1_HALF114[[#This Row],[FTM]])</f>
        <v>2</v>
      </c>
      <c r="O17" s="19">
        <f>SUMIF($A$22:$A$59,$A$17,O22:O59)</f>
        <v>1</v>
      </c>
      <c r="P17" s="19">
        <f>SUMIF($A$22:$A$59,$A$17,P22:P59)</f>
        <v>2</v>
      </c>
      <c r="Q17" s="19">
        <f>SUMIF($A$22:$A$59,$A$17,Q22:Q59)</f>
        <v>0</v>
      </c>
      <c r="R17" s="19">
        <f>GN_Q1_HALF114[[#This Row],[Off. Boards]]+GN_Q1_HALF114[[#This Row],[Def. Boards]]</f>
        <v>2</v>
      </c>
      <c r="S17" s="19">
        <f>SUMIF($A$22:$A$59,$A$17,S22:S59)</f>
        <v>2</v>
      </c>
      <c r="T17" s="246">
        <f>SUMIF($A$22:$A$59,$A$17,T22:T59)</f>
        <v>3</v>
      </c>
      <c r="U17" s="19">
        <f>SUMIF($A$22:$A$59,$A$17,U22:U59)</f>
        <v>0</v>
      </c>
      <c r="V17" s="19">
        <f>SUMIF($A$22:$A$59,$A$17,V22:V59)</f>
        <v>0</v>
      </c>
      <c r="W17" s="250" t="e">
        <f>GN_Q1_HALF114[[#This Row],[Dimes]]/GN_Q1_HALF114[[#This Row],[Turnovers]]</f>
        <v>#DIV/0!</v>
      </c>
    </row>
    <row r="18" spans="1:23" x14ac:dyDescent="0.2">
      <c r="A18" t="s">
        <v>100</v>
      </c>
      <c r="B18" s="90">
        <f>GN_Q1_HALF114[[#This Row],[2PT FGM]]+GN_Q1_HALF114[[#This Row],[3PT FGM]]</f>
        <v>1</v>
      </c>
      <c r="C18" s="90">
        <f>GN_Q1_HALF114[[#This Row],[2PT FGA]]+GN_Q1_HALF114[[#This Row],[3PT FGA]]</f>
        <v>5</v>
      </c>
      <c r="D18" s="91">
        <f>GN_Q1_HALF114[[#This Row],[Total FGM]]/GN_Q1_HALF114[[#This Row],[Total FGA]]</f>
        <v>0.2</v>
      </c>
      <c r="E18" s="98">
        <f>SUMIF($A$22:$A$59,$A$18,E22:E59)</f>
        <v>1</v>
      </c>
      <c r="F18" s="19">
        <f>SUMIF($A$22:$A$59,$A$18,F22:F59)</f>
        <v>3</v>
      </c>
      <c r="G18" s="91">
        <f>GN_Q1_HALF114[[#This Row],[2PT FGM]]/GN_Q1_HALF114[[#This Row],[2PT FGA]]</f>
        <v>0.33333333333333331</v>
      </c>
      <c r="H18" s="19">
        <f>SUMIF($A$22:$A$59,$A$18,H22:H59)</f>
        <v>0</v>
      </c>
      <c r="I18" s="19">
        <f>SUMIF($A$22:$A$59,$A$18,I22:I59)</f>
        <v>2</v>
      </c>
      <c r="J18" s="91">
        <f>GN_Q1_HALF114[[#This Row],[3PT FGM]]/GN_Q1_HALF114[[#This Row],[3PT FGA]]</f>
        <v>0</v>
      </c>
      <c r="K18" s="19">
        <f>SUMIF($A$22:$A$59,$A$18,K22:K59)</f>
        <v>0</v>
      </c>
      <c r="L18" s="19">
        <f>SUMIF($A$22:$A$59,$A$18,L22:L59)</f>
        <v>0</v>
      </c>
      <c r="M18" s="99" t="e">
        <f>GN_Q1_HALF114[[#This Row],[FTM]]/GN_Q1_HALF114[[#This Row],[FTA]]</f>
        <v>#DIV/0!</v>
      </c>
      <c r="N18" s="19">
        <f>SUM(GN_Q1_HALF114[[#This Row],[2PT FGM]]*2,GN_Q1_HALF114[[#This Row],[3PT FGM]]*3,GN_Q1_HALF114[[#This Row],[FTM]])</f>
        <v>2</v>
      </c>
      <c r="O18" s="19">
        <f>SUMIF($A$22:$A$59,$A$18,O22:O59)</f>
        <v>0</v>
      </c>
      <c r="P18" s="19">
        <f>SUMIF($A$22:$A$59,$A$18,P22:P59)</f>
        <v>4</v>
      </c>
      <c r="Q18" s="19">
        <f>SUMIF($A$22:$A$59,$A$18,Q22:Q59)</f>
        <v>0</v>
      </c>
      <c r="R18" s="19">
        <f>GN_Q1_HALF114[[#This Row],[Off. Boards]]+GN_Q1_HALF114[[#This Row],[Def. Boards]]</f>
        <v>4</v>
      </c>
      <c r="S18" s="19">
        <f>SUMIF($A$22:$A$59,$A$18,S22:S59)</f>
        <v>1</v>
      </c>
      <c r="T18" s="19">
        <f>SUMIF($A$22:$A$59,$A$18,T22:T59)</f>
        <v>0</v>
      </c>
      <c r="U18" s="19">
        <f>SUMIF($A$22:$A$59,$A$18,U22:U59)</f>
        <v>0</v>
      </c>
      <c r="V18" s="249">
        <f>SUMIF($A$22:$A$59,$A$18,V22:V59)</f>
        <v>3</v>
      </c>
      <c r="W18" s="92">
        <f>GN_Q1_HALF114[[#This Row],[Dimes]]/GN_Q1_HALF114[[#This Row],[Turnovers]]</f>
        <v>0.33333333333333331</v>
      </c>
    </row>
    <row r="19" spans="1:23" x14ac:dyDescent="0.2">
      <c r="A19" t="s">
        <v>85</v>
      </c>
      <c r="B19" s="90">
        <f>GN_Q1_HALF114[[#This Row],[2PT FGM]]+GN_Q1_HALF114[[#This Row],[3PT FGM]]</f>
        <v>3</v>
      </c>
      <c r="C19" s="90">
        <f>GN_Q1_HALF114[[#This Row],[2PT FGA]]+GN_Q1_HALF114[[#This Row],[3PT FGA]]</f>
        <v>6</v>
      </c>
      <c r="D19" s="91">
        <f>GN_Q1_HALF114[[#This Row],[Total FGM]]/GN_Q1_HALF114[[#This Row],[Total FGA]]</f>
        <v>0.5</v>
      </c>
      <c r="E19" s="98">
        <f>SUMIF($A$22:$A$59,$A$19,E22:E59)</f>
        <v>1</v>
      </c>
      <c r="F19" s="19">
        <f>SUMIF($A$22:$A$59,$A$19,F22:F59)</f>
        <v>3</v>
      </c>
      <c r="G19" s="91">
        <f>GN_Q1_HALF114[[#This Row],[2PT FGM]]/GN_Q1_HALF114[[#This Row],[2PT FGA]]</f>
        <v>0.33333333333333331</v>
      </c>
      <c r="H19" s="19">
        <f>SUMIF($A$22:$A$59,$A$19,H22:H59)</f>
        <v>2</v>
      </c>
      <c r="I19" s="19">
        <f>SUMIF($A$22:$A$59,$A$19,I22:I59)</f>
        <v>3</v>
      </c>
      <c r="J19" s="91">
        <f>GN_Q1_HALF114[[#This Row],[3PT FGM]]/GN_Q1_HALF114[[#This Row],[3PT FGA]]</f>
        <v>0.66666666666666663</v>
      </c>
      <c r="K19" s="19">
        <f>SUMIF($A$22:$A$59,$A$19,K22:K59)</f>
        <v>0</v>
      </c>
      <c r="L19" s="19">
        <f>SUMIF($A$22:$A$59,$A$19,L22:L59)</f>
        <v>0</v>
      </c>
      <c r="M19" s="99" t="e">
        <f>GN_Q1_HALF114[[#This Row],[FTM]]/GN_Q1_HALF114[[#This Row],[FTA]]</f>
        <v>#DIV/0!</v>
      </c>
      <c r="N19" s="19">
        <f>SUM(GN_Q1_HALF114[[#This Row],[2PT FGM]]*2,GN_Q1_HALF114[[#This Row],[3PT FGM]]*3,GN_Q1_HALF114[[#This Row],[FTM]])</f>
        <v>8</v>
      </c>
      <c r="O19" s="19">
        <f>SUMIF($A$22:$A$59,$A$19,O22:O59)</f>
        <v>0</v>
      </c>
      <c r="P19" s="19">
        <f>SUMIF($A$22:$A$59,$A$19,P22:P59)</f>
        <v>1</v>
      </c>
      <c r="Q19" s="19">
        <f>SUMIF($A$22:$A$59,$A$19,Q22:Q59)</f>
        <v>1</v>
      </c>
      <c r="R19" s="19">
        <f>GN_Q1_HALF114[[#This Row],[Off. Boards]]+GN_Q1_HALF114[[#This Row],[Def. Boards]]</f>
        <v>2</v>
      </c>
      <c r="S19" s="19">
        <f>SUMIF($A$22:$A$59,$A$19,S22:S59)</f>
        <v>0</v>
      </c>
      <c r="T19" s="19">
        <f>SUMIF($A$22:$A$59,$A$19,T22:T59)</f>
        <v>0</v>
      </c>
      <c r="U19" s="19">
        <f>SUMIF($A$22:$A$59,$A$19,U22:U59)</f>
        <v>0</v>
      </c>
      <c r="V19" s="19">
        <f>SUMIF($A$22:$A$59,$A$19,V22:V59)</f>
        <v>2</v>
      </c>
      <c r="W19" s="92">
        <f>GN_Q1_HALF114[[#This Row],[Dimes]]/GN_Q1_HALF114[[#This Row],[Turnovers]]</f>
        <v>0</v>
      </c>
    </row>
    <row r="20" spans="1:23" ht="16" thickBot="1" x14ac:dyDescent="0.25">
      <c r="A20" s="82" t="s">
        <v>76</v>
      </c>
      <c r="B20" s="100">
        <f>SUM(B15:B19)</f>
        <v>14</v>
      </c>
      <c r="C20" s="100">
        <f>SUM(C15:C19)</f>
        <v>31</v>
      </c>
      <c r="D20" s="101">
        <f>GN_Q1_HALF114[[#This Row],[Total FGM]]/GN_Q1_HALF114[[#This Row],[Total FGA]]</f>
        <v>0.45161290322580644</v>
      </c>
      <c r="E20" s="102">
        <f>SUM(E15:E19)</f>
        <v>9</v>
      </c>
      <c r="F20" s="103">
        <f>SUM(F15:F19)</f>
        <v>16</v>
      </c>
      <c r="G20" s="104">
        <f>GN_Q1_HALF114[[#This Row],[2PT FGM]]/GN_Q1_HALF114[[#This Row],[2PT FGA]]</f>
        <v>0.5625</v>
      </c>
      <c r="H20" s="103">
        <f>SUM(H15:H19)</f>
        <v>5</v>
      </c>
      <c r="I20" s="103">
        <f>SUM(I15:I19)</f>
        <v>15</v>
      </c>
      <c r="J20" s="109">
        <f>GN_Q1_HALF114[[#This Row],[3PT FGM]]/GN_Q1_HALF114[[#This Row],[3PT FGA]]</f>
        <v>0.33333333333333331</v>
      </c>
      <c r="K20" s="103">
        <f>SUM(K15:K19)</f>
        <v>0</v>
      </c>
      <c r="L20" s="103">
        <f>SUM(L15:L19)</f>
        <v>0</v>
      </c>
      <c r="M20" s="105" t="e">
        <f>GN_Q1_HALF114[[#This Row],[FTM]]/GN_Q1_HALF114[[#This Row],[FTA]]</f>
        <v>#DIV/0!</v>
      </c>
      <c r="N20" s="62">
        <f>SUM(GN_Q1_HALF114[[#This Row],[2PT FGM]]*2,GN_Q1_HALF114[[#This Row],[3PT FGM]]*3,GN_Q1_HALF114[[#This Row],[FTM]])</f>
        <v>33</v>
      </c>
      <c r="O20" s="100">
        <f>SUM(O15:O19)</f>
        <v>6</v>
      </c>
      <c r="P20" s="100">
        <f>SUM(P15:P19)</f>
        <v>19</v>
      </c>
      <c r="Q20" s="100">
        <f>SUM(Q15:Q19)</f>
        <v>3</v>
      </c>
      <c r="R20" s="106">
        <f>GN_Q1_HALF114[[#This Row],[Def. Boards]]+GN_Q1_HALF114[[#This Row],[Off. Boards]]</f>
        <v>22</v>
      </c>
      <c r="S20" s="100">
        <f>SUM(S15:S19)</f>
        <v>9</v>
      </c>
      <c r="T20" s="100">
        <f>SUM(T15:T19)</f>
        <v>5</v>
      </c>
      <c r="U20" s="100">
        <f>SUM(U15:U19)</f>
        <v>2</v>
      </c>
      <c r="V20" s="100">
        <f>SUM(V15:V19)</f>
        <v>9</v>
      </c>
      <c r="W20" s="107">
        <f>GN_Q1_HALF114[[#This Row],[Dimes]]/GN_Q1_HALF114[[#This Row],[Turnovers]]</f>
        <v>1</v>
      </c>
    </row>
    <row r="21" spans="1:23" ht="16" thickBot="1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</row>
    <row r="22" spans="1:23" ht="16" thickTop="1" x14ac:dyDescent="0.2"/>
    <row r="23" spans="1:23" ht="16" thickBot="1" x14ac:dyDescent="0.25">
      <c r="A23" s="220" t="s">
        <v>146</v>
      </c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</row>
    <row r="24" spans="1:23" ht="32" x14ac:dyDescent="0.2">
      <c r="A24" s="166" t="s">
        <v>208</v>
      </c>
      <c r="B24" s="11" t="s">
        <v>0</v>
      </c>
      <c r="C24" s="11" t="s">
        <v>1</v>
      </c>
      <c r="D24" s="11" t="s">
        <v>2</v>
      </c>
      <c r="E24" s="95" t="s">
        <v>3</v>
      </c>
      <c r="F24" s="96" t="s">
        <v>4</v>
      </c>
      <c r="G24" s="96" t="s">
        <v>5</v>
      </c>
      <c r="H24" s="96" t="s">
        <v>6</v>
      </c>
      <c r="I24" s="96" t="s">
        <v>7</v>
      </c>
      <c r="J24" s="96" t="s">
        <v>8</v>
      </c>
      <c r="K24" s="96" t="s">
        <v>9</v>
      </c>
      <c r="L24" s="96" t="s">
        <v>10</v>
      </c>
      <c r="M24" s="97" t="s">
        <v>11</v>
      </c>
      <c r="N24" s="11" t="s">
        <v>12</v>
      </c>
      <c r="O24" s="10" t="s">
        <v>13</v>
      </c>
      <c r="P24" s="11" t="s">
        <v>14</v>
      </c>
      <c r="Q24" s="11" t="s">
        <v>15</v>
      </c>
      <c r="R24" s="11" t="s">
        <v>16</v>
      </c>
      <c r="S24" s="10" t="s">
        <v>17</v>
      </c>
      <c r="T24" s="10" t="s">
        <v>18</v>
      </c>
      <c r="U24" s="10" t="s">
        <v>19</v>
      </c>
      <c r="V24" s="10" t="s">
        <v>20</v>
      </c>
      <c r="W24" s="10" t="s">
        <v>21</v>
      </c>
    </row>
    <row r="25" spans="1:23" x14ac:dyDescent="0.2">
      <c r="A25" s="13" t="s">
        <v>96</v>
      </c>
      <c r="B25" s="90">
        <f>LITI_Q1_HALF11317[[#This Row],[2PT FGM]]+LITI_Q1_HALF11317[[#This Row],[3PT FGM]]</f>
        <v>0</v>
      </c>
      <c r="C25" s="90">
        <f>LITI_Q1_HALF11317[[#This Row],[2PT FGA]]+LITI_Q1_HALF11317[[#This Row],[3PT FGA]]</f>
        <v>3</v>
      </c>
      <c r="D25" s="91">
        <f>LITI_Q1_HALF11317[[#This Row],[Total FGM]]/LITI_Q1_HALF11317[[#This Row],[Total FGA]]</f>
        <v>0</v>
      </c>
      <c r="E25" s="98">
        <v>0</v>
      </c>
      <c r="F25" s="19">
        <v>1</v>
      </c>
      <c r="G25" s="91">
        <f>LITI_Q1_HALF11317[[#This Row],[2PT FGM]]/LITI_Q1_HALF11317[[#This Row],[2PT FGA]]</f>
        <v>0</v>
      </c>
      <c r="H25" s="19">
        <v>0</v>
      </c>
      <c r="I25" s="19">
        <v>2</v>
      </c>
      <c r="J25" s="91">
        <f>LITI_Q1_HALF11317[[#This Row],[3PT FGM]]/LITI_Q1_HALF11317[[#This Row],[3PT FGA]]</f>
        <v>0</v>
      </c>
      <c r="K25" s="19">
        <v>0</v>
      </c>
      <c r="L25" s="19">
        <v>0</v>
      </c>
      <c r="M25" s="99" t="e">
        <f>LITI_Q1_HALF11317[[#This Row],[FTM]]/LITI_Q1_HALF11317[[#This Row],[FTA]]</f>
        <v>#DIV/0!</v>
      </c>
      <c r="N25" s="19">
        <f>SUM(LITI_Q1_HALF11317[[#This Row],[2PT FGM]]*2,LITI_Q1_HALF11317[[#This Row],[3PT FGM]]*3,LITI_Q1_HALF11317[[#This Row],[FTM]])</f>
        <v>0</v>
      </c>
      <c r="O25" s="19">
        <v>0</v>
      </c>
      <c r="P25" s="19">
        <v>0</v>
      </c>
      <c r="Q25" s="19">
        <v>1</v>
      </c>
      <c r="R25" s="19">
        <f>LITI_Q1_HALF11317[[#This Row],[Off. Boards]]+LITI_Q1_HALF11317[[#This Row],[Def. Boards]]</f>
        <v>1</v>
      </c>
      <c r="S25" s="19">
        <v>1</v>
      </c>
      <c r="T25" s="19">
        <v>1</v>
      </c>
      <c r="U25" s="19">
        <v>0</v>
      </c>
      <c r="V25" s="19">
        <v>0</v>
      </c>
      <c r="W25" s="92" t="e">
        <f>LITI_Q1_HALF11317[[#This Row],[Dimes]]/LITI_Q1_HALF11317[[#This Row],[Turnovers]]</f>
        <v>#DIV/0!</v>
      </c>
    </row>
    <row r="26" spans="1:23" x14ac:dyDescent="0.2">
      <c r="A26" s="13" t="s">
        <v>207</v>
      </c>
      <c r="B26" s="90">
        <f>LITI_Q1_HALF11317[[#This Row],[2PT FGM]]+LITI_Q1_HALF11317[[#This Row],[3PT FGM]]</f>
        <v>1</v>
      </c>
      <c r="C26" s="90">
        <f>LITI_Q1_HALF11317[[#This Row],[2PT FGA]]+LITI_Q1_HALF11317[[#This Row],[3PT FGA]]</f>
        <v>3</v>
      </c>
      <c r="D26" s="91">
        <f>LITI_Q1_HALF11317[[#This Row],[Total FGM]]/LITI_Q1_HALF11317[[#This Row],[Total FGA]]</f>
        <v>0.33333333333333331</v>
      </c>
      <c r="E26" s="98">
        <v>1</v>
      </c>
      <c r="F26" s="19">
        <v>3</v>
      </c>
      <c r="G26" s="91">
        <f>LITI_Q1_HALF11317[[#This Row],[2PT FGM]]/LITI_Q1_HALF11317[[#This Row],[2PT FGA]]</f>
        <v>0.33333333333333331</v>
      </c>
      <c r="H26" s="19">
        <v>0</v>
      </c>
      <c r="I26" s="19">
        <v>0</v>
      </c>
      <c r="J26" s="91" t="e">
        <f>LITI_Q1_HALF11317[[#This Row],[3PT FGM]]/LITI_Q1_HALF11317[[#This Row],[3PT FGA]]</f>
        <v>#DIV/0!</v>
      </c>
      <c r="K26" s="19">
        <v>0</v>
      </c>
      <c r="L26" s="19">
        <v>0</v>
      </c>
      <c r="M26" s="99" t="e">
        <f>LITI_Q1_HALF11317[[#This Row],[FTM]]/LITI_Q1_HALF11317[[#This Row],[FTA]]</f>
        <v>#DIV/0!</v>
      </c>
      <c r="N26" s="19">
        <f>SUM(LITI_Q1_HALF11317[[#This Row],[2PT FGM]]*2,LITI_Q1_HALF11317[[#This Row],[3PT FGM]]*3,LITI_Q1_HALF11317[[#This Row],[FTM]])</f>
        <v>2</v>
      </c>
      <c r="O26" s="19">
        <v>0</v>
      </c>
      <c r="P26" s="19">
        <v>1</v>
      </c>
      <c r="Q26" s="19">
        <v>1</v>
      </c>
      <c r="R26" s="19">
        <f>LITI_Q1_HALF11317[[#This Row],[Off. Boards]]+LITI_Q1_HALF11317[[#This Row],[Def. Boards]]</f>
        <v>2</v>
      </c>
      <c r="S26" s="19">
        <v>1</v>
      </c>
      <c r="T26" s="19">
        <v>0</v>
      </c>
      <c r="U26" s="19">
        <v>0</v>
      </c>
      <c r="V26" s="19">
        <v>2</v>
      </c>
      <c r="W26" s="92">
        <f>LITI_Q1_HALF11317[[#This Row],[Dimes]]/LITI_Q1_HALF11317[[#This Row],[Turnovers]]</f>
        <v>0.5</v>
      </c>
    </row>
    <row r="27" spans="1:23" x14ac:dyDescent="0.2">
      <c r="A27" s="13" t="s">
        <v>88</v>
      </c>
      <c r="B27" s="90">
        <f>LITI_Q1_HALF11317[[#This Row],[2PT FGM]]+LITI_Q1_HALF11317[[#This Row],[3PT FGM]]</f>
        <v>0</v>
      </c>
      <c r="C27" s="90">
        <f>LITI_Q1_HALF11317[[#This Row],[2PT FGA]]+LITI_Q1_HALF11317[[#This Row],[3PT FGA]]</f>
        <v>5</v>
      </c>
      <c r="D27" s="91">
        <f>LITI_Q1_HALF11317[[#This Row],[Total FGM]]/LITI_Q1_HALF11317[[#This Row],[Total FGA]]</f>
        <v>0</v>
      </c>
      <c r="E27" s="98">
        <v>0</v>
      </c>
      <c r="F27" s="19">
        <v>3</v>
      </c>
      <c r="G27" s="91">
        <f>LITI_Q1_HALF11317[[#This Row],[2PT FGM]]/LITI_Q1_HALF11317[[#This Row],[2PT FGA]]</f>
        <v>0</v>
      </c>
      <c r="H27" s="19">
        <v>0</v>
      </c>
      <c r="I27" s="19">
        <v>2</v>
      </c>
      <c r="J27" s="91">
        <f>LITI_Q1_HALF11317[[#This Row],[3PT FGM]]/LITI_Q1_HALF11317[[#This Row],[3PT FGA]]</f>
        <v>0</v>
      </c>
      <c r="K27" s="19">
        <v>0</v>
      </c>
      <c r="L27" s="19">
        <v>0</v>
      </c>
      <c r="M27" s="99" t="e">
        <f>LITI_Q1_HALF11317[[#This Row],[FTM]]/LITI_Q1_HALF11317[[#This Row],[FTA]]</f>
        <v>#DIV/0!</v>
      </c>
      <c r="N27" s="19">
        <f>SUM(LITI_Q1_HALF11317[[#This Row],[2PT FGM]]*2,LITI_Q1_HALF11317[[#This Row],[3PT FGM]]*3,LITI_Q1_HALF11317[[#This Row],[FTM]])</f>
        <v>0</v>
      </c>
      <c r="O27" s="19">
        <v>0</v>
      </c>
      <c r="P27" s="19">
        <v>2</v>
      </c>
      <c r="Q27" s="19">
        <v>1</v>
      </c>
      <c r="R27" s="19">
        <f>LITI_Q1_HALF11317[[#This Row],[Off. Boards]]+LITI_Q1_HALF11317[[#This Row],[Def. Boards]]</f>
        <v>3</v>
      </c>
      <c r="S27" s="19">
        <v>0</v>
      </c>
      <c r="T27" s="19">
        <v>0</v>
      </c>
      <c r="U27" s="19">
        <v>0</v>
      </c>
      <c r="V27" s="19">
        <v>1</v>
      </c>
      <c r="W27" s="92">
        <f>LITI_Q1_HALF11317[[#This Row],[Dimes]]/LITI_Q1_HALF11317[[#This Row],[Turnovers]]</f>
        <v>0</v>
      </c>
    </row>
    <row r="28" spans="1:23" x14ac:dyDescent="0.2">
      <c r="A28" s="13" t="s">
        <v>98</v>
      </c>
      <c r="B28" s="90">
        <f>LITI_Q1_HALF11317[[#This Row],[2PT FGM]]+LITI_Q1_HALF11317[[#This Row],[3PT FGM]]</f>
        <v>0</v>
      </c>
      <c r="C28" s="90">
        <f>LITI_Q1_HALF11317[[#This Row],[2PT FGA]]+LITI_Q1_HALF11317[[#This Row],[3PT FGA]]</f>
        <v>1</v>
      </c>
      <c r="D28" s="91">
        <f>LITI_Q1_HALF11317[[#This Row],[Total FGM]]/LITI_Q1_HALF11317[[#This Row],[Total FGA]]</f>
        <v>0</v>
      </c>
      <c r="E28" s="98">
        <v>0</v>
      </c>
      <c r="F28" s="19">
        <v>1</v>
      </c>
      <c r="G28" s="91">
        <f>LITI_Q1_HALF11317[[#This Row],[2PT FGM]]/LITI_Q1_HALF11317[[#This Row],[2PT FGA]]</f>
        <v>0</v>
      </c>
      <c r="H28" s="19">
        <v>0</v>
      </c>
      <c r="I28" s="19">
        <v>0</v>
      </c>
      <c r="J28" s="91" t="e">
        <f>LITI_Q1_HALF11317[[#This Row],[3PT FGM]]/LITI_Q1_HALF11317[[#This Row],[3PT FGA]]</f>
        <v>#DIV/0!</v>
      </c>
      <c r="K28" s="19">
        <v>0</v>
      </c>
      <c r="L28" s="19">
        <v>0</v>
      </c>
      <c r="M28" s="99" t="e">
        <f>LITI_Q1_HALF11317[[#This Row],[FTM]]/LITI_Q1_HALF11317[[#This Row],[FTA]]</f>
        <v>#DIV/0!</v>
      </c>
      <c r="N28" s="19">
        <f>SUM(LITI_Q1_HALF11317[[#This Row],[2PT FGM]]*2,LITI_Q1_HALF11317[[#This Row],[3PT FGM]]*3,LITI_Q1_HALF11317[[#This Row],[FTM]])</f>
        <v>0</v>
      </c>
      <c r="O28" s="19">
        <v>0</v>
      </c>
      <c r="P28" s="19">
        <v>3</v>
      </c>
      <c r="Q28" s="19">
        <v>1</v>
      </c>
      <c r="R28" s="19">
        <f>LITI_Q1_HALF11317[[#This Row],[Off. Boards]]+LITI_Q1_HALF11317[[#This Row],[Def. Boards]]</f>
        <v>4</v>
      </c>
      <c r="S28" s="19">
        <v>0</v>
      </c>
      <c r="T28" s="19">
        <v>0</v>
      </c>
      <c r="U28" s="19">
        <v>0</v>
      </c>
      <c r="V28" s="19">
        <v>1</v>
      </c>
      <c r="W28" s="92">
        <f>LITI_Q1_HALF11317[[#This Row],[Dimes]]/LITI_Q1_HALF11317[[#This Row],[Turnovers]]</f>
        <v>0</v>
      </c>
    </row>
    <row r="29" spans="1:23" x14ac:dyDescent="0.2">
      <c r="A29" s="13" t="s">
        <v>83</v>
      </c>
      <c r="B29" s="90">
        <f>LITI_Q1_HALF11317[[#This Row],[2PT FGM]]+LITI_Q1_HALF11317[[#This Row],[3PT FGM]]</f>
        <v>2</v>
      </c>
      <c r="C29" s="90">
        <f>LITI_Q1_HALF11317[[#This Row],[2PT FGA]]+LITI_Q1_HALF11317[[#This Row],[3PT FGA]]</f>
        <v>5</v>
      </c>
      <c r="D29" s="91">
        <f>LITI_Q1_HALF11317[[#This Row],[Total FGM]]/LITI_Q1_HALF11317[[#This Row],[Total FGA]]</f>
        <v>0.4</v>
      </c>
      <c r="E29" s="98">
        <v>1</v>
      </c>
      <c r="F29" s="19">
        <v>2</v>
      </c>
      <c r="G29" s="91">
        <f>LITI_Q1_HALF11317[[#This Row],[2PT FGM]]/LITI_Q1_HALF11317[[#This Row],[2PT FGA]]</f>
        <v>0.5</v>
      </c>
      <c r="H29" s="19">
        <v>1</v>
      </c>
      <c r="I29" s="19">
        <v>3</v>
      </c>
      <c r="J29" s="91">
        <f>LITI_Q1_HALF11317[[#This Row],[3PT FGM]]/LITI_Q1_HALF11317[[#This Row],[3PT FGA]]</f>
        <v>0.33333333333333331</v>
      </c>
      <c r="K29" s="19">
        <v>0</v>
      </c>
      <c r="L29" s="19">
        <v>0</v>
      </c>
      <c r="M29" s="99" t="e">
        <f>LITI_Q1_HALF11317[[#This Row],[FTM]]/LITI_Q1_HALF11317[[#This Row],[FTA]]</f>
        <v>#DIV/0!</v>
      </c>
      <c r="N29" s="19">
        <f>SUM(LITI_Q1_HALF11317[[#This Row],[2PT FGM]]*2,LITI_Q1_HALF11317[[#This Row],[3PT FGM]]*3,LITI_Q1_HALF11317[[#This Row],[FTM]])</f>
        <v>5</v>
      </c>
      <c r="O29" s="19">
        <v>0</v>
      </c>
      <c r="P29" s="19">
        <v>0</v>
      </c>
      <c r="Q29" s="19">
        <v>0</v>
      </c>
      <c r="R29" s="19">
        <f>LITI_Q1_HALF11317[[#This Row],[Off. Boards]]+LITI_Q1_HALF11317[[#This Row],[Def. Boards]]</f>
        <v>0</v>
      </c>
      <c r="S29" s="19">
        <v>0</v>
      </c>
      <c r="T29" s="19">
        <v>1</v>
      </c>
      <c r="U29" s="19">
        <v>0</v>
      </c>
      <c r="V29" s="19">
        <v>0</v>
      </c>
      <c r="W29" s="92" t="e">
        <f>LITI_Q1_HALF11317[[#This Row],[Dimes]]/LITI_Q1_HALF11317[[#This Row],[Turnovers]]</f>
        <v>#DIV/0!</v>
      </c>
    </row>
    <row r="30" spans="1:23" ht="16" thickBot="1" x14ac:dyDescent="0.25">
      <c r="A30" s="82" t="s">
        <v>76</v>
      </c>
      <c r="B30" s="100">
        <f>SUM(B25:B29)</f>
        <v>3</v>
      </c>
      <c r="C30" s="100">
        <f>SUM(C25:C29)</f>
        <v>17</v>
      </c>
      <c r="D30" s="101">
        <f>LITI_Q1_HALF11317[[#This Row],[Total FGM]]/LITI_Q1_HALF11317[[#This Row],[Total FGA]]</f>
        <v>0.17647058823529413</v>
      </c>
      <c r="E30" s="102">
        <f>SUM(E25:E29)</f>
        <v>2</v>
      </c>
      <c r="F30" s="103">
        <f>SUM(F25:F29)</f>
        <v>10</v>
      </c>
      <c r="G30" s="108">
        <f>LITI_Q1_HALF11317[[#This Row],[2PT FGM]]/LITI_Q1_HALF11317[[#This Row],[2PT FGA]]</f>
        <v>0.2</v>
      </c>
      <c r="H30" s="103">
        <f>SUM(H25:H29)</f>
        <v>1</v>
      </c>
      <c r="I30" s="103">
        <f>SUM(I25:I29)</f>
        <v>7</v>
      </c>
      <c r="J30" s="104">
        <f>LITI_Q1_HALF11317[[#This Row],[3PT FGM]]/LITI_Q1_HALF11317[[#This Row],[3PT FGA]]</f>
        <v>0.14285714285714285</v>
      </c>
      <c r="K30" s="103">
        <f>SUM(K25:K29)</f>
        <v>0</v>
      </c>
      <c r="L30" s="103">
        <f>SUM(L25:L29)</f>
        <v>0</v>
      </c>
      <c r="M30" s="105" t="e">
        <f>LITI_Q1_HALF11317[[#This Row],[FTM]]/LITI_Q1_HALF11317[[#This Row],[FTA]]</f>
        <v>#DIV/0!</v>
      </c>
      <c r="N30" s="62">
        <f>SUM(LITI_Q1_HALF11317[[#This Row],[2PT FGM]]*2,LITI_Q1_HALF11317[[#This Row],[3PT FGM]]*3,LITI_Q1_HALF11317[[#This Row],[FTM]])</f>
        <v>7</v>
      </c>
      <c r="O30" s="106">
        <f>SUM(O25:O29)</f>
        <v>0</v>
      </c>
      <c r="P30" s="106">
        <f t="shared" ref="P30:V30" si="1">SUM(P25:P29)</f>
        <v>6</v>
      </c>
      <c r="Q30" s="106">
        <f t="shared" si="1"/>
        <v>4</v>
      </c>
      <c r="R30" s="106">
        <f t="shared" si="1"/>
        <v>10</v>
      </c>
      <c r="S30" s="106">
        <f t="shared" si="1"/>
        <v>2</v>
      </c>
      <c r="T30" s="106">
        <f t="shared" si="1"/>
        <v>2</v>
      </c>
      <c r="U30" s="106">
        <f t="shared" si="1"/>
        <v>0</v>
      </c>
      <c r="V30" s="106">
        <f t="shared" si="1"/>
        <v>4</v>
      </c>
      <c r="W30" s="107">
        <f>LITI_Q1_HALF11317[[#This Row],[Dimes]]/LITI_Q1_HALF11317[[#This Row],[Turnovers]]</f>
        <v>0.5</v>
      </c>
    </row>
    <row r="32" spans="1:23" ht="16" thickBot="1" x14ac:dyDescent="0.25">
      <c r="A32" s="220" t="s">
        <v>146</v>
      </c>
      <c r="B32" s="219"/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</row>
    <row r="33" spans="1:23" ht="32" x14ac:dyDescent="0.2">
      <c r="A33" s="166" t="s">
        <v>209</v>
      </c>
      <c r="B33" s="11" t="s">
        <v>0</v>
      </c>
      <c r="C33" s="11" t="s">
        <v>1</v>
      </c>
      <c r="D33" s="11" t="s">
        <v>2</v>
      </c>
      <c r="E33" s="95" t="s">
        <v>3</v>
      </c>
      <c r="F33" s="96" t="s">
        <v>4</v>
      </c>
      <c r="G33" s="96" t="s">
        <v>5</v>
      </c>
      <c r="H33" s="96" t="s">
        <v>6</v>
      </c>
      <c r="I33" s="96" t="s">
        <v>7</v>
      </c>
      <c r="J33" s="96" t="s">
        <v>8</v>
      </c>
      <c r="K33" s="96" t="s">
        <v>9</v>
      </c>
      <c r="L33" s="96" t="s">
        <v>10</v>
      </c>
      <c r="M33" s="97" t="s">
        <v>11</v>
      </c>
      <c r="N33" s="11" t="s">
        <v>12</v>
      </c>
      <c r="O33" s="10" t="s">
        <v>13</v>
      </c>
      <c r="P33" s="11" t="s">
        <v>14</v>
      </c>
      <c r="Q33" s="11" t="s">
        <v>15</v>
      </c>
      <c r="R33" s="11" t="s">
        <v>16</v>
      </c>
      <c r="S33" s="10" t="s">
        <v>17</v>
      </c>
      <c r="T33" s="10" t="s">
        <v>18</v>
      </c>
      <c r="U33" s="10" t="s">
        <v>19</v>
      </c>
      <c r="V33" s="10" t="s">
        <v>20</v>
      </c>
      <c r="W33" s="10" t="s">
        <v>21</v>
      </c>
    </row>
    <row r="34" spans="1:23" x14ac:dyDescent="0.2">
      <c r="A34" t="s">
        <v>24</v>
      </c>
      <c r="B34" s="90">
        <f>GN_Q1_HALF11418[[#This Row],[2PT FGM]]+GN_Q1_HALF11418[[#This Row],[3PT FGM]]</f>
        <v>1</v>
      </c>
      <c r="C34" s="90">
        <f>GN_Q1_HALF11418[[#This Row],[2PT FGA]]+GN_Q1_HALF11418[[#This Row],[3PT FGA]]</f>
        <v>3</v>
      </c>
      <c r="D34" s="91">
        <f>GN_Q1_HALF11418[[#This Row],[Total FGM]]/GN_Q1_HALF11418[[#This Row],[Total FGA]]</f>
        <v>0.33333333333333331</v>
      </c>
      <c r="E34" s="98">
        <v>0</v>
      </c>
      <c r="F34" s="19">
        <v>0</v>
      </c>
      <c r="G34" s="91" t="e">
        <f>GN_Q1_HALF11418[[#This Row],[2PT FGM]]/GN_Q1_HALF11418[[#This Row],[2PT FGA]]</f>
        <v>#DIV/0!</v>
      </c>
      <c r="H34" s="19">
        <v>1</v>
      </c>
      <c r="I34" s="19">
        <v>3</v>
      </c>
      <c r="J34" s="91">
        <f>GN_Q1_HALF11418[[#This Row],[3PT FGM]]/GN_Q1_HALF11418[[#This Row],[3PT FGA]]</f>
        <v>0.33333333333333331</v>
      </c>
      <c r="K34" s="19">
        <v>0</v>
      </c>
      <c r="L34" s="19">
        <v>0</v>
      </c>
      <c r="M34" s="99" t="e">
        <f>GN_Q1_HALF11418[[#This Row],[FTM]]/GN_Q1_HALF11418[[#This Row],[FTA]]</f>
        <v>#DIV/0!</v>
      </c>
      <c r="N34" s="19">
        <f>SUM(GN_Q1_HALF11418[[#This Row],[2PT FGM]]*2,GN_Q1_HALF11418[[#This Row],[3PT FGM]]*3,GN_Q1_HALF11418[[#This Row],[FTM]])</f>
        <v>3</v>
      </c>
      <c r="O34" s="19">
        <v>0</v>
      </c>
      <c r="P34" s="19">
        <v>5</v>
      </c>
      <c r="Q34" s="19">
        <v>0</v>
      </c>
      <c r="R34" s="19">
        <f>GN_Q1_HALF11418[[#This Row],[Off. Boards]]+GN_Q1_HALF11418[[#This Row],[Def. Boards]]</f>
        <v>5</v>
      </c>
      <c r="S34" s="19">
        <v>3</v>
      </c>
      <c r="T34" s="19">
        <v>1</v>
      </c>
      <c r="U34" s="19">
        <v>0</v>
      </c>
      <c r="V34" s="19">
        <v>1</v>
      </c>
      <c r="W34" s="92">
        <f>GN_Q1_HALF11418[[#This Row],[Dimes]]/GN_Q1_HALF11418[[#This Row],[Turnovers]]</f>
        <v>3</v>
      </c>
    </row>
    <row r="35" spans="1:23" x14ac:dyDescent="0.2">
      <c r="A35" t="s">
        <v>135</v>
      </c>
      <c r="B35" s="90">
        <f>GN_Q1_HALF11418[[#This Row],[2PT FGM]]+GN_Q1_HALF11418[[#This Row],[3PT FGM]]</f>
        <v>2</v>
      </c>
      <c r="C35" s="90">
        <f>GN_Q1_HALF11418[[#This Row],[2PT FGA]]+GN_Q1_HALF11418[[#This Row],[3PT FGA]]</f>
        <v>4</v>
      </c>
      <c r="D35" s="91">
        <f>GN_Q1_HALF11418[[#This Row],[Total FGM]]/GN_Q1_HALF11418[[#This Row],[Total FGA]]</f>
        <v>0.5</v>
      </c>
      <c r="E35" s="98">
        <v>2</v>
      </c>
      <c r="F35" s="19">
        <v>4</v>
      </c>
      <c r="G35" s="91">
        <f>GN_Q1_HALF11418[[#This Row],[2PT FGM]]/GN_Q1_HALF11418[[#This Row],[2PT FGA]]</f>
        <v>0.5</v>
      </c>
      <c r="H35" s="19">
        <v>0</v>
      </c>
      <c r="I35" s="19">
        <v>0</v>
      </c>
      <c r="J35" s="91" t="e">
        <f>GN_Q1_HALF11418[[#This Row],[3PT FGM]]/GN_Q1_HALF11418[[#This Row],[3PT FGA]]</f>
        <v>#DIV/0!</v>
      </c>
      <c r="K35" s="19">
        <v>0</v>
      </c>
      <c r="L35" s="19">
        <v>0</v>
      </c>
      <c r="M35" s="99" t="e">
        <f>GN_Q1_HALF11418[[#This Row],[FTM]]/GN_Q1_HALF11418[[#This Row],[FTA]]</f>
        <v>#DIV/0!</v>
      </c>
      <c r="N35" s="19">
        <f>SUM(GN_Q1_HALF11418[[#This Row],[2PT FGM]]*2,GN_Q1_HALF11418[[#This Row],[3PT FGM]]*3,GN_Q1_HALF11418[[#This Row],[FTM]])</f>
        <v>4</v>
      </c>
      <c r="O35" s="19">
        <v>2</v>
      </c>
      <c r="P35" s="19">
        <v>2</v>
      </c>
      <c r="Q35" s="19">
        <v>1</v>
      </c>
      <c r="R35" s="19">
        <f>GN_Q1_HALF11418[[#This Row],[Off. Boards]]+GN_Q1_HALF11418[[#This Row],[Def. Boards]]</f>
        <v>3</v>
      </c>
      <c r="S35" s="19">
        <v>0</v>
      </c>
      <c r="T35" s="19">
        <v>0</v>
      </c>
      <c r="U35" s="19">
        <v>1</v>
      </c>
      <c r="V35" s="19">
        <v>0</v>
      </c>
      <c r="W35" s="92" t="e">
        <f>GN_Q1_HALF11418[[#This Row],[Dimes]]/GN_Q1_HALF11418[[#This Row],[Turnovers]]</f>
        <v>#DIV/0!</v>
      </c>
    </row>
    <row r="36" spans="1:23" x14ac:dyDescent="0.2">
      <c r="A36" t="s">
        <v>103</v>
      </c>
      <c r="B36" s="90">
        <f>GN_Q1_HALF11418[[#This Row],[2PT FGM]]+GN_Q1_HALF11418[[#This Row],[3PT FGM]]</f>
        <v>1</v>
      </c>
      <c r="C36" s="90">
        <f>GN_Q1_HALF11418[[#This Row],[2PT FGA]]+GN_Q1_HALF11418[[#This Row],[3PT FGA]]</f>
        <v>4</v>
      </c>
      <c r="D36" s="91">
        <f>GN_Q1_HALF11418[[#This Row],[Total FGM]]/GN_Q1_HALF11418[[#This Row],[Total FGA]]</f>
        <v>0.25</v>
      </c>
      <c r="E36" s="98">
        <v>1</v>
      </c>
      <c r="F36" s="19">
        <v>1</v>
      </c>
      <c r="G36" s="91">
        <f>GN_Q1_HALF11418[[#This Row],[2PT FGM]]/GN_Q1_HALF11418[[#This Row],[2PT FGA]]</f>
        <v>1</v>
      </c>
      <c r="H36" s="19">
        <v>0</v>
      </c>
      <c r="I36" s="19">
        <v>3</v>
      </c>
      <c r="J36" s="91">
        <f>GN_Q1_HALF11418[[#This Row],[3PT FGM]]/GN_Q1_HALF11418[[#This Row],[3PT FGA]]</f>
        <v>0</v>
      </c>
      <c r="K36" s="19">
        <v>0</v>
      </c>
      <c r="L36" s="19">
        <v>0</v>
      </c>
      <c r="M36" s="99" t="e">
        <f>GN_Q1_HALF11418[[#This Row],[FTM]]/GN_Q1_HALF11418[[#This Row],[FTA]]</f>
        <v>#DIV/0!</v>
      </c>
      <c r="N36" s="19">
        <f>SUM(GN_Q1_HALF11418[[#This Row],[2PT FGM]]*2,GN_Q1_HALF11418[[#This Row],[3PT FGM]]*3,GN_Q1_HALF11418[[#This Row],[FTM]])</f>
        <v>2</v>
      </c>
      <c r="O36" s="19">
        <v>1</v>
      </c>
      <c r="P36" s="19">
        <v>1</v>
      </c>
      <c r="Q36" s="19">
        <v>0</v>
      </c>
      <c r="R36" s="19">
        <f>GN_Q1_HALF11418[[#This Row],[Off. Boards]]+GN_Q1_HALF11418[[#This Row],[Def. Boards]]</f>
        <v>1</v>
      </c>
      <c r="S36" s="19">
        <v>1</v>
      </c>
      <c r="T36" s="19">
        <v>2</v>
      </c>
      <c r="U36" s="19">
        <v>0</v>
      </c>
      <c r="V36" s="19">
        <v>0</v>
      </c>
      <c r="W36" s="92" t="e">
        <f>GN_Q1_HALF11418[[#This Row],[Dimes]]/GN_Q1_HALF11418[[#This Row],[Turnovers]]</f>
        <v>#DIV/0!</v>
      </c>
    </row>
    <row r="37" spans="1:23" x14ac:dyDescent="0.2">
      <c r="A37" t="s">
        <v>100</v>
      </c>
      <c r="B37" s="90">
        <f>GN_Q1_HALF11418[[#This Row],[2PT FGM]]+GN_Q1_HALF11418[[#This Row],[3PT FGM]]</f>
        <v>1</v>
      </c>
      <c r="C37" s="90">
        <f>GN_Q1_HALF11418[[#This Row],[2PT FGA]]+GN_Q1_HALF11418[[#This Row],[3PT FGA]]</f>
        <v>2</v>
      </c>
      <c r="D37" s="91">
        <f>GN_Q1_HALF11418[[#This Row],[Total FGM]]/GN_Q1_HALF11418[[#This Row],[Total FGA]]</f>
        <v>0.5</v>
      </c>
      <c r="E37" s="98">
        <v>1</v>
      </c>
      <c r="F37" s="19">
        <v>1</v>
      </c>
      <c r="G37" s="91">
        <f>GN_Q1_HALF11418[[#This Row],[2PT FGM]]/GN_Q1_HALF11418[[#This Row],[2PT FGA]]</f>
        <v>1</v>
      </c>
      <c r="H37" s="19">
        <v>0</v>
      </c>
      <c r="I37" s="19">
        <v>1</v>
      </c>
      <c r="J37" s="91">
        <f>GN_Q1_HALF11418[[#This Row],[3PT FGM]]/GN_Q1_HALF11418[[#This Row],[3PT FGA]]</f>
        <v>0</v>
      </c>
      <c r="K37" s="19">
        <v>0</v>
      </c>
      <c r="L37" s="19">
        <v>0</v>
      </c>
      <c r="M37" s="99" t="e">
        <f>GN_Q1_HALF11418[[#This Row],[FTM]]/GN_Q1_HALF11418[[#This Row],[FTA]]</f>
        <v>#DIV/0!</v>
      </c>
      <c r="N37" s="19">
        <f>SUM(GN_Q1_HALF11418[[#This Row],[2PT FGM]]*2,GN_Q1_HALF11418[[#This Row],[3PT FGM]]*3,GN_Q1_HALF11418[[#This Row],[FTM]])</f>
        <v>2</v>
      </c>
      <c r="O37" s="19">
        <v>0</v>
      </c>
      <c r="P37" s="19">
        <v>1</v>
      </c>
      <c r="Q37" s="19">
        <v>0</v>
      </c>
      <c r="R37" s="19">
        <f>GN_Q1_HALF11418[[#This Row],[Off. Boards]]+GN_Q1_HALF11418[[#This Row],[Def. Boards]]</f>
        <v>1</v>
      </c>
      <c r="S37" s="19">
        <v>0</v>
      </c>
      <c r="T37" s="19">
        <v>0</v>
      </c>
      <c r="U37" s="19">
        <v>0</v>
      </c>
      <c r="V37" s="19">
        <v>1</v>
      </c>
      <c r="W37" s="92">
        <f>GN_Q1_HALF11418[[#This Row],[Dimes]]/GN_Q1_HALF11418[[#This Row],[Turnovers]]</f>
        <v>0</v>
      </c>
    </row>
    <row r="38" spans="1:23" x14ac:dyDescent="0.2">
      <c r="A38" t="s">
        <v>85</v>
      </c>
      <c r="B38" s="90">
        <f>GN_Q1_HALF11418[[#This Row],[2PT FGM]]+GN_Q1_HALF11418[[#This Row],[3PT FGM]]</f>
        <v>1</v>
      </c>
      <c r="C38" s="90">
        <f>GN_Q1_HALF11418[[#This Row],[2PT FGA]]+GN_Q1_HALF11418[[#This Row],[3PT FGA]]</f>
        <v>2</v>
      </c>
      <c r="D38" s="91">
        <f>GN_Q1_HALF11418[[#This Row],[Total FGM]]/GN_Q1_HALF11418[[#This Row],[Total FGA]]</f>
        <v>0.5</v>
      </c>
      <c r="E38" s="98">
        <v>0</v>
      </c>
      <c r="F38" s="19">
        <v>0</v>
      </c>
      <c r="G38" s="91" t="e">
        <f>GN_Q1_HALF11418[[#This Row],[2PT FGM]]/GN_Q1_HALF11418[[#This Row],[2PT FGA]]</f>
        <v>#DIV/0!</v>
      </c>
      <c r="H38" s="19">
        <v>1</v>
      </c>
      <c r="I38" s="19">
        <v>2</v>
      </c>
      <c r="J38" s="91">
        <f>GN_Q1_HALF11418[[#This Row],[3PT FGM]]/GN_Q1_HALF11418[[#This Row],[3PT FGA]]</f>
        <v>0.5</v>
      </c>
      <c r="K38" s="19">
        <v>0</v>
      </c>
      <c r="L38" s="19">
        <v>0</v>
      </c>
      <c r="M38" s="99" t="e">
        <f>GN_Q1_HALF11418[[#This Row],[FTM]]/GN_Q1_HALF11418[[#This Row],[FTA]]</f>
        <v>#DIV/0!</v>
      </c>
      <c r="N38" s="19">
        <f>SUM(GN_Q1_HALF11418[[#This Row],[2PT FGM]]*2,GN_Q1_HALF11418[[#This Row],[3PT FGM]]*3,GN_Q1_HALF11418[[#This Row],[FTM]])</f>
        <v>3</v>
      </c>
      <c r="O38" s="19">
        <v>0</v>
      </c>
      <c r="P38" s="19">
        <v>1</v>
      </c>
      <c r="Q38" s="19">
        <v>1</v>
      </c>
      <c r="R38" s="19">
        <f>GN_Q1_HALF11418[[#This Row],[Off. Boards]]+GN_Q1_HALF11418[[#This Row],[Def. Boards]]</f>
        <v>2</v>
      </c>
      <c r="S38" s="19">
        <v>0</v>
      </c>
      <c r="T38" s="19">
        <v>0</v>
      </c>
      <c r="U38" s="19">
        <v>0</v>
      </c>
      <c r="V38" s="19">
        <v>2</v>
      </c>
      <c r="W38" s="92">
        <f>GN_Q1_HALF11418[[#This Row],[Dimes]]/GN_Q1_HALF11418[[#This Row],[Turnovers]]</f>
        <v>0</v>
      </c>
    </row>
    <row r="39" spans="1:23" ht="16" thickBot="1" x14ac:dyDescent="0.25">
      <c r="A39" s="82" t="s">
        <v>76</v>
      </c>
      <c r="B39" s="100">
        <f>SUM(B34:B38)</f>
        <v>6</v>
      </c>
      <c r="C39" s="100">
        <f>SUM(C34:C38)</f>
        <v>15</v>
      </c>
      <c r="D39" s="101">
        <f>GN_Q1_HALF11418[[#This Row],[Total FGM]]/GN_Q1_HALF11418[[#This Row],[Total FGA]]</f>
        <v>0.4</v>
      </c>
      <c r="E39" s="102">
        <f>SUM(E34:E38)</f>
        <v>4</v>
      </c>
      <c r="F39" s="103">
        <f>SUM(F34:F38)</f>
        <v>6</v>
      </c>
      <c r="G39" s="104">
        <f>GN_Q1_HALF11418[[#This Row],[2PT FGM]]/GN_Q1_HALF11418[[#This Row],[2PT FGA]]</f>
        <v>0.66666666666666663</v>
      </c>
      <c r="H39" s="103">
        <f>SUM(H34:H38)</f>
        <v>2</v>
      </c>
      <c r="I39" s="103">
        <f>SUM(I34:I38)</f>
        <v>9</v>
      </c>
      <c r="J39" s="109">
        <f>GN_Q1_HALF11418[[#This Row],[3PT FGM]]/GN_Q1_HALF11418[[#This Row],[3PT FGA]]</f>
        <v>0.22222222222222221</v>
      </c>
      <c r="K39" s="103">
        <f>SUM(K34:K38)</f>
        <v>0</v>
      </c>
      <c r="L39" s="103">
        <f>SUM(L34:L38)</f>
        <v>0</v>
      </c>
      <c r="M39" s="105" t="e">
        <f>GN_Q1_HALF11418[[#This Row],[FTM]]/GN_Q1_HALF11418[[#This Row],[FTA]]</f>
        <v>#DIV/0!</v>
      </c>
      <c r="N39" s="62">
        <f>SUM(GN_Q1_HALF11418[[#This Row],[2PT FGM]]*2,GN_Q1_HALF11418[[#This Row],[3PT FGM]]*3,GN_Q1_HALF11418[[#This Row],[FTM]])</f>
        <v>14</v>
      </c>
      <c r="O39" s="100">
        <f>SUM(O34:O38)</f>
        <v>3</v>
      </c>
      <c r="P39" s="100">
        <f>SUM(P34:P38)</f>
        <v>10</v>
      </c>
      <c r="Q39" s="100">
        <f>SUM(Q34:Q38)</f>
        <v>2</v>
      </c>
      <c r="R39" s="106">
        <f>GN_Q1_HALF11418[[#This Row],[Def. Boards]]+GN_Q1_HALF11418[[#This Row],[Off. Boards]]</f>
        <v>12</v>
      </c>
      <c r="S39" s="100">
        <f>SUM(S34:S38)</f>
        <v>4</v>
      </c>
      <c r="T39" s="100">
        <f>SUM(T34:T38)</f>
        <v>3</v>
      </c>
      <c r="U39" s="100">
        <f>SUM(U34:U38)</f>
        <v>1</v>
      </c>
      <c r="V39" s="100">
        <f>SUM(V34:V38)</f>
        <v>4</v>
      </c>
      <c r="W39" s="107">
        <f>GN_Q1_HALF11418[[#This Row],[Dimes]]/GN_Q1_HALF11418[[#This Row],[Turnovers]]</f>
        <v>1</v>
      </c>
    </row>
    <row r="41" spans="1:23" ht="16" thickBot="1" x14ac:dyDescent="0.25">
      <c r="A41" s="221" t="s">
        <v>147</v>
      </c>
      <c r="B41" s="222"/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</row>
    <row r="42" spans="1:23" ht="32" x14ac:dyDescent="0.2">
      <c r="A42" s="166" t="s">
        <v>208</v>
      </c>
      <c r="B42" s="11" t="s">
        <v>0</v>
      </c>
      <c r="C42" s="11" t="s">
        <v>1</v>
      </c>
      <c r="D42" s="11" t="s">
        <v>2</v>
      </c>
      <c r="E42" s="95" t="s">
        <v>3</v>
      </c>
      <c r="F42" s="96" t="s">
        <v>4</v>
      </c>
      <c r="G42" s="96" t="s">
        <v>5</v>
      </c>
      <c r="H42" s="96" t="s">
        <v>6</v>
      </c>
      <c r="I42" s="96" t="s">
        <v>7</v>
      </c>
      <c r="J42" s="96" t="s">
        <v>8</v>
      </c>
      <c r="K42" s="96" t="s">
        <v>9</v>
      </c>
      <c r="L42" s="96" t="s">
        <v>10</v>
      </c>
      <c r="M42" s="97" t="s">
        <v>11</v>
      </c>
      <c r="N42" s="11" t="s">
        <v>12</v>
      </c>
      <c r="O42" s="10" t="s">
        <v>13</v>
      </c>
      <c r="P42" s="11" t="s">
        <v>14</v>
      </c>
      <c r="Q42" s="11" t="s">
        <v>15</v>
      </c>
      <c r="R42" s="11" t="s">
        <v>16</v>
      </c>
      <c r="S42" s="10" t="s">
        <v>17</v>
      </c>
      <c r="T42" s="10" t="s">
        <v>18</v>
      </c>
      <c r="U42" s="10" t="s">
        <v>19</v>
      </c>
      <c r="V42" s="10" t="s">
        <v>20</v>
      </c>
      <c r="W42" s="10" t="s">
        <v>21</v>
      </c>
    </row>
    <row r="43" spans="1:23" x14ac:dyDescent="0.2">
      <c r="A43" s="13" t="s">
        <v>96</v>
      </c>
      <c r="B43" s="90">
        <f>LITI_Q1_HALF11319[[#This Row],[2PT FGM]]+LITI_Q1_HALF11319[[#This Row],[3PT FGM]]</f>
        <v>1</v>
      </c>
      <c r="C43" s="90">
        <f>LITI_Q1_HALF11319[[#This Row],[2PT FGA]]+LITI_Q1_HALF11319[[#This Row],[3PT FGA]]</f>
        <v>7</v>
      </c>
      <c r="D43" s="91">
        <f>LITI_Q1_HALF11319[[#This Row],[Total FGM]]/LITI_Q1_HALF11319[[#This Row],[Total FGA]]</f>
        <v>0.14285714285714285</v>
      </c>
      <c r="E43" s="98">
        <v>1</v>
      </c>
      <c r="F43" s="19">
        <v>2</v>
      </c>
      <c r="G43" s="91">
        <f>LITI_Q1_HALF11319[[#This Row],[2PT FGM]]/LITI_Q1_HALF11319[[#This Row],[2PT FGA]]</f>
        <v>0.5</v>
      </c>
      <c r="H43" s="19">
        <v>0</v>
      </c>
      <c r="I43" s="19">
        <v>5</v>
      </c>
      <c r="J43" s="91">
        <f>LITI_Q1_HALF11319[[#This Row],[3PT FGM]]/LITI_Q1_HALF11319[[#This Row],[3PT FGA]]</f>
        <v>0</v>
      </c>
      <c r="K43" s="19">
        <v>0</v>
      </c>
      <c r="L43" s="19">
        <v>0</v>
      </c>
      <c r="M43" s="99" t="e">
        <f>LITI_Q1_HALF11319[[#This Row],[FTM]]/LITI_Q1_HALF11319[[#This Row],[FTA]]</f>
        <v>#DIV/0!</v>
      </c>
      <c r="N43" s="19">
        <f>SUM(LITI_Q1_HALF11319[[#This Row],[2PT FGM]]*2,LITI_Q1_HALF11319[[#This Row],[3PT FGM]]*3,LITI_Q1_HALF11319[[#This Row],[FTM]])</f>
        <v>2</v>
      </c>
      <c r="O43" s="19">
        <v>0</v>
      </c>
      <c r="P43" s="19">
        <v>2</v>
      </c>
      <c r="Q43" s="19">
        <v>1</v>
      </c>
      <c r="R43" s="19">
        <f>LITI_Q1_HALF11319[[#This Row],[Off. Boards]]+LITI_Q1_HALF11319[[#This Row],[Def. Boards]]</f>
        <v>3</v>
      </c>
      <c r="S43" s="19">
        <v>1</v>
      </c>
      <c r="T43" s="19">
        <v>1</v>
      </c>
      <c r="U43" s="19">
        <v>0</v>
      </c>
      <c r="V43" s="19">
        <v>1</v>
      </c>
      <c r="W43" s="92">
        <f>LITI_Q1_HALF11319[[#This Row],[Dimes]]/LITI_Q1_HALF11319[[#This Row],[Turnovers]]</f>
        <v>1</v>
      </c>
    </row>
    <row r="44" spans="1:23" x14ac:dyDescent="0.2">
      <c r="A44" s="13" t="s">
        <v>207</v>
      </c>
      <c r="B44" s="90">
        <f>LITI_Q1_HALF11319[[#This Row],[2PT FGM]]+LITI_Q1_HALF11319[[#This Row],[3PT FGM]]</f>
        <v>2</v>
      </c>
      <c r="C44" s="90">
        <f>LITI_Q1_HALF11319[[#This Row],[2PT FGA]]+LITI_Q1_HALF11319[[#This Row],[3PT FGA]]</f>
        <v>3</v>
      </c>
      <c r="D44" s="91">
        <f>LITI_Q1_HALF11319[[#This Row],[Total FGM]]/LITI_Q1_HALF11319[[#This Row],[Total FGA]]</f>
        <v>0.66666666666666663</v>
      </c>
      <c r="E44" s="98">
        <v>1</v>
      </c>
      <c r="F44" s="19">
        <v>2</v>
      </c>
      <c r="G44" s="91">
        <f>LITI_Q1_HALF11319[[#This Row],[2PT FGM]]/LITI_Q1_HALF11319[[#This Row],[2PT FGA]]</f>
        <v>0.5</v>
      </c>
      <c r="H44" s="19">
        <v>1</v>
      </c>
      <c r="I44" s="19">
        <v>1</v>
      </c>
      <c r="J44" s="91">
        <f>LITI_Q1_HALF11319[[#This Row],[3PT FGM]]/LITI_Q1_HALF11319[[#This Row],[3PT FGA]]</f>
        <v>1</v>
      </c>
      <c r="K44" s="19">
        <v>0</v>
      </c>
      <c r="L44" s="19">
        <v>0</v>
      </c>
      <c r="M44" s="99" t="e">
        <f>LITI_Q1_HALF11319[[#This Row],[FTM]]/LITI_Q1_HALF11319[[#This Row],[FTA]]</f>
        <v>#DIV/0!</v>
      </c>
      <c r="N44" s="19">
        <f>SUM(LITI_Q1_HALF11319[[#This Row],[2PT FGM]]*2,LITI_Q1_HALF11319[[#This Row],[3PT FGM]]*3,LITI_Q1_HALF11319[[#This Row],[FTM]])</f>
        <v>5</v>
      </c>
      <c r="O44" s="19">
        <v>1</v>
      </c>
      <c r="P44" s="19">
        <v>0</v>
      </c>
      <c r="Q44" s="19">
        <v>0</v>
      </c>
      <c r="R44" s="19">
        <f>LITI_Q1_HALF11319[[#This Row],[Off. Boards]]+LITI_Q1_HALF11319[[#This Row],[Def. Boards]]</f>
        <v>0</v>
      </c>
      <c r="S44" s="19">
        <v>0</v>
      </c>
      <c r="T44" s="19">
        <v>0</v>
      </c>
      <c r="U44" s="19">
        <v>0</v>
      </c>
      <c r="V44" s="19">
        <v>0</v>
      </c>
      <c r="W44" s="92" t="e">
        <f>LITI_Q1_HALF11319[[#This Row],[Dimes]]/LITI_Q1_HALF11319[[#This Row],[Turnovers]]</f>
        <v>#DIV/0!</v>
      </c>
    </row>
    <row r="45" spans="1:23" x14ac:dyDescent="0.2">
      <c r="A45" s="13" t="s">
        <v>88</v>
      </c>
      <c r="B45" s="90">
        <f>LITI_Q1_HALF11319[[#This Row],[2PT FGM]]+LITI_Q1_HALF11319[[#This Row],[3PT FGM]]</f>
        <v>1</v>
      </c>
      <c r="C45" s="90">
        <f>LITI_Q1_HALF11319[[#This Row],[2PT FGA]]+LITI_Q1_HALF11319[[#This Row],[3PT FGA]]</f>
        <v>3</v>
      </c>
      <c r="D45" s="91">
        <f>LITI_Q1_HALF11319[[#This Row],[Total FGM]]/LITI_Q1_HALF11319[[#This Row],[Total FGA]]</f>
        <v>0.33333333333333331</v>
      </c>
      <c r="E45" s="98">
        <v>1</v>
      </c>
      <c r="F45" s="19">
        <v>1</v>
      </c>
      <c r="G45" s="91">
        <f>LITI_Q1_HALF11319[[#This Row],[2PT FGM]]/LITI_Q1_HALF11319[[#This Row],[2PT FGA]]</f>
        <v>1</v>
      </c>
      <c r="H45" s="19">
        <v>0</v>
      </c>
      <c r="I45" s="19">
        <v>2</v>
      </c>
      <c r="J45" s="91">
        <f>LITI_Q1_HALF11319[[#This Row],[3PT FGM]]/LITI_Q1_HALF11319[[#This Row],[3PT FGA]]</f>
        <v>0</v>
      </c>
      <c r="K45" s="19">
        <v>0</v>
      </c>
      <c r="L45" s="19">
        <v>0</v>
      </c>
      <c r="M45" s="99" t="e">
        <f>LITI_Q1_HALF11319[[#This Row],[FTM]]/LITI_Q1_HALF11319[[#This Row],[FTA]]</f>
        <v>#DIV/0!</v>
      </c>
      <c r="N45" s="19">
        <f>SUM(LITI_Q1_HALF11319[[#This Row],[2PT FGM]]*2,LITI_Q1_HALF11319[[#This Row],[3PT FGM]]*3,LITI_Q1_HALF11319[[#This Row],[FTM]])</f>
        <v>2</v>
      </c>
      <c r="O45" s="19">
        <v>0</v>
      </c>
      <c r="P45" s="19">
        <v>1</v>
      </c>
      <c r="Q45" s="19">
        <v>2</v>
      </c>
      <c r="R45" s="19">
        <f>LITI_Q1_HALF11319[[#This Row],[Off. Boards]]+LITI_Q1_HALF11319[[#This Row],[Def. Boards]]</f>
        <v>3</v>
      </c>
      <c r="S45" s="19">
        <v>3</v>
      </c>
      <c r="T45" s="19">
        <v>3</v>
      </c>
      <c r="U45" s="19">
        <v>0</v>
      </c>
      <c r="V45" s="19">
        <v>2</v>
      </c>
      <c r="W45" s="92">
        <f>LITI_Q1_HALF11319[[#This Row],[Dimes]]/LITI_Q1_HALF11319[[#This Row],[Turnovers]]</f>
        <v>1.5</v>
      </c>
    </row>
    <row r="46" spans="1:23" x14ac:dyDescent="0.2">
      <c r="A46" s="13" t="s">
        <v>98</v>
      </c>
      <c r="B46" s="90">
        <f>LITI_Q1_HALF11319[[#This Row],[2PT FGM]]+LITI_Q1_HALF11319[[#This Row],[3PT FGM]]</f>
        <v>1</v>
      </c>
      <c r="C46" s="90">
        <f>LITI_Q1_HALF11319[[#This Row],[2PT FGA]]+LITI_Q1_HALF11319[[#This Row],[3PT FGA]]</f>
        <v>4</v>
      </c>
      <c r="D46" s="91">
        <f>LITI_Q1_HALF11319[[#This Row],[Total FGM]]/LITI_Q1_HALF11319[[#This Row],[Total FGA]]</f>
        <v>0.25</v>
      </c>
      <c r="E46" s="98">
        <v>1</v>
      </c>
      <c r="F46" s="19">
        <v>3</v>
      </c>
      <c r="G46" s="91">
        <f>LITI_Q1_HALF11319[[#This Row],[2PT FGM]]/LITI_Q1_HALF11319[[#This Row],[2PT FGA]]</f>
        <v>0.33333333333333331</v>
      </c>
      <c r="H46" s="19">
        <v>0</v>
      </c>
      <c r="I46" s="19">
        <v>1</v>
      </c>
      <c r="J46" s="91">
        <f>LITI_Q1_HALF11319[[#This Row],[3PT FGM]]/LITI_Q1_HALF11319[[#This Row],[3PT FGA]]</f>
        <v>0</v>
      </c>
      <c r="K46" s="19">
        <v>0</v>
      </c>
      <c r="L46" s="19">
        <v>0</v>
      </c>
      <c r="M46" s="99" t="e">
        <f>LITI_Q1_HALF11319[[#This Row],[FTM]]/LITI_Q1_HALF11319[[#This Row],[FTA]]</f>
        <v>#DIV/0!</v>
      </c>
      <c r="N46" s="19">
        <f>SUM(LITI_Q1_HALF11319[[#This Row],[2PT FGM]]*2,LITI_Q1_HALF11319[[#This Row],[3PT FGM]]*3,LITI_Q1_HALF11319[[#This Row],[FTM]])</f>
        <v>2</v>
      </c>
      <c r="O46" s="19">
        <v>0</v>
      </c>
      <c r="P46" s="19">
        <v>2</v>
      </c>
      <c r="Q46" s="19">
        <v>0</v>
      </c>
      <c r="R46" s="19">
        <f>LITI_Q1_HALF11319[[#This Row],[Off. Boards]]+LITI_Q1_HALF11319[[#This Row],[Def. Boards]]</f>
        <v>2</v>
      </c>
      <c r="S46" s="19">
        <v>0</v>
      </c>
      <c r="T46" s="19">
        <v>0</v>
      </c>
      <c r="U46" s="19">
        <v>0</v>
      </c>
      <c r="V46" s="19">
        <v>0</v>
      </c>
      <c r="W46" s="92" t="e">
        <f>LITI_Q1_HALF11319[[#This Row],[Dimes]]/LITI_Q1_HALF11319[[#This Row],[Turnovers]]</f>
        <v>#DIV/0!</v>
      </c>
    </row>
    <row r="47" spans="1:23" x14ac:dyDescent="0.2">
      <c r="A47" s="13" t="s">
        <v>83</v>
      </c>
      <c r="B47" s="90">
        <f>LITI_Q1_HALF11319[[#This Row],[2PT FGM]]+LITI_Q1_HALF11319[[#This Row],[3PT FGM]]</f>
        <v>1</v>
      </c>
      <c r="C47" s="90">
        <f>LITI_Q1_HALF11319[[#This Row],[2PT FGA]]+LITI_Q1_HALF11319[[#This Row],[3PT FGA]]</f>
        <v>3</v>
      </c>
      <c r="D47" s="91">
        <f>LITI_Q1_HALF11319[[#This Row],[Total FGM]]/LITI_Q1_HALF11319[[#This Row],[Total FGA]]</f>
        <v>0.33333333333333331</v>
      </c>
      <c r="E47" s="98">
        <v>1</v>
      </c>
      <c r="F47" s="19">
        <v>2</v>
      </c>
      <c r="G47" s="91">
        <f>LITI_Q1_HALF11319[[#This Row],[2PT FGM]]/LITI_Q1_HALF11319[[#This Row],[2PT FGA]]</f>
        <v>0.5</v>
      </c>
      <c r="H47" s="19">
        <v>0</v>
      </c>
      <c r="I47" s="19">
        <v>1</v>
      </c>
      <c r="J47" s="91">
        <f>LITI_Q1_HALF11319[[#This Row],[3PT FGM]]/LITI_Q1_HALF11319[[#This Row],[3PT FGA]]</f>
        <v>0</v>
      </c>
      <c r="K47" s="19">
        <v>0</v>
      </c>
      <c r="L47" s="19">
        <v>0</v>
      </c>
      <c r="M47" s="99" t="e">
        <f>LITI_Q1_HALF11319[[#This Row],[FTM]]/LITI_Q1_HALF11319[[#This Row],[FTA]]</f>
        <v>#DIV/0!</v>
      </c>
      <c r="N47" s="19">
        <f>SUM(LITI_Q1_HALF11319[[#This Row],[2PT FGM]]*2,LITI_Q1_HALF11319[[#This Row],[3PT FGM]]*3,LITI_Q1_HALF11319[[#This Row],[FTM]])</f>
        <v>2</v>
      </c>
      <c r="O47" s="19">
        <v>0</v>
      </c>
      <c r="P47" s="19">
        <v>1</v>
      </c>
      <c r="Q47" s="19">
        <v>0</v>
      </c>
      <c r="R47" s="19">
        <f>LITI_Q1_HALF11319[[#This Row],[Off. Boards]]+LITI_Q1_HALF11319[[#This Row],[Def. Boards]]</f>
        <v>1</v>
      </c>
      <c r="S47" s="19">
        <v>1</v>
      </c>
      <c r="T47" s="19">
        <v>0</v>
      </c>
      <c r="U47" s="19">
        <v>0</v>
      </c>
      <c r="V47" s="19">
        <v>0</v>
      </c>
      <c r="W47" s="92" t="e">
        <f>LITI_Q1_HALF11319[[#This Row],[Dimes]]/LITI_Q1_HALF11319[[#This Row],[Turnovers]]</f>
        <v>#DIV/0!</v>
      </c>
    </row>
    <row r="48" spans="1:23" ht="16" thickBot="1" x14ac:dyDescent="0.25">
      <c r="A48" s="82" t="s">
        <v>76</v>
      </c>
      <c r="B48" s="100">
        <f>SUM(B43:B47)</f>
        <v>6</v>
      </c>
      <c r="C48" s="100">
        <f>SUM(C43:C47)</f>
        <v>20</v>
      </c>
      <c r="D48" s="101">
        <f>LITI_Q1_HALF11319[[#This Row],[Total FGM]]/LITI_Q1_HALF11319[[#This Row],[Total FGA]]</f>
        <v>0.3</v>
      </c>
      <c r="E48" s="102">
        <f>SUM(E43:E47)</f>
        <v>5</v>
      </c>
      <c r="F48" s="103">
        <f>SUM(F43:F47)</f>
        <v>10</v>
      </c>
      <c r="G48" s="108">
        <f>LITI_Q1_HALF11319[[#This Row],[2PT FGM]]/LITI_Q1_HALF11319[[#This Row],[2PT FGA]]</f>
        <v>0.5</v>
      </c>
      <c r="H48" s="103">
        <f>SUM(H43:H47)</f>
        <v>1</v>
      </c>
      <c r="I48" s="103">
        <f>SUM(I43:I47)</f>
        <v>10</v>
      </c>
      <c r="J48" s="104">
        <f>LITI_Q1_HALF11319[[#This Row],[3PT FGM]]/LITI_Q1_HALF11319[[#This Row],[3PT FGA]]</f>
        <v>0.1</v>
      </c>
      <c r="K48" s="103">
        <f>SUM(K43:K47)</f>
        <v>0</v>
      </c>
      <c r="L48" s="103">
        <f>SUM(L43:L47)</f>
        <v>0</v>
      </c>
      <c r="M48" s="105" t="e">
        <f>LITI_Q1_HALF11319[[#This Row],[FTM]]/LITI_Q1_HALF11319[[#This Row],[FTA]]</f>
        <v>#DIV/0!</v>
      </c>
      <c r="N48" s="62">
        <f>SUM(LITI_Q1_HALF11319[[#This Row],[2PT FGM]]*2,LITI_Q1_HALF11319[[#This Row],[3PT FGM]]*3,LITI_Q1_HALF11319[[#This Row],[FTM]])</f>
        <v>13</v>
      </c>
      <c r="O48" s="106">
        <f>SUM(O43:O47)</f>
        <v>1</v>
      </c>
      <c r="P48" s="106">
        <f t="shared" ref="P48:V48" si="2">SUM(P43:P47)</f>
        <v>6</v>
      </c>
      <c r="Q48" s="106">
        <f t="shared" si="2"/>
        <v>3</v>
      </c>
      <c r="R48" s="106">
        <f t="shared" si="2"/>
        <v>9</v>
      </c>
      <c r="S48" s="106">
        <f t="shared" si="2"/>
        <v>5</v>
      </c>
      <c r="T48" s="106">
        <f t="shared" si="2"/>
        <v>4</v>
      </c>
      <c r="U48" s="106">
        <f t="shared" si="2"/>
        <v>0</v>
      </c>
      <c r="V48" s="106">
        <f t="shared" si="2"/>
        <v>3</v>
      </c>
      <c r="W48" s="107">
        <f>LITI_Q1_HALF11319[[#This Row],[Dimes]]/LITI_Q1_HALF11319[[#This Row],[Turnovers]]</f>
        <v>1.6666666666666667</v>
      </c>
    </row>
    <row r="50" spans="1:23" ht="16" thickBot="1" x14ac:dyDescent="0.25">
      <c r="A50" s="223" t="s">
        <v>147</v>
      </c>
      <c r="B50" s="224"/>
      <c r="C50" s="224"/>
      <c r="D50" s="224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</row>
    <row r="51" spans="1:23" ht="32" x14ac:dyDescent="0.2">
      <c r="A51" s="166" t="s">
        <v>209</v>
      </c>
      <c r="B51" s="11" t="s">
        <v>0</v>
      </c>
      <c r="C51" s="11" t="s">
        <v>1</v>
      </c>
      <c r="D51" s="11" t="s">
        <v>2</v>
      </c>
      <c r="E51" s="95" t="s">
        <v>3</v>
      </c>
      <c r="F51" s="96" t="s">
        <v>4</v>
      </c>
      <c r="G51" s="96" t="s">
        <v>5</v>
      </c>
      <c r="H51" s="96" t="s">
        <v>6</v>
      </c>
      <c r="I51" s="96" t="s">
        <v>7</v>
      </c>
      <c r="J51" s="96" t="s">
        <v>8</v>
      </c>
      <c r="K51" s="96" t="s">
        <v>9</v>
      </c>
      <c r="L51" s="96" t="s">
        <v>10</v>
      </c>
      <c r="M51" s="97" t="s">
        <v>11</v>
      </c>
      <c r="N51" s="11" t="s">
        <v>12</v>
      </c>
      <c r="O51" s="10" t="s">
        <v>13</v>
      </c>
      <c r="P51" s="11" t="s">
        <v>14</v>
      </c>
      <c r="Q51" s="11" t="s">
        <v>15</v>
      </c>
      <c r="R51" s="11" t="s">
        <v>16</v>
      </c>
      <c r="S51" s="10" t="s">
        <v>17</v>
      </c>
      <c r="T51" s="10" t="s">
        <v>18</v>
      </c>
      <c r="U51" s="10" t="s">
        <v>19</v>
      </c>
      <c r="V51" s="10" t="s">
        <v>20</v>
      </c>
      <c r="W51" s="10" t="s">
        <v>21</v>
      </c>
    </row>
    <row r="52" spans="1:23" x14ac:dyDescent="0.2">
      <c r="A52" t="s">
        <v>24</v>
      </c>
      <c r="B52" s="90">
        <f>GN_Q1_HALF11420[[#This Row],[2PT FGM]]+GN_Q1_HALF11420[[#This Row],[3PT FGM]]</f>
        <v>4</v>
      </c>
      <c r="C52" s="90">
        <f>GN_Q1_HALF11420[[#This Row],[2PT FGA]]+GN_Q1_HALF11420[[#This Row],[3PT FGA]]</f>
        <v>4</v>
      </c>
      <c r="D52" s="91">
        <f>GN_Q1_HALF11420[[#This Row],[Total FGM]]/GN_Q1_HALF11420[[#This Row],[Total FGA]]</f>
        <v>1</v>
      </c>
      <c r="E52" s="98">
        <v>2</v>
      </c>
      <c r="F52" s="19">
        <v>2</v>
      </c>
      <c r="G52" s="91">
        <f>GN_Q1_HALF11420[[#This Row],[2PT FGM]]/GN_Q1_HALF11420[[#This Row],[2PT FGA]]</f>
        <v>1</v>
      </c>
      <c r="H52" s="19">
        <v>2</v>
      </c>
      <c r="I52" s="19">
        <v>2</v>
      </c>
      <c r="J52" s="91">
        <f>GN_Q1_HALF11420[[#This Row],[3PT FGM]]/GN_Q1_HALF11420[[#This Row],[3PT FGA]]</f>
        <v>1</v>
      </c>
      <c r="K52" s="19">
        <v>0</v>
      </c>
      <c r="L52" s="19">
        <v>0</v>
      </c>
      <c r="M52" s="99" t="e">
        <f>GN_Q1_HALF11420[[#This Row],[FTM]]/GN_Q1_HALF11420[[#This Row],[FTA]]</f>
        <v>#DIV/0!</v>
      </c>
      <c r="N52" s="19">
        <f>SUM(GN_Q1_HALF11420[[#This Row],[2PT FGM]]*2,GN_Q1_HALF11420[[#This Row],[3PT FGM]]*3,GN_Q1_HALF11420[[#This Row],[FTM]])</f>
        <v>10</v>
      </c>
      <c r="O52" s="19">
        <v>1</v>
      </c>
      <c r="P52" s="19">
        <v>4</v>
      </c>
      <c r="Q52" s="19">
        <v>1</v>
      </c>
      <c r="R52" s="19">
        <f>GN_Q1_HALF11420[[#This Row],[Off. Boards]]+GN_Q1_HALF11420[[#This Row],[Def. Boards]]</f>
        <v>5</v>
      </c>
      <c r="S52" s="19">
        <v>3</v>
      </c>
      <c r="T52" s="19">
        <v>1</v>
      </c>
      <c r="U52" s="19">
        <v>0</v>
      </c>
      <c r="V52" s="19">
        <v>1</v>
      </c>
      <c r="W52" s="92">
        <f>GN_Q1_HALF11420[[#This Row],[Dimes]]/GN_Q1_HALF11420[[#This Row],[Turnovers]]</f>
        <v>3</v>
      </c>
    </row>
    <row r="53" spans="1:23" x14ac:dyDescent="0.2">
      <c r="A53" t="s">
        <v>135</v>
      </c>
      <c r="B53" s="90">
        <f>GN_Q1_HALF11420[[#This Row],[2PT FGM]]+GN_Q1_HALF11420[[#This Row],[3PT FGM]]</f>
        <v>2</v>
      </c>
      <c r="C53" s="90">
        <f>GN_Q1_HALF11420[[#This Row],[2PT FGA]]+GN_Q1_HALF11420[[#This Row],[3PT FGA]]</f>
        <v>2</v>
      </c>
      <c r="D53" s="91">
        <f>GN_Q1_HALF11420[[#This Row],[Total FGM]]/GN_Q1_HALF11420[[#This Row],[Total FGA]]</f>
        <v>1</v>
      </c>
      <c r="E53" s="98">
        <v>2</v>
      </c>
      <c r="F53" s="19">
        <v>2</v>
      </c>
      <c r="G53" s="91">
        <f>GN_Q1_HALF11420[[#This Row],[2PT FGM]]/GN_Q1_HALF11420[[#This Row],[2PT FGA]]</f>
        <v>1</v>
      </c>
      <c r="H53" s="19">
        <v>0</v>
      </c>
      <c r="I53" s="19">
        <v>0</v>
      </c>
      <c r="J53" s="91" t="e">
        <f>GN_Q1_HALF11420[[#This Row],[3PT FGM]]/GN_Q1_HALF11420[[#This Row],[3PT FGA]]</f>
        <v>#DIV/0!</v>
      </c>
      <c r="K53" s="19">
        <v>0</v>
      </c>
      <c r="L53" s="19">
        <v>0</v>
      </c>
      <c r="M53" s="99" t="e">
        <f>GN_Q1_HALF11420[[#This Row],[FTM]]/GN_Q1_HALF11420[[#This Row],[FTA]]</f>
        <v>#DIV/0!</v>
      </c>
      <c r="N53" s="19">
        <f>SUM(GN_Q1_HALF11420[[#This Row],[2PT FGM]]*2,GN_Q1_HALF11420[[#This Row],[3PT FGM]]*3,GN_Q1_HALF11420[[#This Row],[FTM]])</f>
        <v>4</v>
      </c>
      <c r="O53" s="19">
        <v>2</v>
      </c>
      <c r="P53" s="19">
        <v>1</v>
      </c>
      <c r="Q53" s="19">
        <v>0</v>
      </c>
      <c r="R53" s="19">
        <f>GN_Q1_HALF11420[[#This Row],[Off. Boards]]+GN_Q1_HALF11420[[#This Row],[Def. Boards]]</f>
        <v>1</v>
      </c>
      <c r="S53" s="19">
        <v>0</v>
      </c>
      <c r="T53" s="19">
        <v>0</v>
      </c>
      <c r="U53" s="19">
        <v>1</v>
      </c>
      <c r="V53" s="19">
        <v>2</v>
      </c>
      <c r="W53" s="92">
        <f>GN_Q1_HALF11420[[#This Row],[Dimes]]/GN_Q1_HALF11420[[#This Row],[Turnovers]]</f>
        <v>0</v>
      </c>
    </row>
    <row r="54" spans="1:23" x14ac:dyDescent="0.2">
      <c r="A54" t="s">
        <v>103</v>
      </c>
      <c r="B54" s="90">
        <f>GN_Q1_HALF11420[[#This Row],[2PT FGM]]+GN_Q1_HALF11420[[#This Row],[3PT FGM]]</f>
        <v>0</v>
      </c>
      <c r="C54" s="90">
        <f>GN_Q1_HALF11420[[#This Row],[2PT FGA]]+GN_Q1_HALF11420[[#This Row],[3PT FGA]]</f>
        <v>3</v>
      </c>
      <c r="D54" s="91">
        <f>GN_Q1_HALF11420[[#This Row],[Total FGM]]/GN_Q1_HALF11420[[#This Row],[Total FGA]]</f>
        <v>0</v>
      </c>
      <c r="E54" s="98">
        <v>0</v>
      </c>
      <c r="F54" s="19">
        <v>1</v>
      </c>
      <c r="G54" s="91">
        <f>GN_Q1_HALF11420[[#This Row],[2PT FGM]]/GN_Q1_HALF11420[[#This Row],[2PT FGA]]</f>
        <v>0</v>
      </c>
      <c r="H54" s="19">
        <v>0</v>
      </c>
      <c r="I54" s="19">
        <v>2</v>
      </c>
      <c r="J54" s="91">
        <f>GN_Q1_HALF11420[[#This Row],[3PT FGM]]/GN_Q1_HALF11420[[#This Row],[3PT FGA]]</f>
        <v>0</v>
      </c>
      <c r="K54" s="19">
        <v>0</v>
      </c>
      <c r="L54" s="19">
        <v>0</v>
      </c>
      <c r="M54" s="99" t="e">
        <f>GN_Q1_HALF11420[[#This Row],[FTM]]/GN_Q1_HALF11420[[#This Row],[FTA]]</f>
        <v>#DIV/0!</v>
      </c>
      <c r="N54" s="19">
        <f>SUM(GN_Q1_HALF11420[[#This Row],[2PT FGM]]*2,GN_Q1_HALF11420[[#This Row],[3PT FGM]]*3,GN_Q1_HALF11420[[#This Row],[FTM]])</f>
        <v>0</v>
      </c>
      <c r="O54" s="19">
        <v>0</v>
      </c>
      <c r="P54" s="19">
        <v>1</v>
      </c>
      <c r="Q54" s="19">
        <v>0</v>
      </c>
      <c r="R54" s="19">
        <f>GN_Q1_HALF11420[[#This Row],[Off. Boards]]+GN_Q1_HALF11420[[#This Row],[Def. Boards]]</f>
        <v>1</v>
      </c>
      <c r="S54" s="19">
        <v>1</v>
      </c>
      <c r="T54" s="19">
        <v>1</v>
      </c>
      <c r="U54" s="19">
        <v>0</v>
      </c>
      <c r="V54" s="19">
        <v>0</v>
      </c>
      <c r="W54" s="92" t="e">
        <f>GN_Q1_HALF11420[[#This Row],[Dimes]]/GN_Q1_HALF11420[[#This Row],[Turnovers]]</f>
        <v>#DIV/0!</v>
      </c>
    </row>
    <row r="55" spans="1:23" x14ac:dyDescent="0.2">
      <c r="A55" t="s">
        <v>100</v>
      </c>
      <c r="B55" s="90">
        <f>GN_Q1_HALF11420[[#This Row],[2PT FGM]]+GN_Q1_HALF11420[[#This Row],[3PT FGM]]</f>
        <v>0</v>
      </c>
      <c r="C55" s="90">
        <f>GN_Q1_HALF11420[[#This Row],[2PT FGA]]+GN_Q1_HALF11420[[#This Row],[3PT FGA]]</f>
        <v>3</v>
      </c>
      <c r="D55" s="91">
        <f>GN_Q1_HALF11420[[#This Row],[Total FGM]]/GN_Q1_HALF11420[[#This Row],[Total FGA]]</f>
        <v>0</v>
      </c>
      <c r="E55" s="98">
        <v>0</v>
      </c>
      <c r="F55" s="19">
        <v>2</v>
      </c>
      <c r="G55" s="91">
        <f>GN_Q1_HALF11420[[#This Row],[2PT FGM]]/GN_Q1_HALF11420[[#This Row],[2PT FGA]]</f>
        <v>0</v>
      </c>
      <c r="H55" s="19">
        <v>0</v>
      </c>
      <c r="I55" s="19">
        <v>1</v>
      </c>
      <c r="J55" s="91">
        <f>GN_Q1_HALF11420[[#This Row],[3PT FGM]]/GN_Q1_HALF11420[[#This Row],[3PT FGA]]</f>
        <v>0</v>
      </c>
      <c r="K55" s="19">
        <v>0</v>
      </c>
      <c r="L55" s="19">
        <v>0</v>
      </c>
      <c r="M55" s="99" t="e">
        <f>GN_Q1_HALF11420[[#This Row],[FTM]]/GN_Q1_HALF11420[[#This Row],[FTA]]</f>
        <v>#DIV/0!</v>
      </c>
      <c r="N55" s="19">
        <f>SUM(GN_Q1_HALF11420[[#This Row],[2PT FGM]]*2,GN_Q1_HALF11420[[#This Row],[3PT FGM]]*3,GN_Q1_HALF11420[[#This Row],[FTM]])</f>
        <v>0</v>
      </c>
      <c r="O55" s="19">
        <v>0</v>
      </c>
      <c r="P55" s="19">
        <v>3</v>
      </c>
      <c r="Q55" s="19">
        <v>0</v>
      </c>
      <c r="R55" s="19">
        <f>GN_Q1_HALF11420[[#This Row],[Off. Boards]]+GN_Q1_HALF11420[[#This Row],[Def. Boards]]</f>
        <v>3</v>
      </c>
      <c r="S55" s="19">
        <v>1</v>
      </c>
      <c r="T55" s="19">
        <v>0</v>
      </c>
      <c r="U55" s="19">
        <v>0</v>
      </c>
      <c r="V55" s="19">
        <v>2</v>
      </c>
      <c r="W55" s="92">
        <f>GN_Q1_HALF11420[[#This Row],[Dimes]]/GN_Q1_HALF11420[[#This Row],[Turnovers]]</f>
        <v>0.5</v>
      </c>
    </row>
    <row r="56" spans="1:23" x14ac:dyDescent="0.2">
      <c r="A56" t="s">
        <v>85</v>
      </c>
      <c r="B56" s="90">
        <f>GN_Q1_HALF11420[[#This Row],[2PT FGM]]+GN_Q1_HALF11420[[#This Row],[3PT FGM]]</f>
        <v>2</v>
      </c>
      <c r="C56" s="90">
        <f>GN_Q1_HALF11420[[#This Row],[2PT FGA]]+GN_Q1_HALF11420[[#This Row],[3PT FGA]]</f>
        <v>4</v>
      </c>
      <c r="D56" s="91">
        <f>GN_Q1_HALF11420[[#This Row],[Total FGM]]/GN_Q1_HALF11420[[#This Row],[Total FGA]]</f>
        <v>0.5</v>
      </c>
      <c r="E56" s="98">
        <v>1</v>
      </c>
      <c r="F56" s="19">
        <v>3</v>
      </c>
      <c r="G56" s="91">
        <f>GN_Q1_HALF11420[[#This Row],[2PT FGM]]/GN_Q1_HALF11420[[#This Row],[2PT FGA]]</f>
        <v>0.33333333333333331</v>
      </c>
      <c r="H56" s="19">
        <v>1</v>
      </c>
      <c r="I56" s="19">
        <v>1</v>
      </c>
      <c r="J56" s="91">
        <f>GN_Q1_HALF11420[[#This Row],[3PT FGM]]/GN_Q1_HALF11420[[#This Row],[3PT FGA]]</f>
        <v>1</v>
      </c>
      <c r="K56" s="19">
        <v>0</v>
      </c>
      <c r="L56" s="19">
        <v>0</v>
      </c>
      <c r="M56" s="99" t="e">
        <f>GN_Q1_HALF11420[[#This Row],[FTM]]/GN_Q1_HALF11420[[#This Row],[FTA]]</f>
        <v>#DIV/0!</v>
      </c>
      <c r="N56" s="19">
        <f>SUM(GN_Q1_HALF11420[[#This Row],[2PT FGM]]*2,GN_Q1_HALF11420[[#This Row],[3PT FGM]]*3,GN_Q1_HALF11420[[#This Row],[FTM]])</f>
        <v>5</v>
      </c>
      <c r="O56" s="19">
        <v>0</v>
      </c>
      <c r="P56" s="19">
        <v>0</v>
      </c>
      <c r="Q56" s="19">
        <v>0</v>
      </c>
      <c r="R56" s="19">
        <f>GN_Q1_HALF11420[[#This Row],[Off. Boards]]+GN_Q1_HALF11420[[#This Row],[Def. Boards]]</f>
        <v>0</v>
      </c>
      <c r="S56" s="19">
        <v>0</v>
      </c>
      <c r="T56" s="19">
        <v>0</v>
      </c>
      <c r="U56" s="19">
        <v>0</v>
      </c>
      <c r="V56" s="19">
        <v>0</v>
      </c>
      <c r="W56" s="92" t="e">
        <f>GN_Q1_HALF11420[[#This Row],[Dimes]]/GN_Q1_HALF11420[[#This Row],[Turnovers]]</f>
        <v>#DIV/0!</v>
      </c>
    </row>
    <row r="57" spans="1:23" ht="16" thickBot="1" x14ac:dyDescent="0.25">
      <c r="A57" s="82" t="s">
        <v>76</v>
      </c>
      <c r="B57" s="100">
        <f>SUM(B52:B56)</f>
        <v>8</v>
      </c>
      <c r="C57" s="100">
        <f>SUM(C52:C56)</f>
        <v>16</v>
      </c>
      <c r="D57" s="101">
        <f>GN_Q1_HALF11420[[#This Row],[Total FGM]]/GN_Q1_HALF11420[[#This Row],[Total FGA]]</f>
        <v>0.5</v>
      </c>
      <c r="E57" s="102">
        <f>SUM(E52:E56)</f>
        <v>5</v>
      </c>
      <c r="F57" s="103">
        <f>SUM(F52:F56)</f>
        <v>10</v>
      </c>
      <c r="G57" s="104">
        <f>GN_Q1_HALF11420[[#This Row],[2PT FGM]]/GN_Q1_HALF11420[[#This Row],[2PT FGA]]</f>
        <v>0.5</v>
      </c>
      <c r="H57" s="103">
        <f>SUM(H52:H56)</f>
        <v>3</v>
      </c>
      <c r="I57" s="103">
        <f>SUM(I52:I56)</f>
        <v>6</v>
      </c>
      <c r="J57" s="109">
        <f>GN_Q1_HALF11420[[#This Row],[3PT FGM]]/GN_Q1_HALF11420[[#This Row],[3PT FGA]]</f>
        <v>0.5</v>
      </c>
      <c r="K57" s="103">
        <f>SUM(K52:K56)</f>
        <v>0</v>
      </c>
      <c r="L57" s="103">
        <f>SUM(L52:L56)</f>
        <v>0</v>
      </c>
      <c r="M57" s="105" t="e">
        <f>GN_Q1_HALF11420[[#This Row],[FTM]]/GN_Q1_HALF11420[[#This Row],[FTA]]</f>
        <v>#DIV/0!</v>
      </c>
      <c r="N57" s="62">
        <f>SUM(GN_Q1_HALF11420[[#This Row],[2PT FGM]]*2,GN_Q1_HALF11420[[#This Row],[3PT FGM]]*3,GN_Q1_HALF11420[[#This Row],[FTM]])</f>
        <v>19</v>
      </c>
      <c r="O57" s="100">
        <f>SUM(O52:O56)</f>
        <v>3</v>
      </c>
      <c r="P57" s="100">
        <f>SUM(P52:P56)</f>
        <v>9</v>
      </c>
      <c r="Q57" s="100">
        <f>SUM(Q52:Q56)</f>
        <v>1</v>
      </c>
      <c r="R57" s="106">
        <f>GN_Q1_HALF11420[[#This Row],[Def. Boards]]+GN_Q1_HALF11420[[#This Row],[Off. Boards]]</f>
        <v>10</v>
      </c>
      <c r="S57" s="100">
        <f>SUM(S52:S56)</f>
        <v>5</v>
      </c>
      <c r="T57" s="100">
        <f>SUM(T52:T56)</f>
        <v>2</v>
      </c>
      <c r="U57" s="100">
        <f>SUM(U52:U56)</f>
        <v>1</v>
      </c>
      <c r="V57" s="100">
        <f>SUM(V52:V56)</f>
        <v>5</v>
      </c>
      <c r="W57" s="107">
        <f>GN_Q1_HALF11420[[#This Row],[Dimes]]/GN_Q1_HALF11420[[#This Row],[Turnovers]]</f>
        <v>1</v>
      </c>
    </row>
  </sheetData>
  <pageMargins left="0.7" right="0.7" top="0.75" bottom="0.75" header="0.3" footer="0.3"/>
  <pageSetup orientation="portrait" verticalDpi="0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</vt:i4>
      </vt:variant>
    </vt:vector>
  </HeadingPairs>
  <TitlesOfParts>
    <vt:vector size="21" baseType="lpstr">
      <vt:lpstr>Ballers</vt:lpstr>
      <vt:lpstr>Stats_Blank</vt:lpstr>
      <vt:lpstr>RSVP</vt:lpstr>
      <vt:lpstr>General</vt:lpstr>
      <vt:lpstr>Awards</vt:lpstr>
      <vt:lpstr>Playoffs</vt:lpstr>
      <vt:lpstr>Playoff_Teams</vt:lpstr>
      <vt:lpstr>Playoff_Games_Full</vt:lpstr>
      <vt:lpstr>1_BMBs_NS</vt:lpstr>
      <vt:lpstr>2_BMBs_NS</vt:lpstr>
      <vt:lpstr>3_NS_BMBs</vt:lpstr>
      <vt:lpstr>4_NS_BMBs</vt:lpstr>
      <vt:lpstr>5_BMBs_NS</vt:lpstr>
      <vt:lpstr>Overall</vt:lpstr>
      <vt:lpstr>Overall_Teams</vt:lpstr>
      <vt:lpstr>RR</vt:lpstr>
      <vt:lpstr>RR_Teams</vt:lpstr>
      <vt:lpstr>RR_Games</vt:lpstr>
      <vt:lpstr>AKA_3</vt:lpstr>
      <vt:lpstr>BALLERS</vt:lpstr>
      <vt:lpstr>Stats_Blank!Print_Area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Dioguardi</dc:creator>
  <cp:lastModifiedBy>Thomas Dioguardi</cp:lastModifiedBy>
  <cp:lastPrinted>2018-09-07T13:36:08Z</cp:lastPrinted>
  <dcterms:created xsi:type="dcterms:W3CDTF">2017-07-26T20:41:40Z</dcterms:created>
  <dcterms:modified xsi:type="dcterms:W3CDTF">2018-09-08T14:14:20Z</dcterms:modified>
</cp:coreProperties>
</file>