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29"/>
  <workbookPr defaultThemeVersion="166925"/>
  <mc:AlternateContent xmlns:mc="http://schemas.openxmlformats.org/markup-compatibility/2006">
    <mc:Choice Requires="x15">
      <x15ac:absPath xmlns:x15ac="http://schemas.microsoft.com/office/spreadsheetml/2010/11/ac" url="C:\Users\Lawrence Kogan\Documents\Brace Farms\Brace Counterclaims\FTCA Admin Claims\"/>
    </mc:Choice>
  </mc:AlternateContent>
  <workbookProtection workbookAlgorithmName="SHA-512" workbookHashValue="zANpTGD0kSmQ2tfl3PPfDfKrqIA5ztYMaO0IaNQ/L1oCPGHu9Rjjx/iDK1e1q8xaXtfFB+5W+XXDP8/kJuSamg==" workbookSaltValue="lkmgdF7SD7DacPz5/2qZpA==" workbookSpinCount="100000" lockStructure="1"/>
  <bookViews>
    <workbookView xWindow="0" yWindow="0" windowWidth="28800" windowHeight="12210" activeTab="3"/>
  </bookViews>
  <sheets>
    <sheet name="Homestead Tract" sheetId="2" r:id="rId1"/>
    <sheet name="Marsh Tract" sheetId="3" r:id="rId2"/>
    <sheet name="Murphy Tract" sheetId="1" r:id="rId3"/>
    <sheet name="Summary Page" sheetId="4" r:id="rId4"/>
    <sheet name="Bibliography" sheetId="5" r:id="rId5"/>
  </sheets>
  <definedNames>
    <definedName name="_Hlk486679954">Bibliography!$A$110</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143" i="3" l="1"/>
  <c r="R143" i="1"/>
  <c r="P137" i="1"/>
  <c r="P134" i="1"/>
  <c r="H137" i="1"/>
  <c r="H134" i="1"/>
  <c r="N143" i="3"/>
  <c r="N137" i="3"/>
  <c r="N134" i="3"/>
  <c r="H143" i="3"/>
  <c r="H137" i="3"/>
  <c r="H134" i="3"/>
  <c r="H134" i="2"/>
  <c r="N137" i="2"/>
  <c r="N143" i="2" s="1"/>
  <c r="N134" i="2"/>
  <c r="H137" i="2"/>
  <c r="M35" i="4" l="1"/>
  <c r="T130" i="3" l="1"/>
  <c r="T126" i="3"/>
  <c r="T116" i="3"/>
  <c r="T112" i="3"/>
  <c r="T108" i="3"/>
  <c r="T100" i="3"/>
  <c r="T96" i="3"/>
  <c r="T92" i="3"/>
  <c r="T83" i="3"/>
  <c r="T79" i="3"/>
  <c r="T75" i="3"/>
  <c r="T66" i="3"/>
  <c r="T62" i="3"/>
  <c r="T58" i="3"/>
  <c r="T48" i="3"/>
  <c r="T44" i="3"/>
  <c r="T40" i="3"/>
  <c r="T31" i="3"/>
  <c r="T27" i="3"/>
  <c r="T23" i="3"/>
  <c r="N130" i="3"/>
  <c r="N126" i="3"/>
  <c r="N117" i="3"/>
  <c r="N113" i="3"/>
  <c r="N109" i="3"/>
  <c r="N100" i="3"/>
  <c r="N96" i="3"/>
  <c r="N92" i="3"/>
  <c r="N83" i="3"/>
  <c r="N79" i="3"/>
  <c r="N75" i="3"/>
  <c r="N66" i="3"/>
  <c r="N62" i="3"/>
  <c r="N58" i="3"/>
  <c r="N48" i="3"/>
  <c r="N44" i="3"/>
  <c r="N40" i="3"/>
  <c r="N31" i="3"/>
  <c r="N27" i="3"/>
  <c r="N23" i="3"/>
  <c r="H130" i="3"/>
  <c r="H126" i="3"/>
  <c r="H117" i="3"/>
  <c r="H113" i="3"/>
  <c r="H109" i="3"/>
  <c r="H100" i="3"/>
  <c r="H96" i="3"/>
  <c r="H92" i="3"/>
  <c r="H83" i="3"/>
  <c r="H79" i="3"/>
  <c r="H75" i="3"/>
  <c r="H66" i="3"/>
  <c r="H62" i="3"/>
  <c r="H58" i="3"/>
  <c r="H48" i="3"/>
  <c r="H44" i="3"/>
  <c r="H40" i="3"/>
  <c r="H31" i="3"/>
  <c r="H27" i="3"/>
  <c r="H23" i="3"/>
  <c r="T130" i="2"/>
  <c r="T126" i="2"/>
  <c r="T116" i="2"/>
  <c r="T112" i="2"/>
  <c r="T108" i="2"/>
  <c r="T100" i="2"/>
  <c r="T96" i="2"/>
  <c r="T92" i="2"/>
  <c r="T83" i="2"/>
  <c r="T79" i="2"/>
  <c r="T75" i="2"/>
  <c r="T66" i="2"/>
  <c r="T62" i="2"/>
  <c r="T58" i="2"/>
  <c r="T48" i="2"/>
  <c r="T44" i="2"/>
  <c r="T40" i="2"/>
  <c r="T31" i="2"/>
  <c r="T27" i="2"/>
  <c r="T23" i="2"/>
  <c r="N130" i="2"/>
  <c r="N126" i="2"/>
  <c r="N117" i="2"/>
  <c r="N113" i="2"/>
  <c r="N109" i="2"/>
  <c r="N100" i="2"/>
  <c r="N96" i="2"/>
  <c r="N92" i="2"/>
  <c r="N83" i="2"/>
  <c r="N79" i="2"/>
  <c r="N75" i="2"/>
  <c r="N66" i="2"/>
  <c r="N62" i="2"/>
  <c r="N58" i="2"/>
  <c r="N48" i="2"/>
  <c r="N44" i="2"/>
  <c r="N40" i="2"/>
  <c r="N31" i="2"/>
  <c r="N27" i="2"/>
  <c r="N23" i="2"/>
  <c r="H130" i="2"/>
  <c r="H126" i="2"/>
  <c r="H117" i="2"/>
  <c r="H113" i="2"/>
  <c r="H109" i="2"/>
  <c r="H100" i="2"/>
  <c r="H96" i="2"/>
  <c r="H92" i="2"/>
  <c r="H83" i="2"/>
  <c r="H79" i="2"/>
  <c r="H75" i="2"/>
  <c r="H66" i="2"/>
  <c r="H62" i="2"/>
  <c r="H58" i="2"/>
  <c r="H48" i="2"/>
  <c r="H44" i="2"/>
  <c r="H40" i="2"/>
  <c r="H31" i="2"/>
  <c r="H27" i="2"/>
  <c r="H23" i="2"/>
  <c r="Z137" i="1"/>
  <c r="Z112" i="1"/>
  <c r="Z108" i="1"/>
  <c r="Z100" i="1"/>
  <c r="Z96" i="1"/>
  <c r="Z92" i="1"/>
  <c r="Z83" i="1"/>
  <c r="Z79" i="1"/>
  <c r="X130" i="1"/>
  <c r="X126" i="1"/>
  <c r="X116" i="1"/>
  <c r="X112" i="1"/>
  <c r="X108" i="1"/>
  <c r="X100" i="1"/>
  <c r="X96" i="1"/>
  <c r="X92" i="1"/>
  <c r="X83" i="1"/>
  <c r="X79" i="1"/>
  <c r="X75" i="1"/>
  <c r="X66" i="1"/>
  <c r="X62" i="1"/>
  <c r="X58" i="1"/>
  <c r="X48" i="1"/>
  <c r="X44" i="1"/>
  <c r="X40" i="1"/>
  <c r="X31" i="1"/>
  <c r="X27" i="1"/>
  <c r="X23" i="1"/>
  <c r="R137" i="1"/>
  <c r="R113" i="1"/>
  <c r="R109" i="1"/>
  <c r="R100" i="1"/>
  <c r="R96" i="1"/>
  <c r="R92" i="1"/>
  <c r="R83" i="1"/>
  <c r="R79" i="1"/>
  <c r="P130" i="1"/>
  <c r="P126" i="1"/>
  <c r="P117" i="1"/>
  <c r="P113" i="1"/>
  <c r="P109" i="1"/>
  <c r="P100" i="1"/>
  <c r="P96" i="1"/>
  <c r="P92" i="1"/>
  <c r="P83" i="1"/>
  <c r="P79" i="1"/>
  <c r="P75" i="1"/>
  <c r="P66" i="1"/>
  <c r="P62" i="1"/>
  <c r="P58" i="1"/>
  <c r="P48" i="1"/>
  <c r="P44" i="1"/>
  <c r="P40" i="1"/>
  <c r="P31" i="1"/>
  <c r="P27" i="1"/>
  <c r="P23" i="1"/>
  <c r="J137" i="1"/>
  <c r="J113" i="1"/>
  <c r="J109" i="1"/>
  <c r="J100" i="1"/>
  <c r="J96" i="1"/>
  <c r="J92" i="1"/>
  <c r="J83" i="1"/>
  <c r="J79" i="1"/>
  <c r="H130" i="1"/>
  <c r="H126" i="1"/>
  <c r="H117" i="1"/>
  <c r="H113" i="1"/>
  <c r="H109" i="1"/>
  <c r="H100" i="1"/>
  <c r="H96" i="1"/>
  <c r="H92" i="1"/>
  <c r="H83" i="1"/>
  <c r="H79" i="1"/>
  <c r="H75" i="1"/>
  <c r="H66" i="1"/>
  <c r="H62" i="1"/>
  <c r="H58" i="1"/>
  <c r="H48" i="1"/>
  <c r="H44" i="1"/>
  <c r="H40" i="1"/>
  <c r="H31" i="1"/>
  <c r="H27" i="1"/>
  <c r="H23" i="1"/>
  <c r="Q25" i="4" l="1"/>
  <c r="O25" i="4"/>
  <c r="M25" i="4"/>
  <c r="X137" i="1"/>
  <c r="T137" i="3" l="1"/>
  <c r="Z143" i="1"/>
  <c r="T137" i="2"/>
  <c r="T143" i="2" s="1"/>
  <c r="H143" i="2"/>
  <c r="J143" i="1" l="1"/>
</calcChain>
</file>

<file path=xl/sharedStrings.xml><?xml version="1.0" encoding="utf-8"?>
<sst xmlns="http://schemas.openxmlformats.org/spreadsheetml/2006/main" count="1810" uniqueCount="295">
  <si>
    <t>MURPHY TRACT</t>
  </si>
  <si>
    <t>Year</t>
  </si>
  <si>
    <t xml:space="preserve"> </t>
  </si>
  <si>
    <t>Cabbage</t>
  </si>
  <si>
    <t>Potatoes</t>
  </si>
  <si>
    <t>Corn</t>
  </si>
  <si>
    <t xml:space="preserve">                                    30 Acres of Wetlands Areas</t>
  </si>
  <si>
    <t>Oats</t>
  </si>
  <si>
    <t>Formula</t>
  </si>
  <si>
    <t xml:space="preserve">CWT/Acre </t>
  </si>
  <si>
    <t>Hundred-Weight (CWT)</t>
  </si>
  <si>
    <t>Yield Per Acre</t>
  </si>
  <si>
    <t>Bushel</t>
  </si>
  <si>
    <t>(100 Pounds)</t>
  </si>
  <si>
    <t>BSHL/Acre</t>
  </si>
  <si>
    <t>Yield/Acre (CWT)</t>
  </si>
  <si>
    <t>State/County/Region</t>
  </si>
  <si>
    <t>PA</t>
  </si>
  <si>
    <t>$/CWT</t>
  </si>
  <si>
    <t>160 cwt (x)</t>
  </si>
  <si>
    <t>210 cwt (x)</t>
  </si>
  <si>
    <t>215 cwt (x)</t>
  </si>
  <si>
    <t>(x) $/CWT (x) # Acres = $ Value</t>
  </si>
  <si>
    <t>(x) $/BSHL (x) # Acres = $ Value</t>
  </si>
  <si>
    <t>NY</t>
  </si>
  <si>
    <t>240 cwt (x)</t>
  </si>
  <si>
    <t>300 cwt (x)</t>
  </si>
  <si>
    <t>USDA Vegetable Summary</t>
  </si>
  <si>
    <t>165 cwt (x)</t>
  </si>
  <si>
    <t>280 cwt (x)</t>
  </si>
  <si>
    <t>170 cwt (x)</t>
  </si>
  <si>
    <t>90 cwt (x)</t>
  </si>
  <si>
    <t>380 cwt (x)</t>
  </si>
  <si>
    <t>330 cwt (x)</t>
  </si>
  <si>
    <t>190 cwt (x)</t>
  </si>
  <si>
    <t>195 cwt (x)</t>
  </si>
  <si>
    <t>Onions</t>
  </si>
  <si>
    <t>230 cwt (x)</t>
  </si>
  <si>
    <t>320 cwt (x)</t>
  </si>
  <si>
    <t>400 cwt (x)</t>
  </si>
  <si>
    <t>270 cwt (x)</t>
  </si>
  <si>
    <t>360 cwt (x)</t>
  </si>
  <si>
    <t>220 cwt (x)</t>
  </si>
  <si>
    <t>410 cwt (x)</t>
  </si>
  <si>
    <t>415 cwt (x)</t>
  </si>
  <si>
    <t>315 cwt (x)</t>
  </si>
  <si>
    <t>155 cwt (x)</t>
  </si>
  <si>
    <t>176 cwt (x)</t>
  </si>
  <si>
    <t>239 cwt (x)</t>
  </si>
  <si>
    <t>305 cwt (x)</t>
  </si>
  <si>
    <t>310 cwt (x)</t>
  </si>
  <si>
    <t>221 cwt (x)</t>
  </si>
  <si>
    <t>250 cwt (x)</t>
  </si>
  <si>
    <t>295 cwt (x)</t>
  </si>
  <si>
    <t>345 cwt (x)</t>
  </si>
  <si>
    <t xml:space="preserve">TOTAL 1996-2016 </t>
  </si>
  <si>
    <t>===========</t>
  </si>
  <si>
    <t>30 Acres of Wetlands</t>
  </si>
  <si>
    <t>BRACE FARM MURPHY TRACT</t>
  </si>
  <si>
    <t>----------------------------</t>
  </si>
  <si>
    <t>BY PORTION OF 58 ACRE</t>
  </si>
  <si>
    <t>LOST CABBAGE CROP REVENUES</t>
  </si>
  <si>
    <t>TOTAL 1996-2016 MURPHY TRACT</t>
  </si>
  <si>
    <t>2014 Summary (Jan. 2015)</t>
  </si>
  <si>
    <t xml:space="preserve">        </t>
  </si>
  <si>
    <t>Data Source:</t>
  </si>
  <si>
    <t xml:space="preserve">                             USDA Vegetable Summary</t>
  </si>
  <si>
    <t xml:space="preserve">                     2014 Summary (Jan. 2015); 2015 Summary (Jan. 2016);  2016 Summary (Feb. 2017)</t>
  </si>
  <si>
    <t xml:space="preserve">                          USDA Vegetable Summary</t>
  </si>
  <si>
    <t xml:space="preserve">                                 2008 Summary (Jan. 2009); 2009 Summary (Jan. 2010);  </t>
  </si>
  <si>
    <t xml:space="preserve">                                  2010 Summary (Jan. 2011); 2011 Summary (Jan. 2012)</t>
  </si>
  <si>
    <t xml:space="preserve">                                         2011 Summary (Jan. 2012); 2012 Summary (Jan. 2013); </t>
  </si>
  <si>
    <t xml:space="preserve">               2013 Summary (Jan. 2014); </t>
  </si>
  <si>
    <t xml:space="preserve">                               USDA Vegetable Summary</t>
  </si>
  <si>
    <t xml:space="preserve">                                 2005 Summary (Jan. 2006); 2006 Summary (Jan. 2007);</t>
  </si>
  <si>
    <t xml:space="preserve">                                  2007 Summary (Jan. 2008); 2008 Summary (Jan. 2009)</t>
  </si>
  <si>
    <t xml:space="preserve">                            USDA Vegetable Summary</t>
  </si>
  <si>
    <t xml:space="preserve">                                   2002 Summary (Jan. 2003); 2003 Summary (Jan. 2004);</t>
  </si>
  <si>
    <t xml:space="preserve">                                    2004 Summary (Jan. 2005); 2005 Summary (Jan. 2006)</t>
  </si>
  <si>
    <t xml:space="preserve">                                     1999 Summary (Jan. 2000); 2000 Summary (Jan. 2001);</t>
  </si>
  <si>
    <t xml:space="preserve">                             2001 Summary (Jan. 2002); </t>
  </si>
  <si>
    <t xml:space="preserve">                                USDA Vegetable Summary</t>
  </si>
  <si>
    <t xml:space="preserve">                               1998 Summary (Jan. 1999)</t>
  </si>
  <si>
    <t xml:space="preserve">                                        1998 Summary (Jan. 1999); 1999 Summary (Jan. 2000)</t>
  </si>
  <si>
    <t xml:space="preserve">                                  USDA Vegetable Summary</t>
  </si>
  <si>
    <t xml:space="preserve">                                        1999 Summary (Jan. 2000); 2001 Summary (Jan. 2002);</t>
  </si>
  <si>
    <t xml:space="preserve">                                        2001 Summary (Jan. 2002); 2002 Summary (Jan. 2003)</t>
  </si>
  <si>
    <t xml:space="preserve">                              USDA Vegetable Summary</t>
  </si>
  <si>
    <t xml:space="preserve">                              2003 Summary (Jan. 2004); 2004 Summary (Jan. 2005);</t>
  </si>
  <si>
    <t xml:space="preserve">                                                                                                     2005 Summary (Jan. 2006); 2006 Summary (Jan. 2007)</t>
  </si>
  <si>
    <t xml:space="preserve">                                 2006 Summary (Jan. 2007); 2007 Summary (Jan. 2008);</t>
  </si>
  <si>
    <t xml:space="preserve">                                  2008 Summary (Jan. 2009); 2009 Summary (Jan. 2010)</t>
  </si>
  <si>
    <t xml:space="preserve">                                 2009 Summary (Jan. 2010); 2010 Summary (Jan. 2011);</t>
  </si>
  <si>
    <t xml:space="preserve">                                  2011 Summary (Jan. 2012); 2012 Summary (Jan. 2013)</t>
  </si>
  <si>
    <t xml:space="preserve">                               2009 Summary (Jan. 2010); 2010 Summary (Jan. 2011);</t>
  </si>
  <si>
    <t xml:space="preserve">                                2011 Summary (Jan. 2012); 2012 Summary (Jan. 2013)</t>
  </si>
  <si>
    <t xml:space="preserve">                               2014 Summary (Jan. 2015); 2015 Summary (Jan. 2016);</t>
  </si>
  <si>
    <t xml:space="preserve">                                  2016 Summary (Feb. 2017); Vegetables (Aug. 2016)</t>
  </si>
  <si>
    <t>LOST ONION CROP REVENUES</t>
  </si>
  <si>
    <t>==================</t>
  </si>
  <si>
    <t xml:space="preserve">HIGH VALUE CROPS </t>
  </si>
  <si>
    <t>THAT COULD HAVE BEEN</t>
  </si>
  <si>
    <t>GROWN ON MURPHY TRACT</t>
  </si>
  <si>
    <t>Data Source</t>
  </si>
  <si>
    <t>PA Agricultural Statistics 2003-2004</t>
  </si>
  <si>
    <t>260 cwt (x)</t>
  </si>
  <si>
    <t>235 cwt (x)</t>
  </si>
  <si>
    <t xml:space="preserve">                 PA Agricultural Statistics 2003-2004 (Potato Summary 2003)</t>
  </si>
  <si>
    <t xml:space="preserve">                      PA Agricultural Statistics 2003-2004 (Potato Summary 2003)</t>
  </si>
  <si>
    <t xml:space="preserve">                        1988-1989 Annual Statistical Summary;  PA Agricultural Statistics 2003-2004</t>
  </si>
  <si>
    <t xml:space="preserve">                                     1988-1989 Annual Statical Summary (Potato Summary 1998)</t>
  </si>
  <si>
    <t>PA (Erie Cty)</t>
  </si>
  <si>
    <t>243 cwt (x)</t>
  </si>
  <si>
    <t>225 cwt (x)</t>
  </si>
  <si>
    <t xml:space="preserve">                             PA Agricultural Statistics 2003-2004 (Production Revised by County)</t>
  </si>
  <si>
    <t>277 cwt (x)</t>
  </si>
  <si>
    <t>242 cwt (x)</t>
  </si>
  <si>
    <t xml:space="preserve">                     PA Agricultural Statistics 2003-2004 (PA Potatoes - Acreage, Yield, Production</t>
  </si>
  <si>
    <t>292 cwt (x)</t>
  </si>
  <si>
    <t xml:space="preserve">PA </t>
  </si>
  <si>
    <t xml:space="preserve">                                         PA Agricultural Statistics 2008-2009 (w/ 5 YR Revisions</t>
  </si>
  <si>
    <t>246 cwt (x)</t>
  </si>
  <si>
    <t>253 cwt (x)</t>
  </si>
  <si>
    <t>209 cwt (x)</t>
  </si>
  <si>
    <t xml:space="preserve">                                   PA Agricultural Statistics 2008-2009 (w/ 5 YR Revisions) </t>
  </si>
  <si>
    <t xml:space="preserve">                                                       PA Agricultural Statistics 2010-2011; </t>
  </si>
  <si>
    <t>PA (NW Counties)</t>
  </si>
  <si>
    <t>PA Agricultural Statistics 2011-2012; PA Ag Statistic 2010-2011 (Potatoes Acreage, Yield, Production)</t>
  </si>
  <si>
    <t xml:space="preserve">PA Agricultural Statistics 2008-2009 (w/ 5 YR Revisions); PA Statistic 2009-2010 (Potatoes Acre, Yld, Pr) </t>
  </si>
  <si>
    <t>PA Agricultural Statistics 2010-2011 (Potatoe Summary 2010); (Potatoes Acreage, Yield, Product)</t>
  </si>
  <si>
    <t>216 cwt (x)</t>
  </si>
  <si>
    <t>294 cwt (x)</t>
  </si>
  <si>
    <t>284 cwt (x)</t>
  </si>
  <si>
    <t>286 cwt (x)</t>
  </si>
  <si>
    <t>233 cwt (x)</t>
  </si>
  <si>
    <t>290 cwt (x)</t>
  </si>
  <si>
    <t>PA Agricultural Statistics 2011-2012 (Potatoes Acres, Yld, Prod. 1970-2011); (Acre, Yld, Prod 2010-11)</t>
  </si>
  <si>
    <t xml:space="preserve">PA Agri Stats 2010-2011 Bull; PA Agri Stats 2012-2013 Snapshot 2012; PA Agri Stats Bull 2014-15; </t>
  </si>
  <si>
    <t>PA Agri Stats 2013-2014 (Potatoes Acres, Yld Prod 2011-2012);  PA Agri Stats Bull 2015-2016</t>
  </si>
  <si>
    <t xml:space="preserve">                                                            PA Agri Stats Bull 2014-15; </t>
  </si>
  <si>
    <t xml:space="preserve">                                                          PA Agri Stats Bull 2015-2016 </t>
  </si>
  <si>
    <t>275 cwt (x)</t>
  </si>
  <si>
    <t>LOST POTATO CROP REVENUES</t>
  </si>
  <si>
    <t>N/A*</t>
  </si>
  <si>
    <t>*2016 $$ AWAITING DATA</t>
  </si>
  <si>
    <t>===================</t>
  </si>
  <si>
    <r>
      <rPr>
        <b/>
        <u/>
        <sz val="12"/>
        <color theme="1"/>
        <rFont val="Calibri"/>
        <family val="2"/>
        <scheme val="minor"/>
      </rPr>
      <t>HIGH</t>
    </r>
    <r>
      <rPr>
        <b/>
        <sz val="12"/>
        <color theme="1"/>
        <rFont val="Calibri"/>
        <family val="2"/>
        <scheme val="minor"/>
      </rPr>
      <t xml:space="preserve"> VALUE CROPS THAT COULD HAVE BEEN GROWN </t>
    </r>
  </si>
  <si>
    <t xml:space="preserve">    LOW VALUE CROPS THAT COULD HAVE BEEN GROWN </t>
  </si>
  <si>
    <t>BRACE FARM HOMESTEAD TRACT</t>
  </si>
  <si>
    <t xml:space="preserve">                                                      USDA Vegetable Summary</t>
  </si>
  <si>
    <t xml:space="preserve">                                                  1998 Summary (Jan. 1999)</t>
  </si>
  <si>
    <t>28 Acres of Flooded</t>
  </si>
  <si>
    <t>Uplands</t>
  </si>
  <si>
    <t>19 Acres of Periodic</t>
  </si>
  <si>
    <t>Flooded Uplands</t>
  </si>
  <si>
    <t xml:space="preserve">50 Acres Often </t>
  </si>
  <si>
    <t>Flooded</t>
  </si>
  <si>
    <t>BRACE FARM MARSH TRACT</t>
  </si>
  <si>
    <t>GROWN ON MARSH TRACT</t>
  </si>
  <si>
    <t>GROWN ON HOMESTEAD TRACT</t>
  </si>
  <si>
    <t xml:space="preserve">BUT FOR EPA NEGLIGENT OR </t>
  </si>
  <si>
    <t xml:space="preserve">ENFORCEMENT OF </t>
  </si>
  <si>
    <t>CONSENT DECREE</t>
  </si>
  <si>
    <t xml:space="preserve">WRONGFUL ENFORCEMENT OF </t>
  </si>
  <si>
    <t>BUT FOR EPA  NEGLIGENT</t>
  </si>
  <si>
    <t>OR WRONGFUL</t>
  </si>
  <si>
    <t>BUT FOR EPA NEGLIGENT</t>
  </si>
  <si>
    <t>ENFORCEMENT OF</t>
  </si>
  <si>
    <t>(x) 14 acres</t>
  </si>
  <si>
    <t>TOTAL 1996-2016 MARSH TRACT</t>
  </si>
  <si>
    <t>BY PORTION OF 69 ACRE</t>
  </si>
  <si>
    <t>HOMESTEAD TRACT</t>
  </si>
  <si>
    <t>TOTAL 1996-2016 HOMESTEAD TRACT</t>
  </si>
  <si>
    <t xml:space="preserve">BRACE FARM MURPHY, HOMESTEAD AND MARSH TRACTS </t>
  </si>
  <si>
    <t>LOST CROP REVENUES FROM 1996 - 2016*</t>
  </si>
  <si>
    <t>(*Published Internet-Accessible 2016 USDA Figures Not Available at this Time)</t>
  </si>
  <si>
    <t>Homestead</t>
  </si>
  <si>
    <t>Tract</t>
  </si>
  <si>
    <t>Crop</t>
  </si>
  <si>
    <t xml:space="preserve">ARISING FROM EPA'S NEGLIGENT AND WRONGFUL </t>
  </si>
  <si>
    <t>ENFORCEMENT OF THE 1996 DOJ CONSENT DECREE</t>
  </si>
  <si>
    <t>Acreage</t>
  </si>
  <si>
    <t>Murphy</t>
  </si>
  <si>
    <t xml:space="preserve">Marsh </t>
  </si>
  <si>
    <t>20 Acres</t>
  </si>
  <si>
    <t>The Repair Costs that Will be Incurred as the Result of EPA's Negligent and Wrongful Enforcment of the 1996 Consent Decree Consist of the Following:</t>
  </si>
  <si>
    <t>-------------------------</t>
  </si>
  <si>
    <t>--------------------------</t>
  </si>
  <si>
    <r>
      <rPr>
        <b/>
        <u/>
        <sz val="12"/>
        <color theme="1"/>
        <rFont val="Calibri"/>
        <family val="2"/>
        <scheme val="minor"/>
      </rPr>
      <t>Assumption #1</t>
    </r>
    <r>
      <rPr>
        <sz val="12"/>
        <color theme="1"/>
        <rFont val="Calibri"/>
        <family val="2"/>
        <scheme val="minor"/>
      </rPr>
      <t>:</t>
    </r>
  </si>
  <si>
    <r>
      <rPr>
        <b/>
        <u/>
        <sz val="12"/>
        <color theme="1"/>
        <rFont val="Calibri"/>
        <family val="2"/>
        <scheme val="minor"/>
      </rPr>
      <t>Assumption #2</t>
    </r>
    <r>
      <rPr>
        <sz val="12"/>
        <color theme="1"/>
        <rFont val="Calibri"/>
        <family val="2"/>
        <scheme val="minor"/>
      </rPr>
      <t>:</t>
    </r>
  </si>
  <si>
    <t>(x) 32.5 acres</t>
  </si>
  <si>
    <t>32.5 Acres of Designated</t>
  </si>
  <si>
    <t>Wetlands</t>
  </si>
  <si>
    <t>(x) 25.5acres</t>
  </si>
  <si>
    <t xml:space="preserve">25.5 Acres of </t>
  </si>
  <si>
    <t>(x) 25.5 acres</t>
  </si>
  <si>
    <t xml:space="preserve">14 Acres of </t>
  </si>
  <si>
    <t>All 20 Acres Flooded</t>
  </si>
  <si>
    <t>(x) 20 acres</t>
  </si>
  <si>
    <t>FOR 20 ACRE MARSH TRACT</t>
  </si>
  <si>
    <t xml:space="preserve">                                      LOW VALUE CROPS THAT COULD HAVE BEEN GROWN</t>
  </si>
  <si>
    <t>14 Acres</t>
  </si>
  <si>
    <t>32.5 Acres;</t>
  </si>
  <si>
    <t>25.5 Acres for 7 Yrs</t>
  </si>
  <si>
    <t>Removal/Repair of Check Dam (by Fed'l Gov't)</t>
  </si>
  <si>
    <t>Removal of Beaver Dams (by State Gov't)</t>
  </si>
  <si>
    <t>Period</t>
  </si>
  <si>
    <t>1996-2016</t>
  </si>
  <si>
    <t>2006-2012</t>
  </si>
  <si>
    <t>1996-2012</t>
  </si>
  <si>
    <t xml:space="preserve">Removal, Replacement, Cleaning of Culverts (by State Gov't) </t>
  </si>
  <si>
    <t>================</t>
  </si>
  <si>
    <t xml:space="preserve">Such Data Were Derived From the United States Department of Agriculture's Economic Research Service as Indicated in the Accompanying Spreadsheets. </t>
  </si>
  <si>
    <t>The Harvest Revenues That Could Have Been Earned, But Were Lost, For Each of Onions, Cabbage and Potatoes are Set Forth Below and in the Accompanying Spreadsheets:</t>
  </si>
  <si>
    <r>
      <rPr>
        <b/>
        <u/>
        <sz val="12"/>
        <color theme="1"/>
        <rFont val="Calibri"/>
        <family val="2"/>
        <scheme val="minor"/>
      </rPr>
      <t>Finding #1</t>
    </r>
    <r>
      <rPr>
        <sz val="12"/>
        <color theme="1"/>
        <rFont val="Calibri"/>
        <family val="2"/>
        <scheme val="minor"/>
      </rPr>
      <t>:</t>
    </r>
  </si>
  <si>
    <r>
      <rPr>
        <b/>
        <u/>
        <sz val="12"/>
        <color theme="1"/>
        <rFont val="Calibri"/>
        <family val="2"/>
        <scheme val="minor"/>
      </rPr>
      <t>Finding #2</t>
    </r>
    <r>
      <rPr>
        <sz val="12"/>
        <color theme="1"/>
        <rFont val="Calibri"/>
        <family val="2"/>
        <scheme val="minor"/>
      </rPr>
      <t>:</t>
    </r>
  </si>
  <si>
    <t>Finding #3:</t>
  </si>
  <si>
    <t>Claimants Robert Brace, Inc. and Robert Brace and Sons, Inc., Would Have Chosen the Most Profitable of the Three More Profitable Crops to Farm on the Portions of Each of the Three Contiguous and Adjacent Tracts Set Forth Below and in the Accompanying Spreadsheets during the years in question.</t>
  </si>
  <si>
    <t xml:space="preserve">Claimant Robert Brace Will Incur Additional Costs to Repair Each of the Three Flooded Properties to Return them to their Prior Maximum Use for Growing and Harvesting the Crops Identified Above. </t>
  </si>
  <si>
    <t>Repairing Real Property (Installation Drainage, Ditching)</t>
  </si>
  <si>
    <t>The Three More Profitable Crops Grown in Nutrient-Rich Soil of the Type on Brace Farms Include, in Order of Profitability, Onion, Cabbage and Potatoes.  The Harvest Revenues for Each Such Crop is Set Forth Below and in the Accompanying Spreadsheets.</t>
  </si>
  <si>
    <t>ALL Data Upon Which This Spreadsheet is Based is USDA Economic Research Service Data</t>
  </si>
  <si>
    <t>*2016 $$ AWAITING PA DATA</t>
  </si>
  <si>
    <t>NY*</t>
  </si>
  <si>
    <t xml:space="preserve">310 cwt (x) </t>
  </si>
  <si>
    <t>=================</t>
  </si>
  <si>
    <t xml:space="preserve">                                     1988-1989 Annual Statistical Summary (Potato Summary 1998)</t>
  </si>
  <si>
    <r>
      <t xml:space="preserve">Tyler D. Heep, United States Department of Agriculture National Agricultural Statistics Service, Pennsylvania Office, </t>
    </r>
    <r>
      <rPr>
        <i/>
        <sz val="12"/>
        <color theme="1"/>
        <rFont val="Times New Roman"/>
        <family val="1"/>
      </rPr>
      <t>Pennsylvania Agricultural Statistics 2008-2009-Potato Summary</t>
    </r>
    <r>
      <rPr>
        <sz val="12"/>
        <color theme="1"/>
        <rFont val="Times New Roman"/>
        <family val="1"/>
      </rPr>
      <t xml:space="preserve">, p. 78, available at: &lt;https://www.nass.usda.gov/Statistics_by_State/Pennsylvania/Publications/Annual_Statistical_Bulletin/2008_2009/PA%2008-09.pdf&gt; </t>
    </r>
  </si>
  <si>
    <r>
      <t xml:space="preserve">Tyler D. Heep, United States Department of Agriculture National Agricultural Statistics Service, Pennsylvania Office, </t>
    </r>
    <r>
      <rPr>
        <i/>
        <sz val="12"/>
        <color theme="1"/>
        <rFont val="Times New Roman"/>
        <family val="1"/>
      </rPr>
      <t>Pennsylvania Agricultural Statistics 2009-2010-Pennsylvania: Potatoes - Acreage, Yield, Production and Value, 1970-2009</t>
    </r>
    <r>
      <rPr>
        <sz val="12"/>
        <color theme="1"/>
        <rFont val="Times New Roman"/>
        <family val="1"/>
      </rPr>
      <t xml:space="preserve">, p. 47, available at: &lt;https://www.nass.usda.gov/Statistics_by_State/Pennsylvania/Publications/Annual_Statistical_Bulletin/2009_2010/Potato09.pdf&gt;  </t>
    </r>
  </si>
  <si>
    <r>
      <t>Tyler D. Heep, United States Department of Agriculture National Agricultural Statistics Service, Pennsylvania Office,</t>
    </r>
    <r>
      <rPr>
        <sz val="11"/>
        <color theme="1"/>
        <rFont val="Calibri"/>
        <family val="2"/>
        <scheme val="minor"/>
      </rPr>
      <t xml:space="preserve"> </t>
    </r>
    <r>
      <rPr>
        <i/>
        <sz val="12"/>
        <color theme="1"/>
        <rFont val="Times New Roman"/>
        <family val="1"/>
      </rPr>
      <t>Pennsylvania Agricultural Statistics 2010-2011-Potato Summary 2010</t>
    </r>
    <r>
      <rPr>
        <sz val="12"/>
        <color theme="1"/>
        <rFont val="Times New Roman"/>
        <family val="1"/>
      </rPr>
      <t xml:space="preserve">, p. 47, available at: &lt;https://www.nass.usda.gov/Statistics_by_State/Pennsylvania/Publications/Annual_Statistical_Bulletin/2010_2011/PotatoSum10.pdf&gt; </t>
    </r>
  </si>
  <si>
    <r>
      <t>Tyler D. Heep, United States Department of Agriculture National Agricultural Statistics Service, Pennsylvania Office,</t>
    </r>
    <r>
      <rPr>
        <sz val="11"/>
        <color theme="1"/>
        <rFont val="Calibri"/>
        <family val="2"/>
        <scheme val="minor"/>
      </rPr>
      <t xml:space="preserve"> </t>
    </r>
    <r>
      <rPr>
        <i/>
        <sz val="12"/>
        <color theme="1"/>
        <rFont val="Times New Roman"/>
        <family val="1"/>
      </rPr>
      <t>Pennsylvania Agricultural Statistics 2011-2012-Potato Summary 2011</t>
    </r>
    <r>
      <rPr>
        <sz val="12"/>
        <color theme="1"/>
        <rFont val="Times New Roman"/>
        <family val="1"/>
      </rPr>
      <t xml:space="preserve">, p. 47, available at: &lt;https://www.nass.usda.gov/Statistics_by_State/Pennsylvania/Publications/Annual_Statistical_Bulletin/2011_2012/Potato_sum11.pdf&gt; </t>
    </r>
  </si>
  <si>
    <t>BIBLIOGRAPHY OF ALL PUBLICLY AVAILABLE GOVERNMENT DATA UPON WHICH THIS SPREADSHEET WAS DERIVED</t>
  </si>
  <si>
    <r>
      <t xml:space="preserve">J. Scott Lemmons, United States Department of Agriculture National Agricultural Statistics Service, Northeastern Regional Field Office (and the Pennsylvania Field Office), </t>
    </r>
    <r>
      <rPr>
        <i/>
        <sz val="12"/>
        <color theme="1"/>
        <rFont val="Times New Roman"/>
        <family val="1"/>
      </rPr>
      <t>1998-99 Annual Statistical Summary-Potato Summary 1998</t>
    </r>
    <r>
      <rPr>
        <sz val="12"/>
        <color theme="1"/>
        <rFont val="Times New Roman"/>
        <family val="1"/>
      </rPr>
      <t xml:space="preserve">, available at: &lt;https://www.nass.usda.gov/Statistics_by_State/Pennsylvania/Publications/Annual_Statistical_Bulletin/1998_1999/PAGE077.PDF&gt; </t>
    </r>
  </si>
  <si>
    <r>
      <t xml:space="preserve">Scott W. Shimmin, United States Department of Agriculture National Agricultural Statistics Service, Northeastern Regional Field Office (and the Pennsylvania Field Office), </t>
    </r>
    <r>
      <rPr>
        <i/>
        <sz val="12"/>
        <color theme="1"/>
        <rFont val="Times New Roman"/>
        <family val="1"/>
      </rPr>
      <t>Pennsylvania Agricultural Statistics 2003-2004-Potato Summary 2003</t>
    </r>
    <r>
      <rPr>
        <sz val="12"/>
        <color theme="1"/>
        <rFont val="Times New Roman"/>
        <family val="1"/>
      </rPr>
      <t xml:space="preserve">, available at:&lt;https://www.nass.usda.gov/Statistics_by_State/Pennsylvania/Publications/Annual_Statistical_Bulletin/2003_2004/Potatosum.pdf&gt; </t>
    </r>
  </si>
  <si>
    <r>
      <t xml:space="preserve">United States Department of Agriculture Economics, Statistics and Market Information System, </t>
    </r>
    <r>
      <rPr>
        <i/>
        <sz val="12"/>
        <color theme="1"/>
        <rFont val="Times New Roman"/>
        <family val="1"/>
      </rPr>
      <t>Vegetables Annual Summary</t>
    </r>
    <r>
      <rPr>
        <sz val="12"/>
        <color theme="1"/>
        <rFont val="Times New Roman"/>
        <family val="1"/>
      </rPr>
      <t xml:space="preserve"> National Agricultural Statistics Service, available at: &lt;http://usda.mannlib.cornell.edu/MannUsda/viewDocumentInfo.do;jsessionid=2EA4BC5594C40D7A93C885EEC9495710?documentID=1183&gt; </t>
    </r>
  </si>
  <si>
    <r>
      <t xml:space="preserve">United States Department of Agriculture, National Agricultural Statistics Service, </t>
    </r>
    <r>
      <rPr>
        <i/>
        <sz val="12"/>
        <color theme="1"/>
        <rFont val="Times New Roman"/>
        <family val="1"/>
      </rPr>
      <t>Vegetables 1998 Summary</t>
    </r>
    <r>
      <rPr>
        <sz val="12"/>
        <color theme="1"/>
        <rFont val="Times New Roman"/>
        <family val="1"/>
      </rPr>
      <t xml:space="preserve"> Vg 1-2 (99)c (Jan. 1999), pp. 12-13; 32-33, available at: &lt;http://usda.mannlib.cornell.edu/usda/nass/VegeSumm//1990s/1999/VegeSumm-01-28-1999.pdf&gt; </t>
    </r>
  </si>
  <si>
    <r>
      <t xml:space="preserve">United States Department of Agriculture, National Agricultural Statistics Service, </t>
    </r>
    <r>
      <rPr>
        <i/>
        <sz val="12"/>
        <color theme="1"/>
        <rFont val="Times New Roman"/>
        <family val="1"/>
      </rPr>
      <t>Vegetables 1999 Summary</t>
    </r>
    <r>
      <rPr>
        <sz val="12"/>
        <color theme="1"/>
        <rFont val="Times New Roman"/>
        <family val="1"/>
      </rPr>
      <t xml:space="preserve"> Vg 1-2 (00)a (Jan. 2000), pp. 12-13; 32-33, available at: &lt;http://usda.mannlib.cornell.edu/usda/nass/VegeSumm//2000s/2000/VegeSumm-01-28-2000.pdf&gt; </t>
    </r>
  </si>
  <si>
    <r>
      <t xml:space="preserve">United States Department of Agriculture, National Agricultural Statistics Service, </t>
    </r>
    <r>
      <rPr>
        <i/>
        <sz val="12"/>
        <color theme="1"/>
        <rFont val="Times New Roman"/>
        <family val="1"/>
      </rPr>
      <t>Vegetables 2000 Summary</t>
    </r>
    <r>
      <rPr>
        <sz val="12"/>
        <color theme="1"/>
        <rFont val="Times New Roman"/>
        <family val="1"/>
      </rPr>
      <t xml:space="preserve"> Vg 1-2 (01)a (Jan. 2001), pp. 12-13; 32-33, available at: &lt;http://usda.mannlib.cornell.edu/usda/nass/VegeSumm//2000s/2001/VegeSumm-02-07-2001.pdf&gt; </t>
    </r>
  </si>
  <si>
    <r>
      <t xml:space="preserve">United States Department of Agriculture, National Agricultural Statistics Service, </t>
    </r>
    <r>
      <rPr>
        <i/>
        <sz val="12"/>
        <color theme="1"/>
        <rFont val="Times New Roman"/>
        <family val="1"/>
      </rPr>
      <t>Vegetables 2001 Summary</t>
    </r>
    <r>
      <rPr>
        <sz val="12"/>
        <color theme="1"/>
        <rFont val="Times New Roman"/>
        <family val="1"/>
      </rPr>
      <t xml:space="preserve"> Vg 1-2 (02) (Jan. 2002), pp. 13-14; 33-34, available at: &lt;http://usda.mannlib.cornell.edu/usda/nass/VegeSumm//2000s/2002/VegeSumm-01-29-2002.pdf&gt; </t>
    </r>
  </si>
  <si>
    <r>
      <t xml:space="preserve">United States Department of Agriculture, National Agricultural Statistics Service, </t>
    </r>
    <r>
      <rPr>
        <i/>
        <sz val="12"/>
        <color theme="1"/>
        <rFont val="Times New Roman"/>
        <family val="1"/>
      </rPr>
      <t>Vegetables 2002 Summary</t>
    </r>
    <r>
      <rPr>
        <sz val="12"/>
        <color theme="1"/>
        <rFont val="Times New Roman"/>
        <family val="1"/>
      </rPr>
      <t xml:space="preserve"> Vg 1-2 (03) (Jan. 2003), pp. 12-13; 33-34, available at: &lt;http://usda.mannlib.cornell.edu/usda/nass/VegeSumm//2000s/2003/VegeSumm-01-29-2003.pdf&gt; </t>
    </r>
  </si>
  <si>
    <r>
      <t xml:space="preserve">United States Department of Agriculture, National Agricultural Statistics Service, </t>
    </r>
    <r>
      <rPr>
        <i/>
        <sz val="12"/>
        <color theme="1"/>
        <rFont val="Times New Roman"/>
        <family val="1"/>
      </rPr>
      <t>Vegetables 2003 Summary</t>
    </r>
    <r>
      <rPr>
        <sz val="12"/>
        <color theme="1"/>
        <rFont val="Times New Roman"/>
        <family val="1"/>
      </rPr>
      <t xml:space="preserve"> Vg 1-2 (04) (Jan. 2004), pp. 12-13; 33-34, available at: &lt;http://usda.mannlib.cornell.edu/usda/nass/VegeSumm//2000s/2004/VegeSumm-01-29-2004.pdf&gt; </t>
    </r>
  </si>
  <si>
    <r>
      <t xml:space="preserve">United States Department of Agriculture, National Agricultural Statistics Service, </t>
    </r>
    <r>
      <rPr>
        <i/>
        <sz val="12"/>
        <color theme="1"/>
        <rFont val="Times New Roman"/>
        <family val="1"/>
      </rPr>
      <t>Vegetables 2004 Summary</t>
    </r>
    <r>
      <rPr>
        <sz val="12"/>
        <color theme="1"/>
        <rFont val="Times New Roman"/>
        <family val="1"/>
      </rPr>
      <t xml:space="preserve"> Vg 1-2 (05) (Jan. 2005), pp. 12-13; 26-27, available at: &lt;http://usda.mannlib.cornell.edu/usda/nass/VegeSumm//2000s/2005/VegeSumm-01-28-2005.pdf&gt; </t>
    </r>
  </si>
  <si>
    <r>
      <t xml:space="preserve">United States Department of Agriculture, National Agricultural Statistics Service, </t>
    </r>
    <r>
      <rPr>
        <i/>
        <sz val="12"/>
        <color theme="1"/>
        <rFont val="Times New Roman"/>
        <family val="1"/>
      </rPr>
      <t>Vegetables 2005 Summary</t>
    </r>
    <r>
      <rPr>
        <sz val="12"/>
        <color theme="1"/>
        <rFont val="Times New Roman"/>
        <family val="1"/>
      </rPr>
      <t xml:space="preserve"> Vg 1-2 (06) (Jan. 2006), pp. 12; 25-26, available at: &lt;http://usda.mannlib.cornell.edu/usda/nass/VegeSumm//2000s/2006/VegeSumm-01-27-2006.pdf&gt;  </t>
    </r>
  </si>
  <si>
    <r>
      <t xml:space="preserve">United States Department of Agriculture, National Agricultural Statistics Service, </t>
    </r>
    <r>
      <rPr>
        <i/>
        <sz val="12"/>
        <color theme="1"/>
        <rFont val="Times New Roman"/>
        <family val="1"/>
      </rPr>
      <t>Vegetables 2006 Summary</t>
    </r>
    <r>
      <rPr>
        <sz val="12"/>
        <color theme="1"/>
        <rFont val="Times New Roman"/>
        <family val="1"/>
      </rPr>
      <t xml:space="preserve"> Vg 1-2 (07) (Jan. 2007), pp. 12; 25-26, available at: &lt;http://usda.mannlib.cornell.edu/usda/nass/VegeSumm//2000s/2007/VegeSumm-01-26-2007.pdf&gt; </t>
    </r>
  </si>
  <si>
    <r>
      <t xml:space="preserve">United States Department of Agriculture, National Agricultural Statistics Service, </t>
    </r>
    <r>
      <rPr>
        <i/>
        <sz val="12"/>
        <color theme="1"/>
        <rFont val="Times New Roman"/>
        <family val="1"/>
      </rPr>
      <t>Vegetables 2007 Summary</t>
    </r>
    <r>
      <rPr>
        <sz val="12"/>
        <color theme="1"/>
        <rFont val="Times New Roman"/>
        <family val="1"/>
      </rPr>
      <t xml:space="preserve"> Vg 1-2 (08) (Jan. 2008), pp. 12; 25-26, available at: &lt;http://usda.mannlib.cornell.edu/usda/nass/VegeSumm//2000s/2008/VegeSumm-01-25-2008.pdf&gt; </t>
    </r>
  </si>
  <si>
    <r>
      <t xml:space="preserve">United States Department of Agriculture, National Agricultural Statistics Service, </t>
    </r>
    <r>
      <rPr>
        <i/>
        <sz val="12"/>
        <color theme="1"/>
        <rFont val="Times New Roman"/>
        <family val="1"/>
      </rPr>
      <t>Vegetables 2008 Summary</t>
    </r>
    <r>
      <rPr>
        <sz val="12"/>
        <color theme="1"/>
        <rFont val="Times New Roman"/>
        <family val="1"/>
      </rPr>
      <t xml:space="preserve"> Vg 1-2 (09) (Jan. 2009), pp. 12; 25-26, available at: &lt;http://usda.mannlib.cornell.edu/usda/nass/VegeSumm//2000s/2009/VegeSumm-01-28-2009.pdf&gt;  </t>
    </r>
  </si>
  <si>
    <r>
      <t xml:space="preserve">United States Department of Agriculture, National Agricultural Statistics Service, </t>
    </r>
    <r>
      <rPr>
        <i/>
        <sz val="12"/>
        <color theme="1"/>
        <rFont val="Times New Roman"/>
        <family val="1"/>
      </rPr>
      <t>Vegetables 2009 Summary</t>
    </r>
    <r>
      <rPr>
        <sz val="12"/>
        <color theme="1"/>
        <rFont val="Times New Roman"/>
        <family val="1"/>
      </rPr>
      <t xml:space="preserve"> Vg 1-2 (10) (Jan. 2010), pp. 12; 25-26, available at: &lt;http://usda.mannlib.cornell.edu/usda/nass/VegeSumm//2010s/2010/VegeSumm-01-27-2010.pdf&gt; </t>
    </r>
  </si>
  <si>
    <r>
      <t xml:space="preserve">United States Department of Agriculture, National Agricultural Statistics Service, </t>
    </r>
    <r>
      <rPr>
        <i/>
        <sz val="12"/>
        <color theme="1"/>
        <rFont val="Times New Roman"/>
        <family val="1"/>
      </rPr>
      <t>Vegetables 2010 Summary</t>
    </r>
    <r>
      <rPr>
        <sz val="12"/>
        <color theme="1"/>
        <rFont val="Times New Roman"/>
        <family val="1"/>
      </rPr>
      <t xml:space="preserve"> Vg 1-2 (11) (Jan. 2011), pp. 12; 25-26, available at: &lt;http://usda.mannlib.cornell.edu/usda/nass/VegeSumm//2010s/2011/VegeSumm-01-27-2011.pdf&gt;.  </t>
    </r>
    <r>
      <rPr>
        <i/>
        <sz val="12"/>
        <color theme="1"/>
        <rFont val="Times New Roman"/>
        <family val="1"/>
      </rPr>
      <t>See also</t>
    </r>
    <r>
      <rPr>
        <sz val="12"/>
        <color theme="1"/>
        <rFont val="Times New Roman"/>
        <family val="1"/>
      </rPr>
      <t xml:space="preserve"> United States Department of Agriculture, National Agricultural Statistics Service, </t>
    </r>
    <r>
      <rPr>
        <i/>
        <sz val="12"/>
        <color theme="1"/>
        <rFont val="Times New Roman"/>
        <family val="1"/>
      </rPr>
      <t>Vegetables 2010 Summary</t>
    </r>
    <r>
      <rPr>
        <sz val="12"/>
        <color theme="1"/>
        <rFont val="Times New Roman"/>
        <family val="1"/>
      </rPr>
      <t xml:space="preserve"> ISSN: 0884-6413 (Jan. 2011), pp. 16-17; 31-32, available at: &lt;http://usda.mannlib.cornell.edu/usda/nass/VegeSumm//2010s/2011/VegeSumm-01-27-2011_new_format.pdf&gt;  </t>
    </r>
  </si>
  <si>
    <r>
      <t xml:space="preserve">United States Department of Agriculture, National Agricultural Statistics Service, </t>
    </r>
    <r>
      <rPr>
        <i/>
        <sz val="12"/>
        <color theme="1"/>
        <rFont val="Times New Roman"/>
        <family val="1"/>
      </rPr>
      <t>Vegetables 2011 Summary</t>
    </r>
    <r>
      <rPr>
        <sz val="12"/>
        <color theme="1"/>
        <rFont val="Times New Roman"/>
        <family val="1"/>
      </rPr>
      <t xml:space="preserve"> ISSN: 0884-6413 (Jan. 2012), pp. 16-17; 31-32, available at: &lt;http://usda.mannlib.cornell.edu/usda/nass/VegeSumm//2010s/2012/VegeSumm-01-26-2012.pdf&gt; </t>
    </r>
  </si>
  <si>
    <r>
      <t xml:space="preserve">United States Department of Agriculture, National Agricultural Statistics Service, </t>
    </r>
    <r>
      <rPr>
        <i/>
        <sz val="12"/>
        <color theme="1"/>
        <rFont val="Times New Roman"/>
        <family val="1"/>
      </rPr>
      <t>Vegetables 2012 Summary</t>
    </r>
    <r>
      <rPr>
        <sz val="12"/>
        <color theme="1"/>
        <rFont val="Times New Roman"/>
        <family val="1"/>
      </rPr>
      <t xml:space="preserve"> ISSN: 0884-6413 (Jan. 2013), pp. 16-17; 31-32, available at: &lt;http://usda.mannlib.cornell.edu/usda/nass/VegeSumm//2010s/2013/VegeSumm-01-29-2013.pdf&gt; </t>
    </r>
  </si>
  <si>
    <r>
      <t xml:space="preserve">United States Department of Agriculture, National Agricultural Statistics Service, </t>
    </r>
    <r>
      <rPr>
        <i/>
        <sz val="12"/>
        <color theme="1"/>
        <rFont val="Times New Roman"/>
        <family val="1"/>
      </rPr>
      <t>Vegetables 2013 Summary</t>
    </r>
    <r>
      <rPr>
        <sz val="12"/>
        <color theme="1"/>
        <rFont val="Times New Roman"/>
        <family val="1"/>
      </rPr>
      <t xml:space="preserve"> ISSN: 0884-6413 (March 2014), pp. 16-17; 33-34, available at: &lt;http://usda.mannlib.cornell.edu/usda/nass/VegeSumm//2010s/2014/VegeSumm-03-27-2014.pdf&gt;  </t>
    </r>
  </si>
  <si>
    <r>
      <t xml:space="preserve">United States Department of Agriculture, National Agricultural Statistics Service, </t>
    </r>
    <r>
      <rPr>
        <i/>
        <sz val="12"/>
        <color theme="1"/>
        <rFont val="Times New Roman"/>
        <family val="1"/>
      </rPr>
      <t>Vegetables 2014 Summary</t>
    </r>
    <r>
      <rPr>
        <sz val="12"/>
        <color theme="1"/>
        <rFont val="Times New Roman"/>
        <family val="1"/>
      </rPr>
      <t xml:space="preserve"> ISSN: 0884-6413 (Jan. 2015), pp. 16-17; 33-34, available at: &lt;http://usda.mannlib.cornell.edu/usda/nass/VegeSumm//2010s/2015/VegeSumm-01-29-2015.pdf&gt; </t>
    </r>
  </si>
  <si>
    <r>
      <t xml:space="preserve">United States Department of Agriculture, National Agricultural Statistics Service, </t>
    </r>
    <r>
      <rPr>
        <i/>
        <sz val="12"/>
        <color theme="1"/>
        <rFont val="Times New Roman"/>
        <family val="1"/>
      </rPr>
      <t>Vegetables 2015 Summary</t>
    </r>
    <r>
      <rPr>
        <sz val="12"/>
        <color theme="1"/>
        <rFont val="Times New Roman"/>
        <family val="1"/>
      </rPr>
      <t xml:space="preserve"> ISSN: 0884-6413 (Feb. 2016), pp. 16-17; 33-34, available at: &lt;http://usda.mannlib.cornell.edu/usda/nass/VegeSumm//2010s/2015/VegeSumm-01-29-2015.pdf&gt; </t>
    </r>
  </si>
  <si>
    <r>
      <t xml:space="preserve">United States Department of Agriculture, National Agricultural Statistics Service, </t>
    </r>
    <r>
      <rPr>
        <i/>
        <sz val="12"/>
        <color theme="1"/>
        <rFont val="Times New Roman"/>
        <family val="1"/>
      </rPr>
      <t>Vegetables 2016 Summary</t>
    </r>
    <r>
      <rPr>
        <sz val="12"/>
        <color theme="1"/>
        <rFont val="Times New Roman"/>
        <family val="1"/>
      </rPr>
      <t xml:space="preserve"> ISSN: 0884-6413 (Feb. 2017), pp. 32; 69, available at: &lt;http://usda.mannlib.cornell.edu/usda/nass/VegeSumm//2010s/2017/VegeSumm-02-22-2017_revision.pdf&gt; </t>
    </r>
  </si>
  <si>
    <r>
      <t xml:space="preserve">United States Department of Agriculture, National Agricultural Statistics Service, Agricultural Statistics Board, </t>
    </r>
    <r>
      <rPr>
        <i/>
        <sz val="12"/>
        <color theme="1"/>
        <rFont val="Times New Roman"/>
        <family val="1"/>
      </rPr>
      <t>Potatoes 1996 Summary</t>
    </r>
    <r>
      <rPr>
        <sz val="12"/>
        <color theme="1"/>
        <rFont val="Times New Roman"/>
        <family val="1"/>
      </rPr>
      <t xml:space="preserve"> Pot 6 (97) (Sept. 1997), pp. 7; 9, available at: &lt;http://usda.mannlib.cornell.edu/usda/nass/Pota//1990s/1997/Pota-09-01-1997.pdf&gt; </t>
    </r>
  </si>
  <si>
    <r>
      <t xml:space="preserve">United States Department of Agriculture, National Agricultural Statistics Service, Agricultural Statistics Board, </t>
    </r>
    <r>
      <rPr>
        <i/>
        <sz val="12"/>
        <color theme="1"/>
        <rFont val="Times New Roman"/>
        <family val="1"/>
      </rPr>
      <t>Potatoes 1997 Summary</t>
    </r>
    <r>
      <rPr>
        <sz val="12"/>
        <color theme="1"/>
        <rFont val="Times New Roman"/>
        <family val="1"/>
      </rPr>
      <t xml:space="preserve"> Pot 6 (98) (Sept. 1998), available at: &lt;http://usda.mannlib.cornell.edu/usda/nass/Pota//1990s/1998/Pota-09-22-1998.txt&gt; </t>
    </r>
  </si>
  <si>
    <r>
      <t xml:space="preserve">United States Department of Agriculture, National Agricultural Statistics Service, Agricultural Statistics Board, </t>
    </r>
    <r>
      <rPr>
        <i/>
        <sz val="12"/>
        <color theme="1"/>
        <rFont val="Times New Roman"/>
        <family val="1"/>
      </rPr>
      <t>Potatoes 1998 Summary</t>
    </r>
    <r>
      <rPr>
        <sz val="12"/>
        <color theme="1"/>
        <rFont val="Times New Roman"/>
        <family val="1"/>
      </rPr>
      <t xml:space="preserve"> Pot 6 (99) (Sept. 1999), pp. 7; 9, available at: &lt;http://usda.mannlib.cornell.edu/usda/nass/Pota//1990s/1999/Pota-09-22-1999.pdf&gt; </t>
    </r>
  </si>
  <si>
    <r>
      <t xml:space="preserve">United States Department of Agriculture National Agricultural Statistics Service, Northeastern Regional Field Office (and the Pennsylvania Field Office), </t>
    </r>
    <r>
      <rPr>
        <i/>
        <sz val="12"/>
        <color theme="1"/>
        <rFont val="Times New Roman"/>
        <family val="1"/>
      </rPr>
      <t>Pennsylvania Agricultural Statistics 1998-99</t>
    </r>
    <r>
      <rPr>
        <sz val="12"/>
        <color theme="1"/>
        <rFont val="Times New Roman"/>
        <family val="1"/>
      </rPr>
      <t xml:space="preserve">, available at: &lt;https://www.nass.usda.gov/Statistics_by_State/Pennsylvania/Publications/Annual_Statistical_Bulletin/1998_1999/&gt; </t>
    </r>
  </si>
  <si>
    <r>
      <t>United States Department of Agriculture National Agricultural Statistics Service, Northeastern Regional Field Office (and the Pennsylvania Field Office),</t>
    </r>
    <r>
      <rPr>
        <sz val="11"/>
        <color theme="1"/>
        <rFont val="Calibri"/>
        <family val="2"/>
        <scheme val="minor"/>
      </rPr>
      <t xml:space="preserve"> </t>
    </r>
    <r>
      <rPr>
        <i/>
        <sz val="12"/>
        <color theme="1"/>
        <rFont val="Times New Roman"/>
        <family val="1"/>
      </rPr>
      <t>1998-99 Annual Statistical Summary-</t>
    </r>
    <r>
      <rPr>
        <i/>
        <sz val="11"/>
        <color theme="1"/>
        <rFont val="Calibri"/>
        <family val="2"/>
        <scheme val="minor"/>
      </rPr>
      <t xml:space="preserve"> </t>
    </r>
    <r>
      <rPr>
        <i/>
        <sz val="12"/>
        <color theme="1"/>
        <rFont val="Times New Roman"/>
        <family val="1"/>
      </rPr>
      <t>Pennsylvania: Potatoes - Acreage, Yield, Production &amp; Value, 1998</t>
    </r>
    <r>
      <rPr>
        <sz val="12"/>
        <color theme="1"/>
        <rFont val="Times New Roman"/>
        <family val="1"/>
      </rPr>
      <t xml:space="preserve">, p. 78, available at: &lt;https://www.nass.usda.gov/Statistics_by_State/Pennsylvania/Publications/Annual_Statistical_Bulletin/1998_1999/Page078.pdf&gt; </t>
    </r>
  </si>
  <si>
    <r>
      <t xml:space="preserve">United States Department of Agriculture National Agricultural Statistics Service, Northeastern Regional Field Office (and the Pennsylvania Field Office), </t>
    </r>
    <r>
      <rPr>
        <i/>
        <sz val="12"/>
        <color theme="1"/>
        <rFont val="Times New Roman"/>
        <family val="1"/>
      </rPr>
      <t>1998-99 Annual Statistical Summary-</t>
    </r>
    <r>
      <rPr>
        <i/>
        <sz val="11"/>
        <color theme="1"/>
        <rFont val="Calibri"/>
        <family val="2"/>
        <scheme val="minor"/>
      </rPr>
      <t xml:space="preserve"> </t>
    </r>
    <r>
      <rPr>
        <i/>
        <sz val="12"/>
        <color theme="1"/>
        <rFont val="Times New Roman"/>
        <family val="1"/>
      </rPr>
      <t>Pennsylvania: Potatoes - Acreage, Yield, Production, 1996-1997, Revised</t>
    </r>
    <r>
      <rPr>
        <sz val="12"/>
        <color theme="1"/>
        <rFont val="Times New Roman"/>
        <family val="1"/>
      </rPr>
      <t xml:space="preserve">, p. 79, available at: &lt;https://www.nass.usda.gov/Statistics_by_State/Pennsylvania/Publications/Annual_Statistical_Bulletin/1998_1999/PAGE079.PDF&gt; </t>
    </r>
  </si>
  <si>
    <r>
      <t>United States Department of Agriculture National Agricultural Statistics Service, Northeastern Regional Field Office (and the Pennsylvania Field Office),</t>
    </r>
    <r>
      <rPr>
        <sz val="11"/>
        <color theme="1"/>
        <rFont val="Calibri"/>
        <family val="2"/>
        <scheme val="minor"/>
      </rPr>
      <t xml:space="preserve"> </t>
    </r>
    <r>
      <rPr>
        <i/>
        <sz val="12"/>
        <color theme="1"/>
        <rFont val="Times New Roman"/>
        <family val="1"/>
      </rPr>
      <t>Pennsylvania Agricultural Statistics 2003-2004-</t>
    </r>
    <r>
      <rPr>
        <i/>
        <sz val="11"/>
        <color theme="1"/>
        <rFont val="Calibri"/>
        <family val="2"/>
        <scheme val="minor"/>
      </rPr>
      <t xml:space="preserve"> </t>
    </r>
    <r>
      <rPr>
        <i/>
        <sz val="12"/>
        <color theme="1"/>
        <rFont val="Times New Roman"/>
        <family val="1"/>
      </rPr>
      <t>Pennsylvania: Potatoes - Acreage, Yield, and Production, 1999-1998, Revised and Pennsylvania: Potatoes - Acreage, Yield, and Production, 2002-2000, Revised</t>
    </r>
    <r>
      <rPr>
        <sz val="12"/>
        <color theme="1"/>
        <rFont val="Times New Roman"/>
        <family val="1"/>
      </rPr>
      <t xml:space="preserve">, available at: &lt;https://www.nass.usda.gov/Statistics_by_State/Pennsylvania/Publications/Annual_Statistical_Bulletin/2003_2004/potato02-98.pdf&gt; </t>
    </r>
  </si>
  <si>
    <r>
      <t xml:space="preserve">United States Department of Agriculture National Agricultural Statistics Service, Northeastern Regional Field Office (and the Pennsylvania Field Office), </t>
    </r>
    <r>
      <rPr>
        <i/>
        <sz val="12"/>
        <color theme="1"/>
        <rFont val="Times New Roman"/>
        <family val="1"/>
      </rPr>
      <t>Pennsylvania Agricultural Statistics 2003-2004-Pennsylvania: Potatoes - Acreage, Yield, Production and Value, 2003</t>
    </r>
    <r>
      <rPr>
        <sz val="12"/>
        <color theme="1"/>
        <rFont val="Times New Roman"/>
        <family val="1"/>
      </rPr>
      <t xml:space="preserve">, available at: &lt;https://www.nass.usda.gov/Statistics_by_State/Pennsylvania/Publications/Annual_Statistical_Bulletin/2003_2004/potato03.pdf&gt; </t>
    </r>
  </si>
  <si>
    <r>
      <t xml:space="preserve">United States Department of Agriculture National Agricultural Statistics Service, Pennsylvania Office, </t>
    </r>
    <r>
      <rPr>
        <i/>
        <sz val="12"/>
        <color theme="1"/>
        <rFont val="Times New Roman"/>
        <family val="1"/>
      </rPr>
      <t>Pennsylvania Agricultural Statistics 2009-2010-Pennsylvania: Potatoes – Acreage, Yield, Production and Value, 2008 and -Pennsylvania: Potatoes – Acreage, Yield, Production and Value 2009</t>
    </r>
    <r>
      <rPr>
        <sz val="12"/>
        <color theme="1"/>
        <rFont val="Times New Roman"/>
        <family val="1"/>
      </rPr>
      <t xml:space="preserve">, p. 48, available at: &lt;https://www.nass.usda.gov/Statistics_by_State/Pennsylvania/Publications/Annual_Statistical_Bulletin/2009_2010/potato_coes09.pdf&gt;  </t>
    </r>
  </si>
  <si>
    <r>
      <t xml:space="preserve">United States Department of Agriculture National Agricultural Statistics Service, Pennsylvania Office, </t>
    </r>
    <r>
      <rPr>
        <i/>
        <sz val="12"/>
        <color theme="1"/>
        <rFont val="Times New Roman"/>
        <family val="1"/>
      </rPr>
      <t>Pennsylvania Agricultural Statistics 2010-2011-Pennsylvania: Potatoes – Acreage, Yield, Production and Value 2009 and -Pennsylvania: Potatoes – Acreage, Yield, Production and Value 2010</t>
    </r>
    <r>
      <rPr>
        <sz val="12"/>
        <color theme="1"/>
        <rFont val="Times New Roman"/>
        <family val="1"/>
      </rPr>
      <t xml:space="preserve">, p. 48, available at: &lt;https://www.nass.usda.gov/Statistics_by_State/Pennsylvania/Publications/Annual_Statistical_Bulletin/2010_2011/potato_coes10.pdf&gt; </t>
    </r>
  </si>
  <si>
    <r>
      <t xml:space="preserve">United States Department of Agriculture National Agricultural Statistics Service, Pennsylvania Office, </t>
    </r>
    <r>
      <rPr>
        <i/>
        <sz val="12"/>
        <color theme="1"/>
        <rFont val="Times New Roman"/>
        <family val="1"/>
      </rPr>
      <t>Pennsylvania Agricultural Statistics 2013-2014-Pennsylvania: Potatoes – Acreage, Yield, Production and Value 2011 and -Pennsylvania: Potatoes – Acreage, Yield, Production and Value 2012</t>
    </r>
    <r>
      <rPr>
        <sz val="12"/>
        <color theme="1"/>
        <rFont val="Times New Roman"/>
        <family val="1"/>
      </rPr>
      <t xml:space="preserve">, p. 48, available at: &lt;https://www.nass.usda.gov/Statistics_by_State/Pennsylvania/Publications/Annual_Statistical_Bulletin/2013_2014/potato_2011_2012.pdf&gt; </t>
    </r>
  </si>
  <si>
    <r>
      <t xml:space="preserve">United States Department of Agriculture National Agricultural Statistics Service, Pennsylvania Field Office, </t>
    </r>
    <r>
      <rPr>
        <i/>
        <sz val="12"/>
        <color theme="1"/>
        <rFont val="Times New Roman"/>
        <family val="1"/>
      </rPr>
      <t>Pennsylvania Agricultural Statistics 2008-2009 Includes 5-year county revisions</t>
    </r>
    <r>
      <rPr>
        <sz val="12"/>
        <color theme="1"/>
        <rFont val="Times New Roman"/>
        <family val="1"/>
      </rPr>
      <t xml:space="preserve"> (Oct. 2009), pp. 3; 78, available at: &lt;https://www.nass.usda.gov/Statistics_by_State/Pennsylvania/Publications/Annual_Statistical_Bulletin/2008_2009/PA%2008-09.pdf&gt; </t>
    </r>
  </si>
  <si>
    <r>
      <t xml:space="preserve">United States Department of Agriculture National Agricultural Statistics Service, Pennsylvania Field Office, </t>
    </r>
    <r>
      <rPr>
        <i/>
        <sz val="12"/>
        <color theme="1"/>
        <rFont val="Times New Roman"/>
        <family val="1"/>
      </rPr>
      <t>Pennsylvania Agricultural Statistics 2009-2010 Includes 5-year county revisions</t>
    </r>
    <r>
      <rPr>
        <sz val="12"/>
        <color theme="1"/>
        <rFont val="Times New Roman"/>
        <family val="1"/>
      </rPr>
      <t xml:space="preserve"> (Oct. 2010), pp. 47-48, available at: &lt;https://www.nass.usda.gov/Statistics_by_State/Pennsylvania/Publications/Annual_Statistical_Bulletin/2009_2010/PA%2009-10%20new.pdf&gt; </t>
    </r>
  </si>
  <si>
    <r>
      <t xml:space="preserve">United States Department of Agriculture National Agricultural Statistics Service, Pennsylvania Field Office, </t>
    </r>
    <r>
      <rPr>
        <i/>
        <sz val="12"/>
        <color theme="1"/>
        <rFont val="Times New Roman"/>
        <family val="1"/>
      </rPr>
      <t>Pennsylvania Agricultural Statistics 2011-2012</t>
    </r>
    <r>
      <rPr>
        <sz val="12"/>
        <color theme="1"/>
        <rFont val="Times New Roman"/>
        <family val="1"/>
      </rPr>
      <t xml:space="preserve"> (Oct. 2012), pp. 47-48, available at: &lt;https://www.nass.usda.gov/Statistics_by_State/Pennsylvania/Publications/Annual_Statistical_Bulletin/2011_2012/pa_2012bulletin_withletter.pdf&gt; </t>
    </r>
  </si>
  <si>
    <r>
      <t>United States Department of Agriculture National Agricultural Statistics Service,</t>
    </r>
    <r>
      <rPr>
        <sz val="11"/>
        <color theme="1"/>
        <rFont val="Calibri"/>
        <family val="2"/>
        <scheme val="minor"/>
      </rPr>
      <t xml:space="preserve"> </t>
    </r>
    <r>
      <rPr>
        <sz val="12"/>
        <color theme="1"/>
        <rFont val="Times New Roman"/>
        <family val="1"/>
      </rPr>
      <t xml:space="preserve">Pennsylvania Field Office, </t>
    </r>
    <r>
      <rPr>
        <i/>
        <sz val="12"/>
        <color theme="1"/>
        <rFont val="Times New Roman"/>
        <family val="1"/>
      </rPr>
      <t xml:space="preserve">Pennsylvania Agricultural Statistics Annual Bulletin-2014-2015, </t>
    </r>
    <r>
      <rPr>
        <sz val="12"/>
        <color theme="1"/>
        <rFont val="Times New Roman"/>
        <family val="1"/>
      </rPr>
      <t xml:space="preserve">p. 15, available at: &lt;https://www.nass.usda.gov/Statistics_by_State/Pennsylvania/Publications/Annual_Statistical_Bulletin/2014_2015/2014-2015%20PA%20Annual%20Bulletin.pdf&gt; </t>
    </r>
  </si>
  <si>
    <r>
      <t>United States Department of Agriculture National Agricultural Statistics Service,</t>
    </r>
    <r>
      <rPr>
        <sz val="11"/>
        <color theme="1"/>
        <rFont val="Calibri"/>
        <family val="2"/>
        <scheme val="minor"/>
      </rPr>
      <t xml:space="preserve"> </t>
    </r>
    <r>
      <rPr>
        <sz val="12"/>
        <color theme="1"/>
        <rFont val="Times New Roman"/>
        <family val="1"/>
      </rPr>
      <t xml:space="preserve">Pennsylvania Field Office, </t>
    </r>
    <r>
      <rPr>
        <i/>
        <sz val="12"/>
        <color theme="1"/>
        <rFont val="Times New Roman"/>
        <family val="1"/>
      </rPr>
      <t xml:space="preserve">Pennsylvania Agricultural Statistics Annual Bulletin-2015-2016, </t>
    </r>
    <r>
      <rPr>
        <sz val="12"/>
        <color theme="1"/>
        <rFont val="Times New Roman"/>
        <family val="1"/>
      </rPr>
      <t xml:space="preserve">at p. 15, available at: &lt;https://www.nass.usda.gov/Statistics_by_State/Pennsylvania/Publications/Annual_Statistical_Bulletin/2015_2016/2015-2016%20PA%20Annual%20Bulletin.pdf&gt; </t>
    </r>
  </si>
  <si>
    <r>
      <t xml:space="preserve">United States Department of Agriculture, National Agricultural Statistics Service, Agricultural Statistics Board, </t>
    </r>
    <r>
      <rPr>
        <i/>
        <sz val="12"/>
        <color theme="1"/>
        <rFont val="Times New Roman"/>
        <family val="1"/>
      </rPr>
      <t>Potatoes 1999 Summary</t>
    </r>
    <r>
      <rPr>
        <sz val="12"/>
        <color theme="1"/>
        <rFont val="Times New Roman"/>
        <family val="1"/>
      </rPr>
      <t xml:space="preserve"> Pot 6 (00)a (Sept. 2000), pp. 7; 9, available at: &lt;http://usda.mannlib.cornell.edu/usda/nass/Pota//2000s/2000/Pota-09-21-2000.pdf&gt; </t>
    </r>
  </si>
  <si>
    <r>
      <t xml:space="preserve">United States Department of Agriculture, National Agricultural Statistics Service, Agricultural Statistics Board, </t>
    </r>
    <r>
      <rPr>
        <i/>
        <sz val="12"/>
        <color theme="1"/>
        <rFont val="Times New Roman"/>
        <family val="1"/>
      </rPr>
      <t>Potatoes 2000 Summary</t>
    </r>
    <r>
      <rPr>
        <sz val="12"/>
        <color theme="1"/>
        <rFont val="Times New Roman"/>
        <family val="1"/>
      </rPr>
      <t xml:space="preserve"> Pot 6 (01)a (Sept. 2001), pp. 7; 9, available at: &lt;http://usda.mannlib.cornell.edu/usda/nass/Pota//2000s/2001/Pota-09-20-2001.pdf&gt; </t>
    </r>
  </si>
  <si>
    <r>
      <t xml:space="preserve">United States Department of Agriculture, National Agricultural Statistics Service, Agricultural Statistics Board, </t>
    </r>
    <r>
      <rPr>
        <i/>
        <sz val="12"/>
        <color theme="1"/>
        <rFont val="Times New Roman"/>
        <family val="1"/>
      </rPr>
      <t>Potatoes 2001 Summary</t>
    </r>
    <r>
      <rPr>
        <sz val="12"/>
        <color theme="1"/>
        <rFont val="Times New Roman"/>
        <family val="1"/>
      </rPr>
      <t xml:space="preserve"> Pot 6 (02) (Sept. 2002), pp. 7; 9, available at: &lt;http://usda.mannlib.cornell.edu/usda/nass/Pota//2000s/2002/Pota-09-19-2002.pdf&gt; </t>
    </r>
  </si>
  <si>
    <r>
      <t xml:space="preserve">United States Department of Agriculture, National Agricultural Statistics Service, Agricultural Statistics Board, </t>
    </r>
    <r>
      <rPr>
        <i/>
        <sz val="12"/>
        <color theme="1"/>
        <rFont val="Times New Roman"/>
        <family val="1"/>
      </rPr>
      <t>Potatoes 2002 Summary</t>
    </r>
    <r>
      <rPr>
        <sz val="12"/>
        <color theme="1"/>
        <rFont val="Times New Roman"/>
        <family val="1"/>
      </rPr>
      <t xml:space="preserve"> Pot 6 (03) (Sept. 2003), pp. 7; 9, available at: &lt;http://usda.mannlib.cornell.edu/usda/nass/Pota//2000s/2003/Pota-09-18-2003.pdf&gt; </t>
    </r>
  </si>
  <si>
    <r>
      <t xml:space="preserve">United States Department of Agriculture, National Agricultural Statistics Service, Agricultural Statistics Board, </t>
    </r>
    <r>
      <rPr>
        <i/>
        <sz val="12"/>
        <color theme="1"/>
        <rFont val="Times New Roman"/>
        <family val="1"/>
      </rPr>
      <t>Potatoes 2003 Summary</t>
    </r>
    <r>
      <rPr>
        <sz val="12"/>
        <color theme="1"/>
        <rFont val="Times New Roman"/>
        <family val="1"/>
      </rPr>
      <t xml:space="preserve"> Pot 6 (04) (Sept. 2004), pp. 7; 9, available at: &lt;http://usda.mannlib.cornell.edu/usda/nass/Pota//2000s/2004/Pota-09-23-2004.pdf&gt; </t>
    </r>
  </si>
  <si>
    <r>
      <t xml:space="preserve">United States Department of Agriculture, National Agricultural Statistics Service, Agricultural Statistics Board, </t>
    </r>
    <r>
      <rPr>
        <i/>
        <sz val="12"/>
        <color theme="1"/>
        <rFont val="Times New Roman"/>
        <family val="1"/>
      </rPr>
      <t>Potatoes 2004 Summary</t>
    </r>
    <r>
      <rPr>
        <sz val="12"/>
        <color theme="1"/>
        <rFont val="Times New Roman"/>
        <family val="1"/>
      </rPr>
      <t xml:space="preserve"> Pot 6 (05)a (Sept. 2005), pp. 7; 9, available at: &lt;http://usda.mannlib.cornell.edu/usda/nass/Pota//2000s/2005/Pota-09-22-2005.pdf&gt; </t>
    </r>
  </si>
  <si>
    <r>
      <t xml:space="preserve">United States Department of Agriculture, National Agricultural Statistics Service, Agricultural Statistics Board, </t>
    </r>
    <r>
      <rPr>
        <i/>
        <sz val="12"/>
        <color theme="1"/>
        <rFont val="Times New Roman"/>
        <family val="1"/>
      </rPr>
      <t>Potatoes 2005 Summary</t>
    </r>
    <r>
      <rPr>
        <sz val="12"/>
        <color theme="1"/>
        <rFont val="Times New Roman"/>
        <family val="1"/>
      </rPr>
      <t xml:space="preserve"> Pot 6 (06) (Sept. 2006), pp. 7; 9, available at: &lt;http://usda.mannlib.cornell.edu/usda/nass/Pota//2000s/2006/Pota-09-21-2006.pdf&gt;  </t>
    </r>
  </si>
  <si>
    <r>
      <t xml:space="preserve">United States Department of Agriculture, National Agricultural Statistics Service, Agricultural Statistics Board, </t>
    </r>
    <r>
      <rPr>
        <i/>
        <sz val="12"/>
        <color theme="1"/>
        <rFont val="Times New Roman"/>
        <family val="1"/>
      </rPr>
      <t>Potatoes 2006 Summary</t>
    </r>
    <r>
      <rPr>
        <sz val="12"/>
        <color theme="1"/>
        <rFont val="Times New Roman"/>
        <family val="1"/>
      </rPr>
      <t xml:space="preserve"> Pot 6 (07) (Sept. 2007), pp. 7; 9, available at: &lt;http://usda.mannlib.cornell.edu/usda/nass/Pota//2000s/2007/Pota-09-20-2007.pdf&gt; </t>
    </r>
  </si>
  <si>
    <r>
      <t xml:space="preserve">United States Department of Agriculture, National Agricultural Statistics Service, Agricultural Statistics Board, </t>
    </r>
    <r>
      <rPr>
        <i/>
        <sz val="12"/>
        <color theme="1"/>
        <rFont val="Times New Roman"/>
        <family val="1"/>
      </rPr>
      <t>Potatoes 2007 Summary</t>
    </r>
    <r>
      <rPr>
        <sz val="12"/>
        <color theme="1"/>
        <rFont val="Times New Roman"/>
        <family val="1"/>
      </rPr>
      <t xml:space="preserve"> Pot 6 (08) (Sept. 2008), pp. 7; 9, available at: &lt;http://usda.mannlib.cornell.edu/usda/nass/Pota//2000s/2008/Pota-09-25-2008.pdf&gt; </t>
    </r>
  </si>
  <si>
    <r>
      <t xml:space="preserve">United States Department of Agriculture, National Agricultural Statistics Service, Agricultural Statistics Board, </t>
    </r>
    <r>
      <rPr>
        <i/>
        <sz val="12"/>
        <color theme="1"/>
        <rFont val="Times New Roman"/>
        <family val="1"/>
      </rPr>
      <t>Potatoes 2008 Summary</t>
    </r>
    <r>
      <rPr>
        <sz val="12"/>
        <color theme="1"/>
        <rFont val="Times New Roman"/>
        <family val="1"/>
      </rPr>
      <t xml:space="preserve"> Pot 6 (09) (Sept. 2009), pp. 7; 9, available at: &lt;http://usda.mannlib.cornell.edu/usda/nass/Pota//2000s/2009/Pota-09-24-2009.pdf&gt; </t>
    </r>
  </si>
  <si>
    <r>
      <t xml:space="preserve">United States Department of Agriculture, National Agricultural Statistics Service, Agricultural Statistics Board, </t>
    </r>
    <r>
      <rPr>
        <i/>
        <sz val="12"/>
        <color theme="1"/>
        <rFont val="Times New Roman"/>
        <family val="1"/>
      </rPr>
      <t>Potatoes 2009 Summary</t>
    </r>
    <r>
      <rPr>
        <sz val="12"/>
        <color theme="1"/>
        <rFont val="Times New Roman"/>
        <family val="1"/>
      </rPr>
      <t xml:space="preserve"> Pot 6 (10) (Sept. 2010), pp. 7; 9, available at: &lt;http://usda.mannlib.cornell.edu/usda/nass/Pota//2010s/2010/Pota-09-23-2010.pdf&gt; </t>
    </r>
  </si>
  <si>
    <r>
      <t xml:space="preserve">United States Department of Agriculture, National Agricultural Statistics Service, Agricultural Statistics Board, </t>
    </r>
    <r>
      <rPr>
        <i/>
        <sz val="12"/>
        <color theme="1"/>
        <rFont val="Times New Roman"/>
        <family val="1"/>
      </rPr>
      <t>Potatoes 2010 Summary</t>
    </r>
    <r>
      <rPr>
        <sz val="12"/>
        <color theme="1"/>
        <rFont val="Times New Roman"/>
        <family val="1"/>
      </rPr>
      <t xml:space="preserve"> ISSN: 1949-1514 (Sept. 2011), pp. 9; 11, available at: &lt;http://usda.mannlib.cornell.edu/usda/nass/Pota//2010s/2011/Pota-09-22-2011.pdf&gt; </t>
    </r>
  </si>
  <si>
    <r>
      <t xml:space="preserve">United States Department of Agriculture, National Agricultural Statistics Service, Agricultural Statistics Board, </t>
    </r>
    <r>
      <rPr>
        <i/>
        <sz val="12"/>
        <color theme="1"/>
        <rFont val="Times New Roman"/>
        <family val="1"/>
      </rPr>
      <t>Potatoes 2011 Summary</t>
    </r>
    <r>
      <rPr>
        <sz val="12"/>
        <color theme="1"/>
        <rFont val="Times New Roman"/>
        <family val="1"/>
      </rPr>
      <t xml:space="preserve"> ISSN: 1949-1514 (Sept. 2012), pp. 9; 11, available at: &lt;http://usda.mannlib.cornell.edu/usda/nass/Pota//2010s/2012/Pota-09-20-2012.pdf&gt; </t>
    </r>
  </si>
  <si>
    <r>
      <t xml:space="preserve">United States Department of Agriculture, National Agricultural Statistics Service, Agricultural Statistics Board, </t>
    </r>
    <r>
      <rPr>
        <i/>
        <sz val="12"/>
        <color theme="1"/>
        <rFont val="Times New Roman"/>
        <family val="1"/>
      </rPr>
      <t>Potatoes 2012 Summary</t>
    </r>
    <r>
      <rPr>
        <sz val="12"/>
        <color theme="1"/>
        <rFont val="Times New Roman"/>
        <family val="1"/>
      </rPr>
      <t xml:space="preserve"> ISSN: 1949-1514 (Sept. 2013), pp. 9; 11, available at: &lt;http://usda.mannlib.cornell.edu/usda/nass/Pota//2010s/2013/Pota-09-19-2013.pdf&gt; </t>
    </r>
  </si>
  <si>
    <r>
      <t xml:space="preserve">United States Department of Agriculture, National Agricultural Statistics Service, Agricultural Statistics Board, </t>
    </r>
    <r>
      <rPr>
        <i/>
        <sz val="12"/>
        <color theme="1"/>
        <rFont val="Times New Roman"/>
        <family val="1"/>
      </rPr>
      <t>Potatoes 2013 Summary</t>
    </r>
    <r>
      <rPr>
        <sz val="12"/>
        <color theme="1"/>
        <rFont val="Times New Roman"/>
        <family val="1"/>
      </rPr>
      <t xml:space="preserve"> ISSN: 1949-1514 (Sept. 2014), pp. 9; 11, available at: &lt;http://usda.mannlib.cornell.edu/usda/nass/Pota//2010s/2014/Pota-09-18-2014.pdf&gt; </t>
    </r>
  </si>
  <si>
    <r>
      <t xml:space="preserve">United States Department of Agriculture, National Agricultural Statistics Service, Agricultural Statistics Board, </t>
    </r>
    <r>
      <rPr>
        <i/>
        <sz val="12"/>
        <color theme="1"/>
        <rFont val="Times New Roman"/>
        <family val="1"/>
      </rPr>
      <t>Potatoes 2014 Summary</t>
    </r>
    <r>
      <rPr>
        <sz val="12"/>
        <color theme="1"/>
        <rFont val="Times New Roman"/>
        <family val="1"/>
      </rPr>
      <t xml:space="preserve"> ISSN: 1949-1514 (Sept. 2015), pp. 9; 11, available at: &lt;http://usda.mannlib.cornell.edu/usda/nass/Pota//2010s/2015/Pota-09-17-2015.pdf&gt; </t>
    </r>
  </si>
  <si>
    <r>
      <t xml:space="preserve">United States Department of Agriculture, National Agricultural Statistics Service, Agricultural Statistics Board, </t>
    </r>
    <r>
      <rPr>
        <i/>
        <sz val="12"/>
        <color theme="1"/>
        <rFont val="Times New Roman"/>
        <family val="1"/>
      </rPr>
      <t>Potatoes 2015 Summary</t>
    </r>
    <r>
      <rPr>
        <sz val="12"/>
        <color theme="1"/>
        <rFont val="Times New Roman"/>
        <family val="1"/>
      </rPr>
      <t xml:space="preserve"> ISSN: 1949-1514 (Sept. 2016), pp. 9; 11, available at: &lt;http://usda.mannlib.cornell.edu/usda/nass/Pota//2010s/2016/Pota-09-15-2016.pdf&gt; </t>
    </r>
  </si>
  <si>
    <t>LOST CROP REVENUES FOR 1996-2016 FROM INABILITY TO USE A PORTION OF THE HOMESTEAD TRACT OF THE BRACE FARM RANGE FROM $582,851.50 TO $1,430,338, DEPENDING ON THE CROP THAT WOULD HAVE BEEN GROWN AND HARVESTED ON THAT TRACT DURING THOSE YEARS</t>
  </si>
  <si>
    <t>LOST CROP REVENUES FOR 1996-2016 FROM INABILITY TO USE A PORTION OF THE MARSH TRACT OF THE BRACE FARM RANGE FROM $832,645 TO $2,043,340 DEPENDING ON THE CROP THAT WOULD HAVE BEEN GROWN AND HARVESTED ON THAT TRACT DURING THOSE YEARS</t>
  </si>
  <si>
    <t>LOST CROP REVENUES FOR 1996-2016 FROM INABILITY TO USE A PORTION OF THE MURPHY TRACT OF THE BRACE FARM RANGE FROM $1,353,048.13 TO $4,380,551.75, DEPENDING ON THE CROP THAT WOULD HAVE BEEN GROWN AND HARVESTED ON THAT TRACT DURING THOSE YEARS</t>
  </si>
  <si>
    <r>
      <t xml:space="preserve">The Total Amount of Claimant(s)' FTCA Claims For </t>
    </r>
    <r>
      <rPr>
        <b/>
        <sz val="12"/>
        <color theme="1"/>
        <rFont val="Calibri"/>
        <family val="2"/>
        <scheme val="minor"/>
      </rPr>
      <t>Personal Property Damage</t>
    </r>
    <r>
      <rPr>
        <sz val="12"/>
        <color theme="1"/>
        <rFont val="Calibri"/>
        <family val="2"/>
        <scheme val="minor"/>
      </rPr>
      <t xml:space="preserve"> Filed Against the EPA, Corps &amp; FWS is </t>
    </r>
    <r>
      <rPr>
        <b/>
        <sz val="12"/>
        <color theme="1"/>
        <rFont val="Calibri"/>
        <family val="2"/>
        <scheme val="minor"/>
      </rPr>
      <t>$7,854,229.75</t>
    </r>
    <r>
      <rPr>
        <sz val="12"/>
        <color theme="1"/>
        <rFont val="Calibri"/>
        <family val="2"/>
        <scheme val="minor"/>
      </rPr>
      <t xml:space="preserve">.    </t>
    </r>
  </si>
  <si>
    <r>
      <t xml:space="preserve">The Total Amount of Claimant(s)' FTCA Claims for </t>
    </r>
    <r>
      <rPr>
        <b/>
        <sz val="12"/>
        <color theme="1"/>
        <rFont val="Calibri"/>
        <family val="2"/>
        <scheme val="minor"/>
      </rPr>
      <t>Real Property Damage</t>
    </r>
    <r>
      <rPr>
        <sz val="12"/>
        <color theme="1"/>
        <rFont val="Calibri"/>
        <family val="2"/>
        <scheme val="minor"/>
      </rPr>
      <t xml:space="preserve"> Filed Against the EPA, Corps and FWS is:  </t>
    </r>
    <r>
      <rPr>
        <b/>
        <sz val="12"/>
        <color theme="1"/>
        <rFont val="Calibri"/>
        <family val="2"/>
        <scheme val="minor"/>
      </rPr>
      <t>$217,003.</t>
    </r>
    <r>
      <rPr>
        <sz val="12"/>
        <color theme="1"/>
        <rFont val="Calibri"/>
        <family val="2"/>
        <scheme val="minor"/>
      </rPr>
      <t xml:space="preserve"> </t>
    </r>
  </si>
  <si>
    <t>Finding #4:</t>
  </si>
  <si>
    <r>
      <t xml:space="preserve">United States Department of Agriculture, Economics, Statistics and Market Information System, </t>
    </r>
    <r>
      <rPr>
        <i/>
        <sz val="12"/>
        <color theme="1"/>
        <rFont val="Times New Roman"/>
        <family val="1"/>
      </rPr>
      <t>Potatoes Annual Summary</t>
    </r>
    <r>
      <rPr>
        <sz val="12"/>
        <color theme="1"/>
        <rFont val="Times New Roman"/>
        <family val="1"/>
      </rPr>
      <t>, National Agricultural Statistics Service, available at: &lt;http://usda.mannlib.cornell.edu/MannUsda/viewDocumentInfo.do?documentID=1123&gt;</t>
    </r>
  </si>
  <si>
    <r>
      <t xml:space="preserve">The Total Amount of Claimaint(s)' FTCA Claims for </t>
    </r>
    <r>
      <rPr>
        <b/>
        <sz val="12"/>
        <color theme="1"/>
        <rFont val="Calibri"/>
        <family val="2"/>
        <scheme val="minor"/>
      </rPr>
      <t xml:space="preserve">Real Property </t>
    </r>
    <r>
      <rPr>
        <b/>
        <u/>
        <sz val="12"/>
        <color theme="1"/>
        <rFont val="Calibri"/>
        <family val="2"/>
        <scheme val="minor"/>
      </rPr>
      <t>and</t>
    </r>
    <r>
      <rPr>
        <b/>
        <sz val="12"/>
        <color theme="1"/>
        <rFont val="Calibri"/>
        <family val="2"/>
        <scheme val="minor"/>
      </rPr>
      <t xml:space="preserve"> Personal Property Damage</t>
    </r>
    <r>
      <rPr>
        <sz val="12"/>
        <color theme="1"/>
        <rFont val="Calibri"/>
        <family val="2"/>
        <scheme val="minor"/>
      </rPr>
      <t xml:space="preserve"> Filed Against the EPA, Corps &amp; FWS is: </t>
    </r>
    <r>
      <rPr>
        <b/>
        <u/>
        <sz val="12"/>
        <color theme="1"/>
        <rFont val="Calibri"/>
        <family val="2"/>
        <scheme val="minor"/>
      </rPr>
      <t>$8,071,232.75</t>
    </r>
    <r>
      <rPr>
        <sz val="12"/>
        <color theme="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</si>
</sst>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22" x14ac:knownFonts="1">
    <font>
      <sz val="11"/>
      <color theme="1"/>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b/>
      <sz val="11"/>
      <color theme="1"/>
      <name val="Calibri"/>
      <family val="2"/>
      <scheme val="minor"/>
    </font>
    <font>
      <sz val="12"/>
      <color theme="1"/>
      <name val="Calibri"/>
      <family val="2"/>
      <scheme val="minor"/>
    </font>
    <font>
      <b/>
      <u/>
      <sz val="11"/>
      <color theme="1"/>
      <name val="Calibri"/>
      <family val="2"/>
      <scheme val="minor"/>
    </font>
    <font>
      <i/>
      <sz val="11"/>
      <color theme="1"/>
      <name val="Calibri"/>
      <family val="2"/>
      <scheme val="minor"/>
    </font>
    <font>
      <u/>
      <sz val="11"/>
      <color theme="1"/>
      <name val="Calibri"/>
      <family val="2"/>
      <scheme val="minor"/>
    </font>
    <font>
      <b/>
      <i/>
      <sz val="11"/>
      <color theme="1"/>
      <name val="Calibri"/>
      <family val="2"/>
      <scheme val="minor"/>
    </font>
    <font>
      <b/>
      <i/>
      <u/>
      <sz val="11"/>
      <color theme="1"/>
      <name val="Calibri"/>
      <family val="2"/>
      <scheme val="minor"/>
    </font>
    <font>
      <b/>
      <sz val="12"/>
      <color theme="1"/>
      <name val="Calibri"/>
      <family val="2"/>
      <scheme val="minor"/>
    </font>
    <font>
      <b/>
      <sz val="16"/>
      <color theme="1"/>
      <name val="Calibri"/>
      <family val="2"/>
      <scheme val="minor"/>
    </font>
    <font>
      <b/>
      <u/>
      <sz val="12"/>
      <color theme="1"/>
      <name val="Calibri"/>
      <family val="2"/>
      <scheme val="minor"/>
    </font>
    <font>
      <sz val="12"/>
      <color rgb="FF006100"/>
      <name val="Calibri"/>
      <family val="2"/>
      <scheme val="minor"/>
    </font>
    <font>
      <b/>
      <sz val="12"/>
      <color rgb="FF006100"/>
      <name val="Calibri"/>
      <family val="2"/>
      <scheme val="minor"/>
    </font>
    <font>
      <sz val="12"/>
      <color rgb="FF9C5700"/>
      <name val="Calibri"/>
      <family val="2"/>
      <scheme val="minor"/>
    </font>
    <font>
      <b/>
      <sz val="11"/>
      <color rgb="FF9C0006"/>
      <name val="Calibri"/>
      <family val="2"/>
      <scheme val="minor"/>
    </font>
    <font>
      <b/>
      <sz val="12"/>
      <color rgb="FF9C5700"/>
      <name val="Calibri"/>
      <family val="2"/>
      <scheme val="minor"/>
    </font>
    <font>
      <i/>
      <sz val="12"/>
      <color theme="1"/>
      <name val="Times New Roman"/>
      <family val="1"/>
    </font>
    <font>
      <sz val="12"/>
      <color theme="1"/>
      <name val="Times New Roman"/>
      <family val="1"/>
    </font>
    <font>
      <b/>
      <u/>
      <sz val="16"/>
      <color theme="1"/>
      <name val="Calibri"/>
      <family val="2"/>
      <scheme val="minor"/>
    </font>
  </fonts>
  <fills count="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000"/>
        <bgColor indexed="64"/>
      </patternFill>
    </fill>
    <fill>
      <patternFill patternType="solid">
        <fgColor theme="8" tint="0.59999389629810485"/>
        <bgColor indexed="64"/>
      </patternFill>
    </fill>
    <fill>
      <patternFill patternType="solid">
        <fgColor theme="0"/>
        <bgColor indexed="64"/>
      </patternFill>
    </fill>
  </fills>
  <borders count="1">
    <border>
      <left/>
      <right/>
      <top/>
      <bottom/>
      <diagonal/>
    </border>
  </borders>
  <cellStyleXfs count="4">
    <xf numFmtId="0" fontId="0" fillId="0" borderId="0"/>
    <xf numFmtId="0" fontId="1" fillId="2" borderId="0" applyNumberFormat="0" applyBorder="0" applyAlignment="0" applyProtection="0"/>
    <xf numFmtId="0" fontId="2" fillId="3" borderId="0" applyNumberFormat="0" applyBorder="0" applyAlignment="0" applyProtection="0"/>
    <xf numFmtId="0" fontId="3" fillId="4" borderId="0" applyNumberFormat="0" applyBorder="0" applyAlignment="0" applyProtection="0"/>
  </cellStyleXfs>
  <cellXfs count="75">
    <xf numFmtId="0" fontId="0" fillId="0" borderId="0" xfId="0"/>
    <xf numFmtId="0" fontId="5" fillId="0" borderId="0" xfId="0" applyFont="1"/>
    <xf numFmtId="0" fontId="6" fillId="0" borderId="0" xfId="0" applyFont="1"/>
    <xf numFmtId="0" fontId="7" fillId="0" borderId="0" xfId="0" applyFont="1"/>
    <xf numFmtId="0" fontId="0" fillId="0" borderId="0" xfId="0" applyAlignment="1">
      <alignment horizontal="right"/>
    </xf>
    <xf numFmtId="0" fontId="0" fillId="0" borderId="0" xfId="0" applyAlignment="1">
      <alignment horizontal="center"/>
    </xf>
    <xf numFmtId="0" fontId="0" fillId="0" borderId="0" xfId="0" applyAlignment="1"/>
    <xf numFmtId="0" fontId="0" fillId="0" borderId="0" xfId="0" applyFont="1" applyAlignment="1">
      <alignment horizontal="right"/>
    </xf>
    <xf numFmtId="0" fontId="0" fillId="0" borderId="0" xfId="0" applyAlignment="1">
      <alignment horizontal="left"/>
    </xf>
    <xf numFmtId="0" fontId="0" fillId="0" borderId="0" xfId="0" applyFont="1" applyAlignment="1">
      <alignment horizontal="center"/>
    </xf>
    <xf numFmtId="0" fontId="4" fillId="0" borderId="0" xfId="0" applyFont="1" applyAlignment="1">
      <alignment horizontal="center"/>
    </xf>
    <xf numFmtId="0" fontId="6" fillId="0" borderId="0" xfId="0" applyFont="1" applyAlignment="1">
      <alignment horizontal="center"/>
    </xf>
    <xf numFmtId="0" fontId="4" fillId="0" borderId="0" xfId="0" applyFont="1" applyAlignment="1">
      <alignment horizontal="left"/>
    </xf>
    <xf numFmtId="0" fontId="7" fillId="0" borderId="0" xfId="0" applyFont="1" applyAlignment="1">
      <alignment horizontal="left"/>
    </xf>
    <xf numFmtId="0" fontId="0" fillId="0" borderId="0" xfId="0" applyFont="1"/>
    <xf numFmtId="164" fontId="0" fillId="0" borderId="0" xfId="0" applyNumberFormat="1"/>
    <xf numFmtId="164" fontId="0" fillId="0" borderId="0" xfId="0" applyNumberFormat="1" applyAlignment="1">
      <alignment horizontal="center"/>
    </xf>
    <xf numFmtId="164" fontId="8" fillId="0" borderId="0" xfId="0" applyNumberFormat="1" applyFont="1" applyAlignment="1">
      <alignment horizontal="center"/>
    </xf>
    <xf numFmtId="0" fontId="9" fillId="0" borderId="0" xfId="0" applyFont="1" applyAlignment="1">
      <alignment horizontal="center"/>
    </xf>
    <xf numFmtId="164" fontId="0" fillId="0" borderId="0" xfId="0" applyNumberFormat="1" applyFont="1" applyAlignment="1">
      <alignment horizontal="center"/>
    </xf>
    <xf numFmtId="0" fontId="8" fillId="0" borderId="0" xfId="0" applyFont="1" applyAlignment="1"/>
    <xf numFmtId="0" fontId="0" fillId="5" borderId="0" xfId="0" applyFill="1"/>
    <xf numFmtId="0" fontId="0" fillId="5" borderId="0" xfId="0" applyFill="1" applyAlignment="1">
      <alignment horizontal="center"/>
    </xf>
    <xf numFmtId="0" fontId="0" fillId="0" borderId="0" xfId="0" applyFill="1"/>
    <xf numFmtId="0" fontId="0" fillId="0" borderId="0" xfId="0" applyFill="1" applyAlignment="1">
      <alignment horizontal="center"/>
    </xf>
    <xf numFmtId="0" fontId="0" fillId="6" borderId="0" xfId="0" applyFill="1"/>
    <xf numFmtId="0" fontId="0" fillId="6" borderId="0" xfId="0" applyFill="1" applyAlignment="1">
      <alignment horizontal="center"/>
    </xf>
    <xf numFmtId="164" fontId="8" fillId="6" borderId="0" xfId="0" applyNumberFormat="1" applyFont="1" applyFill="1" applyAlignment="1">
      <alignment horizontal="center"/>
    </xf>
    <xf numFmtId="164" fontId="0" fillId="6" borderId="0" xfId="0" applyNumberFormat="1" applyFill="1" applyAlignment="1">
      <alignment horizontal="center"/>
    </xf>
    <xf numFmtId="0" fontId="0" fillId="7" borderId="0" xfId="0" applyFill="1"/>
    <xf numFmtId="164" fontId="0" fillId="0" borderId="0" xfId="0" applyNumberFormat="1" applyFont="1" applyAlignment="1">
      <alignment horizontal="center" wrapText="1"/>
    </xf>
    <xf numFmtId="164" fontId="0" fillId="0" borderId="0" xfId="0" applyNumberFormat="1" applyAlignment="1">
      <alignment horizontal="center" wrapText="1"/>
    </xf>
    <xf numFmtId="0" fontId="0" fillId="0" borderId="0" xfId="0" applyFont="1" applyAlignment="1">
      <alignment horizontal="center" vertical="top"/>
    </xf>
    <xf numFmtId="0" fontId="0" fillId="6" borderId="0" xfId="0" applyFill="1" applyAlignment="1"/>
    <xf numFmtId="0" fontId="0" fillId="0" borderId="0" xfId="0" applyAlignment="1">
      <alignment horizontal="left" vertical="top"/>
    </xf>
    <xf numFmtId="0" fontId="10" fillId="0" borderId="0" xfId="0" applyFont="1" applyAlignment="1">
      <alignment horizontal="center"/>
    </xf>
    <xf numFmtId="0" fontId="9" fillId="0" borderId="0" xfId="0" applyFont="1"/>
    <xf numFmtId="0" fontId="0" fillId="0" borderId="0" xfId="0" quotePrefix="1" applyAlignment="1">
      <alignment horizontal="center"/>
    </xf>
    <xf numFmtId="164" fontId="4" fillId="0" borderId="0" xfId="0" applyNumberFormat="1" applyFont="1" applyAlignment="1">
      <alignment horizontal="center"/>
    </xf>
    <xf numFmtId="0" fontId="4" fillId="0" borderId="0" xfId="0" quotePrefix="1" applyFont="1" applyAlignment="1">
      <alignment horizontal="center"/>
    </xf>
    <xf numFmtId="0" fontId="11" fillId="0" borderId="0" xfId="0" applyFont="1" applyAlignment="1">
      <alignment horizontal="left"/>
    </xf>
    <xf numFmtId="0" fontId="12" fillId="0" borderId="0" xfId="0" applyFont="1" applyAlignment="1">
      <alignment horizontal="left"/>
    </xf>
    <xf numFmtId="0" fontId="4" fillId="0" borderId="0" xfId="0" quotePrefix="1" applyFont="1"/>
    <xf numFmtId="0" fontId="11" fillId="0" borderId="0" xfId="0" applyFont="1"/>
    <xf numFmtId="164" fontId="8" fillId="0" borderId="0" xfId="0" applyNumberFormat="1" applyFont="1" applyAlignment="1">
      <alignment horizontal="left"/>
    </xf>
    <xf numFmtId="164" fontId="4" fillId="0" borderId="0" xfId="0" applyNumberFormat="1" applyFont="1"/>
    <xf numFmtId="164" fontId="0" fillId="0" borderId="0" xfId="0" applyNumberFormat="1" applyAlignment="1">
      <alignment horizontal="right"/>
    </xf>
    <xf numFmtId="0" fontId="12" fillId="0" borderId="0" xfId="0" applyFont="1"/>
    <xf numFmtId="0" fontId="11" fillId="0" borderId="0" xfId="0" applyFont="1" applyAlignment="1">
      <alignment horizontal="center"/>
    </xf>
    <xf numFmtId="0" fontId="14" fillId="2" borderId="0" xfId="1" applyFont="1" applyAlignment="1">
      <alignment horizontal="center"/>
    </xf>
    <xf numFmtId="0" fontId="5" fillId="0" borderId="0" xfId="0" applyFont="1" applyAlignment="1">
      <alignment horizontal="center"/>
    </xf>
    <xf numFmtId="0" fontId="14" fillId="2" borderId="0" xfId="1" applyFont="1"/>
    <xf numFmtId="164" fontId="5" fillId="0" borderId="0" xfId="0" applyNumberFormat="1" applyFont="1"/>
    <xf numFmtId="164" fontId="14" fillId="2" borderId="0" xfId="1" applyNumberFormat="1" applyFont="1"/>
    <xf numFmtId="0" fontId="14" fillId="2" borderId="0" xfId="1" quotePrefix="1" applyFont="1"/>
    <xf numFmtId="0" fontId="15" fillId="2" borderId="0" xfId="1" applyFont="1" applyAlignment="1">
      <alignment horizontal="center"/>
    </xf>
    <xf numFmtId="0" fontId="16" fillId="4" borderId="0" xfId="3" applyFont="1" applyAlignment="1">
      <alignment horizontal="center"/>
    </xf>
    <xf numFmtId="0" fontId="16" fillId="4" borderId="0" xfId="3" applyFont="1"/>
    <xf numFmtId="164" fontId="16" fillId="4" borderId="0" xfId="3" applyNumberFormat="1" applyFont="1"/>
    <xf numFmtId="0" fontId="16" fillId="4" borderId="0" xfId="3" quotePrefix="1" applyFont="1"/>
    <xf numFmtId="0" fontId="2" fillId="3" borderId="0" xfId="2" applyAlignment="1">
      <alignment horizontal="center"/>
    </xf>
    <xf numFmtId="0" fontId="2" fillId="3" borderId="0" xfId="2"/>
    <xf numFmtId="164" fontId="2" fillId="3" borderId="0" xfId="2" applyNumberFormat="1"/>
    <xf numFmtId="0" fontId="2" fillId="3" borderId="0" xfId="2" quotePrefix="1"/>
    <xf numFmtId="0" fontId="17" fillId="3" borderId="0" xfId="2" applyFont="1" applyAlignment="1">
      <alignment horizontal="center"/>
    </xf>
    <xf numFmtId="0" fontId="18" fillId="4" borderId="0" xfId="3" applyFont="1" applyAlignment="1">
      <alignment horizontal="center"/>
    </xf>
    <xf numFmtId="164" fontId="0" fillId="0" borderId="0" xfId="0" applyNumberFormat="1" applyFont="1" applyAlignment="1">
      <alignment horizontal="left"/>
    </xf>
    <xf numFmtId="164" fontId="5" fillId="0" borderId="0" xfId="0" quotePrefix="1" applyNumberFormat="1" applyFont="1"/>
    <xf numFmtId="0" fontId="5" fillId="0" borderId="0" xfId="0" quotePrefix="1" applyFont="1"/>
    <xf numFmtId="0" fontId="13" fillId="0" borderId="0" xfId="0" applyFont="1"/>
    <xf numFmtId="0" fontId="17" fillId="0" borderId="0" xfId="2" applyFont="1" applyFill="1" applyAlignment="1">
      <alignment horizontal="center"/>
    </xf>
    <xf numFmtId="0" fontId="12" fillId="0" borderId="0" xfId="0" applyFont="1" applyAlignment="1">
      <alignment horizontal="center"/>
    </xf>
    <xf numFmtId="0" fontId="20" fillId="0" borderId="0" xfId="0" applyFont="1" applyAlignment="1">
      <alignment wrapText="1"/>
    </xf>
    <xf numFmtId="0" fontId="20" fillId="0" borderId="0" xfId="0" applyFont="1" applyAlignment="1">
      <alignment horizontal="left" wrapText="1"/>
    </xf>
    <xf numFmtId="0" fontId="21" fillId="0" borderId="0" xfId="0" applyFont="1" applyAlignment="1">
      <alignment horizontal="center"/>
    </xf>
  </cellXfs>
  <cellStyles count="4">
    <cellStyle name="Bad" xfId="2" builtinId="27"/>
    <cellStyle name="Good" xfId="1" builtinId="26"/>
    <cellStyle name="Neutral" xfId="3"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49"/>
  <sheetViews>
    <sheetView topLeftCell="A115" workbookViewId="0">
      <selection activeCell="J154" sqref="J154"/>
    </sheetView>
  </sheetViews>
  <sheetFormatPr defaultRowHeight="15" x14ac:dyDescent="0.25"/>
  <cols>
    <col min="1" max="1" width="28.85546875" customWidth="1"/>
    <col min="2" max="2" width="29.42578125" customWidth="1"/>
    <col min="3" max="3" width="2.42578125" customWidth="1"/>
    <col min="4" max="4" width="33.28515625" customWidth="1"/>
    <col min="5" max="5" width="2.28515625" customWidth="1"/>
    <col min="6" max="6" width="23.42578125" customWidth="1"/>
    <col min="7" max="7" width="1.5703125" customWidth="1"/>
    <col min="8" max="8" width="20.7109375" customWidth="1"/>
    <col min="9" max="9" width="2.85546875" customWidth="1"/>
    <col min="10" max="10" width="33.140625" customWidth="1"/>
    <col min="11" max="11" width="2.85546875" customWidth="1"/>
    <col min="12" max="12" width="23.28515625" customWidth="1"/>
    <col min="13" max="13" width="2.7109375" customWidth="1"/>
    <col min="14" max="14" width="21.140625" customWidth="1"/>
    <col min="15" max="15" width="2.7109375" customWidth="1"/>
    <col min="16" max="16" width="32.42578125" customWidth="1"/>
    <col min="17" max="17" width="2.5703125" customWidth="1"/>
    <col min="18" max="18" width="23.140625" customWidth="1"/>
    <col min="19" max="19" width="2.5703125" customWidth="1"/>
    <col min="20" max="20" width="28.7109375" customWidth="1"/>
    <col min="21" max="21" width="5.28515625" customWidth="1"/>
    <col min="22" max="22" width="25" customWidth="1"/>
    <col min="23" max="23" width="29.140625" customWidth="1"/>
    <col min="29" max="29" width="15.85546875" customWidth="1"/>
    <col min="30" max="30" width="2.140625" customWidth="1"/>
    <col min="31" max="31" width="18.28515625" customWidth="1"/>
    <col min="32" max="32" width="2.7109375" customWidth="1"/>
    <col min="33" max="33" width="17" customWidth="1"/>
    <col min="34" max="34" width="2" customWidth="1"/>
    <col min="35" max="35" width="19.140625" customWidth="1"/>
  </cols>
  <sheetData>
    <row r="1" spans="1:35" ht="21" x14ac:dyDescent="0.35">
      <c r="F1" s="12" t="s">
        <v>2</v>
      </c>
      <c r="G1" s="12"/>
      <c r="I1" s="12"/>
      <c r="J1" s="12"/>
      <c r="K1" s="8"/>
      <c r="L1" s="41" t="s">
        <v>148</v>
      </c>
      <c r="O1" s="29" t="s">
        <v>2</v>
      </c>
      <c r="U1" s="21"/>
      <c r="V1" s="12" t="s">
        <v>2</v>
      </c>
      <c r="W1" t="s">
        <v>2</v>
      </c>
      <c r="X1" t="s">
        <v>2</v>
      </c>
    </row>
    <row r="2" spans="1:35" ht="21" x14ac:dyDescent="0.35">
      <c r="F2" s="12"/>
      <c r="G2" s="12"/>
      <c r="H2" s="41"/>
      <c r="I2" s="12"/>
      <c r="J2" s="12"/>
      <c r="K2" s="8"/>
      <c r="O2" s="29"/>
      <c r="U2" s="21"/>
      <c r="V2" s="12" t="s">
        <v>2</v>
      </c>
    </row>
    <row r="3" spans="1:35" ht="15.75" x14ac:dyDescent="0.25">
      <c r="F3" s="3" t="s">
        <v>2</v>
      </c>
      <c r="G3" s="36" t="s">
        <v>2</v>
      </c>
      <c r="I3" s="36"/>
      <c r="J3" s="43" t="s">
        <v>146</v>
      </c>
      <c r="K3" s="3"/>
      <c r="O3" s="29" t="s">
        <v>2</v>
      </c>
      <c r="P3" s="43" t="s">
        <v>146</v>
      </c>
      <c r="U3" s="21"/>
      <c r="V3" s="13" t="s">
        <v>2</v>
      </c>
      <c r="W3" t="s">
        <v>2</v>
      </c>
      <c r="X3" t="s">
        <v>2</v>
      </c>
      <c r="AB3" s="43" t="s">
        <v>147</v>
      </c>
    </row>
    <row r="4" spans="1:35" x14ac:dyDescent="0.25">
      <c r="F4" s="3"/>
      <c r="G4" s="36"/>
      <c r="H4" s="36"/>
      <c r="I4" s="36"/>
      <c r="J4" s="36"/>
      <c r="K4" s="3"/>
      <c r="O4" s="29" t="s">
        <v>2</v>
      </c>
      <c r="U4" s="21"/>
      <c r="V4" s="13"/>
    </row>
    <row r="5" spans="1:35" x14ac:dyDescent="0.25">
      <c r="F5" s="3"/>
      <c r="G5" s="3"/>
      <c r="H5" s="18" t="s">
        <v>196</v>
      </c>
      <c r="I5" s="3"/>
      <c r="J5" s="3"/>
      <c r="K5" s="3"/>
      <c r="N5" s="18" t="s">
        <v>196</v>
      </c>
      <c r="O5" s="29" t="s">
        <v>2</v>
      </c>
      <c r="T5" s="18" t="s">
        <v>196</v>
      </c>
      <c r="U5" s="21"/>
      <c r="AA5" s="3"/>
      <c r="AB5" s="3" t="s">
        <v>2</v>
      </c>
      <c r="AC5" s="18" t="s">
        <v>155</v>
      </c>
      <c r="AD5" s="3"/>
      <c r="AE5" s="18" t="s">
        <v>153</v>
      </c>
      <c r="AF5" s="3"/>
      <c r="AG5" s="18" t="s">
        <v>155</v>
      </c>
      <c r="AH5" s="3"/>
      <c r="AI5" s="18" t="s">
        <v>153</v>
      </c>
    </row>
    <row r="6" spans="1:35" x14ac:dyDescent="0.25">
      <c r="F6" s="3"/>
      <c r="G6" s="3"/>
      <c r="H6" s="18" t="s">
        <v>154</v>
      </c>
      <c r="I6" s="3"/>
      <c r="J6" s="3"/>
      <c r="K6" s="3"/>
      <c r="N6" s="18" t="s">
        <v>154</v>
      </c>
      <c r="O6" s="29"/>
      <c r="T6" s="18" t="s">
        <v>154</v>
      </c>
      <c r="U6" s="21"/>
      <c r="AA6" s="3"/>
      <c r="AB6" s="3"/>
      <c r="AC6" s="18" t="s">
        <v>156</v>
      </c>
      <c r="AD6" s="3"/>
      <c r="AE6" s="18" t="s">
        <v>154</v>
      </c>
      <c r="AF6" s="3"/>
      <c r="AG6" s="18" t="s">
        <v>156</v>
      </c>
      <c r="AH6" s="3"/>
      <c r="AI6" s="18" t="s">
        <v>154</v>
      </c>
    </row>
    <row r="7" spans="1:35" x14ac:dyDescent="0.25">
      <c r="F7" s="11" t="s">
        <v>2</v>
      </c>
      <c r="I7" s="29"/>
      <c r="O7" s="29"/>
      <c r="U7" s="21"/>
      <c r="AA7" s="11" t="s">
        <v>2</v>
      </c>
    </row>
    <row r="8" spans="1:35" x14ac:dyDescent="0.25">
      <c r="A8" s="11" t="s">
        <v>11</v>
      </c>
      <c r="B8" s="11" t="s">
        <v>8</v>
      </c>
      <c r="C8" s="26"/>
      <c r="D8" s="11" t="s">
        <v>16</v>
      </c>
      <c r="F8" s="11" t="s">
        <v>103</v>
      </c>
      <c r="G8" s="5"/>
      <c r="H8" s="11" t="s">
        <v>3</v>
      </c>
      <c r="I8" s="26"/>
      <c r="J8" s="11" t="s">
        <v>16</v>
      </c>
      <c r="K8" s="5"/>
      <c r="L8" s="11" t="s">
        <v>103</v>
      </c>
      <c r="M8" s="5"/>
      <c r="N8" s="11" t="s">
        <v>36</v>
      </c>
      <c r="O8" s="26" t="s">
        <v>2</v>
      </c>
      <c r="P8" s="11" t="s">
        <v>16</v>
      </c>
      <c r="Q8" s="5"/>
      <c r="R8" s="11" t="s">
        <v>103</v>
      </c>
      <c r="S8" s="5"/>
      <c r="T8" s="11" t="s">
        <v>4</v>
      </c>
      <c r="U8" s="22"/>
      <c r="V8" s="11" t="s">
        <v>11</v>
      </c>
      <c r="W8" s="11" t="s">
        <v>8</v>
      </c>
      <c r="Y8" s="11" t="s">
        <v>16</v>
      </c>
      <c r="AA8" s="11" t="s">
        <v>103</v>
      </c>
      <c r="AB8" s="5"/>
      <c r="AC8" s="11" t="s">
        <v>5</v>
      </c>
      <c r="AD8" s="35"/>
      <c r="AE8" s="11" t="s">
        <v>5</v>
      </c>
      <c r="AF8" s="26" t="s">
        <v>2</v>
      </c>
      <c r="AG8" s="11" t="s">
        <v>7</v>
      </c>
      <c r="AI8" s="11" t="s">
        <v>7</v>
      </c>
    </row>
    <row r="9" spans="1:35" x14ac:dyDescent="0.25">
      <c r="A9" s="11"/>
      <c r="B9" s="11"/>
      <c r="C9" s="26"/>
      <c r="D9" s="11"/>
      <c r="F9" s="5"/>
      <c r="G9" s="5"/>
      <c r="H9" s="5"/>
      <c r="I9" s="26"/>
      <c r="J9" s="5"/>
      <c r="K9" s="5"/>
      <c r="L9" s="5"/>
      <c r="M9" s="5"/>
      <c r="N9" s="5"/>
      <c r="O9" s="26"/>
      <c r="P9" s="5"/>
      <c r="Q9" s="5"/>
      <c r="R9" s="5"/>
      <c r="S9" s="5"/>
      <c r="T9" s="5"/>
      <c r="U9" s="22"/>
      <c r="V9" s="11"/>
      <c r="W9" s="11"/>
      <c r="X9" s="11"/>
      <c r="Y9" s="11"/>
      <c r="AA9" s="5"/>
      <c r="AB9" s="5"/>
      <c r="AC9" s="5"/>
      <c r="AD9" s="5"/>
      <c r="AE9" s="5"/>
      <c r="AF9" s="26"/>
    </row>
    <row r="10" spans="1:35" x14ac:dyDescent="0.25">
      <c r="A10" s="9" t="s">
        <v>10</v>
      </c>
      <c r="B10" s="9" t="s">
        <v>9</v>
      </c>
      <c r="C10" s="26"/>
      <c r="D10" s="11"/>
      <c r="F10" s="5" t="s">
        <v>2</v>
      </c>
      <c r="G10" s="5"/>
      <c r="H10" s="5"/>
      <c r="I10" s="26"/>
      <c r="J10" s="5"/>
      <c r="K10" s="5"/>
      <c r="L10" s="5" t="s">
        <v>2</v>
      </c>
      <c r="M10" s="5"/>
      <c r="N10" s="5"/>
      <c r="O10" s="26"/>
      <c r="P10" s="5"/>
      <c r="Q10" s="5"/>
      <c r="R10" s="5"/>
      <c r="S10" s="5"/>
      <c r="T10" s="5"/>
      <c r="U10" s="22"/>
      <c r="V10" s="9" t="s">
        <v>10</v>
      </c>
      <c r="W10" s="9" t="s">
        <v>9</v>
      </c>
      <c r="X10" s="11"/>
      <c r="Y10" s="11"/>
      <c r="AA10" s="5" t="s">
        <v>2</v>
      </c>
      <c r="AB10" s="5"/>
      <c r="AC10" s="5" t="s">
        <v>2</v>
      </c>
      <c r="AD10" s="5"/>
      <c r="AE10" s="5"/>
      <c r="AF10" s="26"/>
    </row>
    <row r="11" spans="1:35" x14ac:dyDescent="0.25">
      <c r="A11" s="9" t="s">
        <v>13</v>
      </c>
      <c r="B11" s="9" t="s">
        <v>22</v>
      </c>
      <c r="C11" s="26"/>
      <c r="D11" s="11"/>
      <c r="F11" s="5"/>
      <c r="G11" s="5"/>
      <c r="H11" s="5"/>
      <c r="I11" s="26"/>
      <c r="J11" s="5"/>
      <c r="K11" s="5"/>
      <c r="L11" s="5"/>
      <c r="M11" s="5"/>
      <c r="N11" s="5"/>
      <c r="O11" s="26"/>
      <c r="P11" s="5"/>
      <c r="Q11" s="5"/>
      <c r="R11" s="5"/>
      <c r="S11" s="5"/>
      <c r="T11" s="5"/>
      <c r="U11" s="22"/>
      <c r="V11" s="9" t="s">
        <v>13</v>
      </c>
      <c r="W11" s="9" t="s">
        <v>22</v>
      </c>
      <c r="X11" s="11"/>
      <c r="Y11" s="11"/>
      <c r="AA11" s="5"/>
      <c r="AB11" s="5"/>
      <c r="AC11" s="5" t="s">
        <v>2</v>
      </c>
      <c r="AD11" s="5"/>
      <c r="AE11" s="5"/>
      <c r="AF11" s="26"/>
    </row>
    <row r="12" spans="1:35" x14ac:dyDescent="0.25">
      <c r="A12" s="9"/>
      <c r="B12" s="9"/>
      <c r="C12" s="26"/>
      <c r="D12" s="11"/>
      <c r="F12" s="5"/>
      <c r="G12" s="5"/>
      <c r="H12" s="5"/>
      <c r="I12" s="26"/>
      <c r="J12" s="5"/>
      <c r="K12" s="5"/>
      <c r="L12" s="5"/>
      <c r="M12" s="5"/>
      <c r="N12" s="5"/>
      <c r="O12" s="26"/>
      <c r="P12" s="5"/>
      <c r="Q12" s="5"/>
      <c r="R12" s="5"/>
      <c r="S12" s="5"/>
      <c r="T12" s="5"/>
      <c r="U12" s="22"/>
      <c r="V12" s="9"/>
      <c r="W12" s="9"/>
      <c r="X12" s="11"/>
      <c r="Y12" s="11"/>
      <c r="AA12" s="5"/>
      <c r="AB12" s="5"/>
      <c r="AC12" s="5"/>
      <c r="AD12" s="5"/>
      <c r="AE12" s="5"/>
      <c r="AF12" s="26"/>
    </row>
    <row r="13" spans="1:35" x14ac:dyDescent="0.25">
      <c r="A13" s="9" t="s">
        <v>12</v>
      </c>
      <c r="B13" s="9" t="s">
        <v>14</v>
      </c>
      <c r="C13" s="26"/>
      <c r="D13" s="11"/>
      <c r="F13" s="5"/>
      <c r="G13" s="5"/>
      <c r="H13" s="5"/>
      <c r="I13" s="26"/>
      <c r="J13" s="5"/>
      <c r="K13" s="5"/>
      <c r="L13" s="5"/>
      <c r="M13" s="5"/>
      <c r="N13" s="5"/>
      <c r="O13" s="26"/>
      <c r="P13" s="5"/>
      <c r="Q13" s="5"/>
      <c r="R13" s="5"/>
      <c r="S13" s="5"/>
      <c r="T13" s="5"/>
      <c r="U13" s="22"/>
      <c r="V13" s="9" t="s">
        <v>12</v>
      </c>
      <c r="W13" s="9" t="s">
        <v>14</v>
      </c>
      <c r="X13" s="11"/>
      <c r="Y13" s="11"/>
      <c r="AA13" s="5"/>
      <c r="AB13" s="5"/>
      <c r="AC13" s="5"/>
      <c r="AD13" s="5"/>
      <c r="AE13" s="5"/>
      <c r="AF13" s="26"/>
    </row>
    <row r="14" spans="1:35" x14ac:dyDescent="0.25">
      <c r="A14" s="9"/>
      <c r="B14" s="9" t="s">
        <v>23</v>
      </c>
      <c r="C14" s="26"/>
      <c r="G14" s="5"/>
      <c r="H14" s="5"/>
      <c r="I14" s="26"/>
      <c r="M14" s="5"/>
      <c r="N14" s="5"/>
      <c r="O14" s="26"/>
      <c r="P14" s="5"/>
      <c r="Q14" s="5"/>
      <c r="R14" s="5"/>
      <c r="S14" s="5"/>
      <c r="T14" s="5"/>
      <c r="U14" s="22"/>
      <c r="V14" s="9"/>
      <c r="W14" s="9" t="s">
        <v>23</v>
      </c>
      <c r="X14" s="11"/>
      <c r="AB14" s="5"/>
      <c r="AC14" s="5"/>
      <c r="AD14" s="5"/>
      <c r="AE14" s="5"/>
      <c r="AF14" s="26"/>
    </row>
    <row r="15" spans="1:35" x14ac:dyDescent="0.25">
      <c r="A15" s="9"/>
      <c r="B15" s="9"/>
      <c r="C15" s="26"/>
      <c r="G15" s="5"/>
      <c r="H15" s="5"/>
      <c r="I15" s="26"/>
      <c r="J15" s="4"/>
      <c r="L15" s="8"/>
      <c r="M15" s="5"/>
      <c r="N15" s="5"/>
      <c r="O15" s="26"/>
      <c r="P15" s="5"/>
      <c r="Q15" s="5"/>
      <c r="R15" s="5"/>
      <c r="S15" s="5"/>
      <c r="T15" s="5"/>
      <c r="U15" s="22"/>
      <c r="V15" s="5"/>
      <c r="W15" s="5"/>
      <c r="X15" s="5"/>
      <c r="Y15" s="5"/>
      <c r="Z15" s="5"/>
      <c r="AA15" s="5"/>
      <c r="AB15" s="5"/>
      <c r="AC15" s="5"/>
      <c r="AD15" s="5"/>
      <c r="AF15" s="26"/>
    </row>
    <row r="16" spans="1:35" x14ac:dyDescent="0.25">
      <c r="A16" s="11" t="s">
        <v>1</v>
      </c>
      <c r="B16" s="9"/>
      <c r="C16" s="26"/>
      <c r="D16" s="7" t="s">
        <v>2</v>
      </c>
      <c r="E16" t="s">
        <v>2</v>
      </c>
      <c r="F16" s="5" t="s">
        <v>65</v>
      </c>
      <c r="G16" s="5"/>
      <c r="H16" s="5"/>
      <c r="I16" s="26"/>
      <c r="J16" s="7" t="s">
        <v>2</v>
      </c>
      <c r="K16" t="s">
        <v>2</v>
      </c>
      <c r="L16" s="5" t="s">
        <v>65</v>
      </c>
      <c r="M16" s="5"/>
      <c r="N16" s="5"/>
      <c r="O16" s="26"/>
      <c r="P16" s="5"/>
      <c r="Q16" s="5"/>
      <c r="R16" s="5" t="s">
        <v>65</v>
      </c>
      <c r="S16" s="5"/>
      <c r="T16" s="5"/>
      <c r="U16" s="22"/>
      <c r="V16" s="5"/>
      <c r="W16" s="5"/>
      <c r="X16" s="5"/>
      <c r="Y16" s="5"/>
      <c r="Z16" s="5"/>
      <c r="AA16" s="5"/>
      <c r="AB16" s="5"/>
      <c r="AC16" s="5"/>
      <c r="AD16" s="5"/>
      <c r="AF16" s="26"/>
    </row>
    <row r="17" spans="1:41" x14ac:dyDescent="0.25">
      <c r="A17" s="11"/>
      <c r="C17" s="26"/>
      <c r="D17" s="11"/>
      <c r="E17" s="32" t="s">
        <v>149</v>
      </c>
      <c r="F17" s="5"/>
      <c r="G17" s="5"/>
      <c r="H17" s="5"/>
      <c r="I17" s="26"/>
      <c r="J17" s="11"/>
      <c r="K17" s="32" t="s">
        <v>81</v>
      </c>
      <c r="L17" s="5"/>
      <c r="M17" s="5"/>
      <c r="N17" s="5"/>
      <c r="O17" s="26"/>
      <c r="P17" s="5"/>
      <c r="Q17" s="5"/>
      <c r="R17" s="5" t="s">
        <v>108</v>
      </c>
      <c r="S17" s="5"/>
      <c r="T17" s="5"/>
      <c r="U17" s="22"/>
      <c r="V17" s="5"/>
      <c r="W17" s="5"/>
      <c r="X17" s="5"/>
      <c r="Y17" s="5"/>
      <c r="Z17" s="5"/>
      <c r="AA17" s="5"/>
      <c r="AB17" s="5"/>
      <c r="AC17" s="5"/>
      <c r="AD17" s="5"/>
      <c r="AF17" s="26"/>
    </row>
    <row r="18" spans="1:41" x14ac:dyDescent="0.25">
      <c r="B18" s="2"/>
      <c r="C18" s="26"/>
      <c r="E18" s="9" t="s">
        <v>150</v>
      </c>
      <c r="F18" s="5"/>
      <c r="G18" s="5"/>
      <c r="H18" s="5"/>
      <c r="I18" s="26"/>
      <c r="K18" s="9" t="s">
        <v>83</v>
      </c>
      <c r="L18" s="5"/>
      <c r="O18" s="25"/>
      <c r="P18" t="s">
        <v>109</v>
      </c>
      <c r="U18" s="21"/>
      <c r="AF18" s="25"/>
    </row>
    <row r="19" spans="1:41" x14ac:dyDescent="0.25">
      <c r="B19" s="2"/>
      <c r="C19" s="26"/>
      <c r="E19" s="9"/>
      <c r="F19" s="5"/>
      <c r="G19" s="5"/>
      <c r="H19" s="5"/>
      <c r="I19" s="26"/>
      <c r="K19" s="9"/>
      <c r="L19" s="5"/>
      <c r="O19" s="25"/>
      <c r="P19" t="s">
        <v>226</v>
      </c>
      <c r="U19" s="21"/>
      <c r="AF19" s="25"/>
    </row>
    <row r="20" spans="1:41" x14ac:dyDescent="0.25">
      <c r="B20" s="2"/>
      <c r="C20" s="26"/>
      <c r="D20" s="2"/>
      <c r="F20" s="5"/>
      <c r="G20" s="5"/>
      <c r="H20" s="5"/>
      <c r="I20" s="26"/>
      <c r="J20" s="5"/>
      <c r="K20" s="5"/>
      <c r="O20" s="25"/>
      <c r="U20" s="21"/>
      <c r="AF20" s="25"/>
    </row>
    <row r="21" spans="1:41" x14ac:dyDescent="0.25">
      <c r="A21" s="5">
        <v>1996</v>
      </c>
      <c r="B21" s="9" t="s">
        <v>15</v>
      </c>
      <c r="C21" s="26"/>
      <c r="D21" s="5" t="s">
        <v>17</v>
      </c>
      <c r="F21" s="5" t="s">
        <v>19</v>
      </c>
      <c r="G21" s="5"/>
      <c r="H21" s="5"/>
      <c r="I21" s="26"/>
      <c r="J21" s="5" t="s">
        <v>24</v>
      </c>
      <c r="L21" s="5" t="s">
        <v>25</v>
      </c>
      <c r="M21" s="6"/>
      <c r="N21" s="6"/>
      <c r="O21" s="33"/>
      <c r="P21" s="5" t="s">
        <v>17</v>
      </c>
      <c r="R21" s="5" t="s">
        <v>105</v>
      </c>
      <c r="S21" s="5"/>
      <c r="U21" s="22"/>
      <c r="W21" s="5"/>
      <c r="Y21" s="5"/>
      <c r="AA21" s="5"/>
      <c r="AC21" s="5"/>
      <c r="AE21" s="5"/>
      <c r="AF21" s="33"/>
      <c r="AM21" s="6"/>
      <c r="AO21" s="6"/>
    </row>
    <row r="22" spans="1:41" x14ac:dyDescent="0.25">
      <c r="A22" s="5"/>
      <c r="B22" s="9" t="s">
        <v>18</v>
      </c>
      <c r="C22" s="26"/>
      <c r="D22" s="5" t="s">
        <v>17</v>
      </c>
      <c r="F22" s="17">
        <v>10.5</v>
      </c>
      <c r="G22" s="17"/>
      <c r="H22" s="44" t="s">
        <v>168</v>
      </c>
      <c r="I22" s="27"/>
      <c r="J22" s="19" t="s">
        <v>24</v>
      </c>
      <c r="L22" s="17">
        <v>9.8000000000000007</v>
      </c>
      <c r="M22" s="6"/>
      <c r="N22" s="44" t="s">
        <v>168</v>
      </c>
      <c r="O22" s="33"/>
      <c r="P22" s="5" t="s">
        <v>17</v>
      </c>
      <c r="R22" s="17">
        <v>6.95</v>
      </c>
      <c r="S22" s="5"/>
      <c r="T22" s="44" t="s">
        <v>168</v>
      </c>
      <c r="U22" s="22"/>
      <c r="W22" s="5"/>
      <c r="Y22" s="5"/>
      <c r="AA22" s="5"/>
      <c r="AC22" s="5"/>
      <c r="AE22" s="5"/>
      <c r="AF22" s="33"/>
      <c r="AM22" s="6"/>
      <c r="AO22" s="6"/>
    </row>
    <row r="23" spans="1:41" x14ac:dyDescent="0.25">
      <c r="A23" s="5"/>
      <c r="B23" s="9"/>
      <c r="C23" s="26"/>
      <c r="F23" s="5"/>
      <c r="G23" s="5"/>
      <c r="H23" s="31">
        <f>160*10.5*14</f>
        <v>23520</v>
      </c>
      <c r="I23" s="28"/>
      <c r="J23" s="16"/>
      <c r="M23" s="6"/>
      <c r="N23" s="31">
        <f>240*9.8*14</f>
        <v>32928</v>
      </c>
      <c r="O23" s="33"/>
      <c r="R23" s="5"/>
      <c r="S23" s="5"/>
      <c r="T23" s="15">
        <f>260*6.95*14</f>
        <v>25298</v>
      </c>
      <c r="U23" s="22"/>
      <c r="W23" s="5"/>
      <c r="Y23" s="5"/>
      <c r="AA23" s="5"/>
      <c r="AC23" s="5"/>
      <c r="AE23" s="5"/>
      <c r="AF23" s="33"/>
      <c r="AM23" s="6"/>
      <c r="AO23" s="6"/>
    </row>
    <row r="24" spans="1:41" x14ac:dyDescent="0.25">
      <c r="B24" s="14"/>
      <c r="C24" s="26"/>
      <c r="F24" s="5"/>
      <c r="G24" s="5"/>
      <c r="H24" s="5"/>
      <c r="I24" s="26"/>
      <c r="J24" s="5"/>
      <c r="N24" s="5"/>
      <c r="O24" s="25"/>
      <c r="U24" s="21"/>
      <c r="AF24" s="25"/>
    </row>
    <row r="25" spans="1:41" x14ac:dyDescent="0.25">
      <c r="A25" s="5">
        <v>1997</v>
      </c>
      <c r="B25" s="9" t="s">
        <v>15</v>
      </c>
      <c r="C25" s="26"/>
      <c r="D25" s="5" t="s">
        <v>17</v>
      </c>
      <c r="F25" s="5" t="s">
        <v>20</v>
      </c>
      <c r="G25" s="5"/>
      <c r="H25" s="5"/>
      <c r="I25" s="26"/>
      <c r="J25" s="5" t="s">
        <v>24</v>
      </c>
      <c r="L25" s="5" t="s">
        <v>26</v>
      </c>
      <c r="N25" s="5"/>
      <c r="O25" s="25"/>
      <c r="P25" s="5" t="s">
        <v>17</v>
      </c>
      <c r="R25" s="5" t="s">
        <v>106</v>
      </c>
      <c r="U25" s="21"/>
      <c r="AF25" s="25"/>
    </row>
    <row r="26" spans="1:41" x14ac:dyDescent="0.25">
      <c r="A26" s="5"/>
      <c r="B26" s="9" t="s">
        <v>18</v>
      </c>
      <c r="C26" s="26"/>
      <c r="D26" s="5" t="s">
        <v>17</v>
      </c>
      <c r="F26" s="17">
        <v>13</v>
      </c>
      <c r="G26" s="17"/>
      <c r="H26" s="44" t="s">
        <v>168</v>
      </c>
      <c r="I26" s="27"/>
      <c r="J26" s="30" t="s">
        <v>24</v>
      </c>
      <c r="L26" s="17">
        <v>12.7</v>
      </c>
      <c r="N26" s="44" t="s">
        <v>168</v>
      </c>
      <c r="O26" s="25"/>
      <c r="P26" s="5" t="s">
        <v>17</v>
      </c>
      <c r="R26" s="17">
        <v>8.1999999999999993</v>
      </c>
      <c r="T26" s="44" t="s">
        <v>168</v>
      </c>
      <c r="U26" s="21"/>
      <c r="AF26" s="25"/>
    </row>
    <row r="27" spans="1:41" x14ac:dyDescent="0.25">
      <c r="A27" s="5"/>
      <c r="B27" s="9"/>
      <c r="C27" s="26"/>
      <c r="D27" s="5"/>
      <c r="F27" s="5"/>
      <c r="G27" s="5"/>
      <c r="H27" s="16">
        <f>210*13*14</f>
        <v>38220</v>
      </c>
      <c r="I27" s="28"/>
      <c r="J27" s="16"/>
      <c r="N27" s="16">
        <f>300*12.7*14</f>
        <v>53340</v>
      </c>
      <c r="O27" s="25"/>
      <c r="P27" s="5"/>
      <c r="T27" s="15">
        <f>235*8.2*14</f>
        <v>26977.999999999996</v>
      </c>
      <c r="U27" s="21"/>
      <c r="AF27" s="25"/>
    </row>
    <row r="28" spans="1:41" x14ac:dyDescent="0.25">
      <c r="B28" s="14"/>
      <c r="C28" s="26"/>
      <c r="F28" s="5"/>
      <c r="G28" s="5"/>
      <c r="H28" s="5"/>
      <c r="I28" s="26"/>
      <c r="J28" s="5"/>
      <c r="N28" s="5"/>
      <c r="O28" s="25"/>
      <c r="U28" s="21"/>
      <c r="AF28" s="25"/>
    </row>
    <row r="29" spans="1:41" x14ac:dyDescent="0.25">
      <c r="A29" s="5">
        <v>1998</v>
      </c>
      <c r="B29" s="9" t="s">
        <v>15</v>
      </c>
      <c r="C29" s="26"/>
      <c r="D29" s="5" t="s">
        <v>17</v>
      </c>
      <c r="F29" s="5" t="s">
        <v>21</v>
      </c>
      <c r="G29" s="5"/>
      <c r="H29" s="5"/>
      <c r="I29" s="26"/>
      <c r="J29" s="5" t="s">
        <v>24</v>
      </c>
      <c r="L29" s="5" t="s">
        <v>26</v>
      </c>
      <c r="N29" s="5"/>
      <c r="O29" s="25"/>
      <c r="P29" s="5" t="s">
        <v>17</v>
      </c>
      <c r="R29" s="5" t="s">
        <v>112</v>
      </c>
      <c r="U29" s="21"/>
      <c r="AF29" s="25"/>
    </row>
    <row r="30" spans="1:41" x14ac:dyDescent="0.25">
      <c r="A30" s="5"/>
      <c r="B30" s="9" t="s">
        <v>18</v>
      </c>
      <c r="C30" s="26"/>
      <c r="D30" s="5" t="s">
        <v>17</v>
      </c>
      <c r="F30" s="17">
        <v>14</v>
      </c>
      <c r="G30" s="17"/>
      <c r="H30" s="44" t="s">
        <v>168</v>
      </c>
      <c r="I30" s="27"/>
      <c r="J30" s="19" t="s">
        <v>24</v>
      </c>
      <c r="L30" s="17">
        <v>16.3</v>
      </c>
      <c r="N30" s="44" t="s">
        <v>168</v>
      </c>
      <c r="O30" s="25"/>
      <c r="P30" s="5" t="s">
        <v>17</v>
      </c>
      <c r="R30" s="17">
        <v>7.35</v>
      </c>
      <c r="T30" s="44" t="s">
        <v>168</v>
      </c>
      <c r="U30" s="21"/>
      <c r="AF30" s="25"/>
    </row>
    <row r="31" spans="1:41" x14ac:dyDescent="0.25">
      <c r="A31" s="5"/>
      <c r="B31" s="9"/>
      <c r="C31" s="26"/>
      <c r="D31" s="5"/>
      <c r="F31" s="5"/>
      <c r="G31" s="5"/>
      <c r="H31" s="16">
        <f>215*14*14</f>
        <v>42140</v>
      </c>
      <c r="I31" s="26"/>
      <c r="J31" s="5"/>
      <c r="N31" s="16">
        <f>300*16.3*14</f>
        <v>68460</v>
      </c>
      <c r="O31" s="25"/>
      <c r="T31" s="15">
        <f>243*7.35*14</f>
        <v>25004.7</v>
      </c>
      <c r="U31" s="21"/>
      <c r="AF31" s="25"/>
    </row>
    <row r="32" spans="1:41" x14ac:dyDescent="0.25">
      <c r="A32" s="5"/>
      <c r="B32" s="9"/>
      <c r="C32" s="26"/>
      <c r="D32" s="5"/>
      <c r="F32" s="5"/>
      <c r="G32" s="5"/>
      <c r="H32" s="16"/>
      <c r="I32" s="26"/>
      <c r="J32" s="5"/>
      <c r="N32" s="16"/>
      <c r="O32" s="25"/>
      <c r="U32" s="21"/>
      <c r="AF32" s="25"/>
    </row>
    <row r="33" spans="1:32" x14ac:dyDescent="0.25">
      <c r="A33" s="5"/>
      <c r="B33" s="9"/>
      <c r="C33" s="26"/>
      <c r="D33" s="7" t="s">
        <v>2</v>
      </c>
      <c r="E33" t="s">
        <v>2</v>
      </c>
      <c r="F33" s="5" t="s">
        <v>65</v>
      </c>
      <c r="G33" s="5"/>
      <c r="H33" s="16"/>
      <c r="I33" s="26"/>
      <c r="J33" s="7" t="s">
        <v>2</v>
      </c>
      <c r="K33" t="s">
        <v>2</v>
      </c>
      <c r="L33" s="5" t="s">
        <v>65</v>
      </c>
      <c r="M33" s="5"/>
      <c r="N33" s="16"/>
      <c r="O33" s="25"/>
      <c r="P33" s="5"/>
      <c r="Q33" s="5"/>
      <c r="R33" s="5" t="s">
        <v>65</v>
      </c>
      <c r="S33" s="5"/>
      <c r="T33" s="5"/>
      <c r="U33" s="21"/>
      <c r="AF33" s="25"/>
    </row>
    <row r="34" spans="1:32" x14ac:dyDescent="0.25">
      <c r="A34" s="5"/>
      <c r="B34" s="9"/>
      <c r="C34" s="26"/>
      <c r="D34" s="11"/>
      <c r="E34" s="32" t="s">
        <v>68</v>
      </c>
      <c r="F34" s="5"/>
      <c r="G34" s="5"/>
      <c r="H34" s="16"/>
      <c r="I34" s="26"/>
      <c r="J34" s="11"/>
      <c r="K34" s="32" t="s">
        <v>84</v>
      </c>
      <c r="L34" s="5"/>
      <c r="M34" s="5"/>
      <c r="N34" s="16"/>
      <c r="O34" s="25"/>
      <c r="P34" s="5"/>
      <c r="Q34" s="5"/>
      <c r="R34" s="5" t="s">
        <v>107</v>
      </c>
      <c r="S34" s="5"/>
      <c r="T34" s="5"/>
      <c r="U34" s="21"/>
      <c r="AF34" s="25"/>
    </row>
    <row r="35" spans="1:32" x14ac:dyDescent="0.25">
      <c r="B35" s="14"/>
      <c r="C35" s="26"/>
      <c r="E35" s="9" t="s">
        <v>79</v>
      </c>
      <c r="F35" s="5"/>
      <c r="G35" s="5"/>
      <c r="H35" s="5"/>
      <c r="I35" s="26"/>
      <c r="K35" s="9" t="s">
        <v>85</v>
      </c>
      <c r="L35" s="5"/>
      <c r="M35" s="5"/>
      <c r="N35" s="5"/>
      <c r="O35" s="25"/>
      <c r="Q35" t="s">
        <v>104</v>
      </c>
      <c r="U35" s="21"/>
      <c r="AF35" s="25"/>
    </row>
    <row r="36" spans="1:32" x14ac:dyDescent="0.25">
      <c r="B36" s="14"/>
      <c r="C36" s="26"/>
      <c r="E36" s="9" t="s">
        <v>80</v>
      </c>
      <c r="F36" s="5"/>
      <c r="G36" s="5"/>
      <c r="H36" s="5"/>
      <c r="I36" s="26"/>
      <c r="K36" s="9" t="s">
        <v>86</v>
      </c>
      <c r="L36" s="5"/>
      <c r="M36" s="5"/>
      <c r="N36" s="5"/>
      <c r="O36" s="25"/>
      <c r="P36" t="s">
        <v>114</v>
      </c>
      <c r="U36" s="21"/>
      <c r="AF36" s="25"/>
    </row>
    <row r="37" spans="1:32" x14ac:dyDescent="0.25">
      <c r="B37" s="14"/>
      <c r="C37" s="26"/>
      <c r="E37" s="9"/>
      <c r="F37" s="5"/>
      <c r="G37" s="5"/>
      <c r="H37" s="5"/>
      <c r="I37" s="26"/>
      <c r="J37" s="5"/>
      <c r="N37" s="5"/>
      <c r="O37" s="25"/>
      <c r="U37" s="21"/>
      <c r="AF37" s="25"/>
    </row>
    <row r="38" spans="1:32" x14ac:dyDescent="0.25">
      <c r="A38" s="5">
        <v>1999</v>
      </c>
      <c r="B38" s="9" t="s">
        <v>15</v>
      </c>
      <c r="C38" s="26"/>
      <c r="D38" s="5" t="s">
        <v>17</v>
      </c>
      <c r="F38" s="5" t="s">
        <v>28</v>
      </c>
      <c r="G38" s="5"/>
      <c r="H38" s="5"/>
      <c r="I38" s="26"/>
      <c r="J38" s="5" t="s">
        <v>24</v>
      </c>
      <c r="L38" s="5" t="s">
        <v>29</v>
      </c>
      <c r="N38" s="5"/>
      <c r="O38" s="25"/>
      <c r="P38" s="5" t="s">
        <v>111</v>
      </c>
      <c r="R38" s="5" t="s">
        <v>113</v>
      </c>
      <c r="U38" s="21"/>
      <c r="AF38" s="25"/>
    </row>
    <row r="39" spans="1:32" x14ac:dyDescent="0.25">
      <c r="A39" s="5"/>
      <c r="B39" s="9" t="s">
        <v>18</v>
      </c>
      <c r="C39" s="26"/>
      <c r="D39" s="5" t="s">
        <v>17</v>
      </c>
      <c r="F39" s="17">
        <v>13.3</v>
      </c>
      <c r="G39" s="5"/>
      <c r="H39" s="44" t="s">
        <v>168</v>
      </c>
      <c r="I39" s="26"/>
      <c r="J39" s="19" t="s">
        <v>24</v>
      </c>
      <c r="L39" s="17">
        <v>12.2</v>
      </c>
      <c r="N39" s="44" t="s">
        <v>168</v>
      </c>
      <c r="O39" s="25"/>
      <c r="P39" s="5" t="s">
        <v>111</v>
      </c>
      <c r="R39" s="17">
        <v>7.55</v>
      </c>
      <c r="T39" s="44" t="s">
        <v>168</v>
      </c>
      <c r="U39" s="21"/>
      <c r="AF39" s="25"/>
    </row>
    <row r="40" spans="1:32" x14ac:dyDescent="0.25">
      <c r="A40" s="5"/>
      <c r="B40" s="9"/>
      <c r="C40" s="26"/>
      <c r="F40" s="5"/>
      <c r="G40" s="5"/>
      <c r="H40" s="16">
        <f>165*13.3*14</f>
        <v>30723</v>
      </c>
      <c r="I40" s="26"/>
      <c r="J40" s="16"/>
      <c r="N40" s="16">
        <f>280*12.2*14</f>
        <v>47824</v>
      </c>
      <c r="O40" s="25"/>
      <c r="T40" s="15">
        <f>225*7.55*14</f>
        <v>23782.5</v>
      </c>
      <c r="U40" s="21"/>
      <c r="AF40" s="25"/>
    </row>
    <row r="41" spans="1:32" x14ac:dyDescent="0.25">
      <c r="A41" s="5"/>
      <c r="B41" s="14"/>
      <c r="C41" s="26"/>
      <c r="F41" s="5"/>
      <c r="G41" s="5"/>
      <c r="H41" s="5"/>
      <c r="I41" s="26"/>
      <c r="J41" s="5"/>
      <c r="N41" s="5"/>
      <c r="O41" s="25"/>
      <c r="U41" s="21"/>
      <c r="AF41" s="25"/>
    </row>
    <row r="42" spans="1:32" x14ac:dyDescent="0.25">
      <c r="A42" s="5">
        <v>2000</v>
      </c>
      <c r="B42" s="9" t="s">
        <v>15</v>
      </c>
      <c r="C42" s="26"/>
      <c r="D42" s="5" t="s">
        <v>17</v>
      </c>
      <c r="F42" s="5" t="s">
        <v>30</v>
      </c>
      <c r="G42" s="5"/>
      <c r="H42" s="5"/>
      <c r="I42" s="26"/>
      <c r="J42" s="5" t="s">
        <v>24</v>
      </c>
      <c r="L42" s="5" t="s">
        <v>32</v>
      </c>
      <c r="N42" s="5"/>
      <c r="O42" s="25"/>
      <c r="P42" s="5" t="s">
        <v>111</v>
      </c>
      <c r="R42" s="5" t="s">
        <v>115</v>
      </c>
      <c r="U42" s="21"/>
      <c r="AF42" s="25"/>
    </row>
    <row r="43" spans="1:32" x14ac:dyDescent="0.25">
      <c r="A43" s="5"/>
      <c r="B43" s="9" t="s">
        <v>18</v>
      </c>
      <c r="C43" s="26"/>
      <c r="D43" s="5" t="s">
        <v>17</v>
      </c>
      <c r="F43" s="17">
        <v>17</v>
      </c>
      <c r="G43" s="5"/>
      <c r="H43" s="44" t="s">
        <v>168</v>
      </c>
      <c r="I43" s="26"/>
      <c r="J43" s="30" t="s">
        <v>24</v>
      </c>
      <c r="L43" s="17">
        <v>13.5</v>
      </c>
      <c r="N43" s="44" t="s">
        <v>168</v>
      </c>
      <c r="O43" s="25"/>
      <c r="P43" s="5" t="s">
        <v>111</v>
      </c>
      <c r="R43" s="17">
        <v>7.75</v>
      </c>
      <c r="T43" s="44" t="s">
        <v>168</v>
      </c>
      <c r="U43" s="21"/>
      <c r="AF43" s="25"/>
    </row>
    <row r="44" spans="1:32" x14ac:dyDescent="0.25">
      <c r="A44" s="5"/>
      <c r="B44" s="9"/>
      <c r="C44" s="26"/>
      <c r="D44" s="5"/>
      <c r="F44" s="5"/>
      <c r="G44" s="5"/>
      <c r="H44" s="16">
        <f>170*17*14</f>
        <v>40460</v>
      </c>
      <c r="I44" s="26"/>
      <c r="J44" s="16"/>
      <c r="N44" s="16">
        <f>380*13.5*14</f>
        <v>71820</v>
      </c>
      <c r="O44" s="25"/>
      <c r="P44" s="5"/>
      <c r="T44" s="15">
        <f>277*7.75*14</f>
        <v>30054.5</v>
      </c>
      <c r="U44" s="21"/>
      <c r="AF44" s="25"/>
    </row>
    <row r="45" spans="1:32" x14ac:dyDescent="0.25">
      <c r="B45" s="14"/>
      <c r="C45" s="26"/>
      <c r="F45" s="5"/>
      <c r="G45" s="5"/>
      <c r="H45" s="5"/>
      <c r="I45" s="26"/>
      <c r="J45" s="5"/>
      <c r="N45" s="5"/>
      <c r="O45" s="25"/>
      <c r="U45" s="21"/>
      <c r="AF45" s="25"/>
    </row>
    <row r="46" spans="1:32" x14ac:dyDescent="0.25">
      <c r="A46" s="5">
        <v>2001</v>
      </c>
      <c r="B46" s="9" t="s">
        <v>15</v>
      </c>
      <c r="C46" s="26"/>
      <c r="D46" s="5" t="s">
        <v>17</v>
      </c>
      <c r="F46" s="5" t="s">
        <v>31</v>
      </c>
      <c r="G46" s="5"/>
      <c r="I46" s="26"/>
      <c r="J46" s="5" t="s">
        <v>24</v>
      </c>
      <c r="L46" s="5" t="s">
        <v>33</v>
      </c>
      <c r="O46" s="25"/>
      <c r="P46" s="5" t="s">
        <v>111</v>
      </c>
      <c r="R46" s="5" t="s">
        <v>116</v>
      </c>
      <c r="U46" s="21"/>
      <c r="AF46" s="25"/>
    </row>
    <row r="47" spans="1:32" x14ac:dyDescent="0.25">
      <c r="A47" s="5"/>
      <c r="B47" s="9" t="s">
        <v>18</v>
      </c>
      <c r="C47" s="26"/>
      <c r="D47" s="5" t="s">
        <v>17</v>
      </c>
      <c r="F47" s="17">
        <v>19</v>
      </c>
      <c r="G47" s="5"/>
      <c r="H47" s="44" t="s">
        <v>168</v>
      </c>
      <c r="I47" s="26"/>
      <c r="J47" s="19" t="s">
        <v>24</v>
      </c>
      <c r="L47" s="17">
        <v>9.6999999999999993</v>
      </c>
      <c r="N47" s="44" t="s">
        <v>168</v>
      </c>
      <c r="O47" s="25"/>
      <c r="P47" s="5" t="s">
        <v>111</v>
      </c>
      <c r="R47" s="17">
        <v>8.0500000000000007</v>
      </c>
      <c r="T47" s="44" t="s">
        <v>168</v>
      </c>
      <c r="U47" s="21"/>
      <c r="AF47" s="25"/>
    </row>
    <row r="48" spans="1:32" x14ac:dyDescent="0.25">
      <c r="C48" s="26"/>
      <c r="F48" s="5"/>
      <c r="G48" s="5"/>
      <c r="H48" s="16">
        <f>90*19*14</f>
        <v>23940</v>
      </c>
      <c r="I48" s="26"/>
      <c r="J48" s="5"/>
      <c r="N48" s="16">
        <f>330*9.7*14</f>
        <v>44813.999999999993</v>
      </c>
      <c r="O48" s="25"/>
      <c r="T48" s="15">
        <f>242*8.05*14</f>
        <v>27273.4</v>
      </c>
      <c r="U48" s="21"/>
      <c r="AF48" s="25"/>
    </row>
    <row r="49" spans="1:35" x14ac:dyDescent="0.25">
      <c r="C49" s="26"/>
      <c r="F49" s="5"/>
      <c r="G49" s="5"/>
      <c r="H49" s="16"/>
      <c r="I49" s="26"/>
      <c r="J49" s="5"/>
      <c r="N49" s="16"/>
      <c r="O49" s="25"/>
      <c r="U49" s="21"/>
      <c r="AF49" s="25"/>
    </row>
    <row r="50" spans="1:35" x14ac:dyDescent="0.25">
      <c r="C50" s="26"/>
      <c r="D50" s="7" t="s">
        <v>2</v>
      </c>
      <c r="E50" t="s">
        <v>2</v>
      </c>
      <c r="F50" s="5" t="s">
        <v>65</v>
      </c>
      <c r="G50" s="5"/>
      <c r="H50" s="16"/>
      <c r="I50" s="26"/>
      <c r="J50" s="7" t="s">
        <v>2</v>
      </c>
      <c r="K50" t="s">
        <v>2</v>
      </c>
      <c r="L50" s="5" t="s">
        <v>65</v>
      </c>
      <c r="N50" s="16"/>
      <c r="O50" s="25"/>
      <c r="R50" s="5" t="s">
        <v>65</v>
      </c>
      <c r="U50" s="21"/>
      <c r="AF50" s="25"/>
    </row>
    <row r="51" spans="1:35" x14ac:dyDescent="0.25">
      <c r="C51" s="26"/>
      <c r="D51" s="11"/>
      <c r="E51" s="32" t="s">
        <v>76</v>
      </c>
      <c r="F51" s="5"/>
      <c r="G51" s="5"/>
      <c r="H51" s="16"/>
      <c r="I51" s="26"/>
      <c r="J51" s="11"/>
      <c r="K51" s="32" t="s">
        <v>87</v>
      </c>
      <c r="L51" s="5"/>
      <c r="N51" s="16"/>
      <c r="O51" s="25"/>
      <c r="P51" t="s">
        <v>114</v>
      </c>
      <c r="U51" s="21"/>
      <c r="AF51" s="25"/>
    </row>
    <row r="52" spans="1:35" x14ac:dyDescent="0.25">
      <c r="C52" s="26"/>
      <c r="D52" t="s">
        <v>77</v>
      </c>
      <c r="F52" s="5"/>
      <c r="G52" s="5"/>
      <c r="H52" s="16"/>
      <c r="I52" s="26"/>
      <c r="J52" s="34" t="s">
        <v>88</v>
      </c>
      <c r="L52" s="5"/>
      <c r="M52" s="5"/>
      <c r="N52" s="16"/>
      <c r="O52" s="25"/>
      <c r="P52" s="5"/>
      <c r="R52" s="5" t="s">
        <v>107</v>
      </c>
      <c r="U52" s="21"/>
      <c r="AF52" s="25"/>
    </row>
    <row r="53" spans="1:35" x14ac:dyDescent="0.25">
      <c r="C53" s="26"/>
      <c r="D53" s="34" t="s">
        <v>78</v>
      </c>
      <c r="F53" s="5"/>
      <c r="G53" s="5"/>
      <c r="H53" s="16"/>
      <c r="I53" s="26"/>
      <c r="J53" s="5" t="s">
        <v>89</v>
      </c>
      <c r="N53" s="16"/>
      <c r="O53" s="25"/>
      <c r="P53" t="s">
        <v>117</v>
      </c>
      <c r="U53" s="21"/>
      <c r="AF53" s="25"/>
    </row>
    <row r="54" spans="1:35" x14ac:dyDescent="0.25">
      <c r="C54" s="26"/>
      <c r="D54" s="34"/>
      <c r="F54" s="5"/>
      <c r="G54" s="5"/>
      <c r="H54" s="16"/>
      <c r="I54" s="26"/>
      <c r="J54" s="5"/>
      <c r="N54" s="16"/>
      <c r="O54" s="25"/>
      <c r="P54" t="s">
        <v>120</v>
      </c>
      <c r="U54" s="21"/>
      <c r="AF54" s="25"/>
    </row>
    <row r="55" spans="1:35" x14ac:dyDescent="0.25">
      <c r="C55" s="26"/>
      <c r="F55" s="5"/>
      <c r="G55" s="5"/>
      <c r="H55" s="16"/>
      <c r="I55" s="26"/>
      <c r="J55" s="5"/>
      <c r="N55" s="16"/>
      <c r="O55" s="25"/>
      <c r="U55" s="21"/>
      <c r="AF55" s="25"/>
    </row>
    <row r="56" spans="1:35" x14ac:dyDescent="0.25">
      <c r="A56" s="5">
        <v>2002</v>
      </c>
      <c r="B56" s="9" t="s">
        <v>15</v>
      </c>
      <c r="C56" s="26"/>
      <c r="D56" s="5" t="s">
        <v>17</v>
      </c>
      <c r="F56" s="5" t="s">
        <v>34</v>
      </c>
      <c r="G56" s="5"/>
      <c r="H56" s="5"/>
      <c r="I56" s="26"/>
      <c r="J56" s="5" t="s">
        <v>24</v>
      </c>
      <c r="L56" s="5" t="s">
        <v>37</v>
      </c>
      <c r="N56" s="5"/>
      <c r="O56" s="25"/>
      <c r="P56" s="5" t="s">
        <v>111</v>
      </c>
      <c r="R56" s="5" t="s">
        <v>21</v>
      </c>
      <c r="U56" s="21"/>
      <c r="AF56" s="25"/>
      <c r="AI56" s="4"/>
    </row>
    <row r="57" spans="1:35" x14ac:dyDescent="0.25">
      <c r="A57" s="5"/>
      <c r="B57" s="9" t="s">
        <v>18</v>
      </c>
      <c r="C57" s="26"/>
      <c r="D57" s="5" t="s">
        <v>17</v>
      </c>
      <c r="F57" s="17">
        <v>13.3</v>
      </c>
      <c r="G57" s="5"/>
      <c r="H57" s="44" t="s">
        <v>168</v>
      </c>
      <c r="I57" s="26"/>
      <c r="J57" s="19" t="s">
        <v>24</v>
      </c>
      <c r="L57" s="17">
        <v>12.4</v>
      </c>
      <c r="N57" s="44" t="s">
        <v>168</v>
      </c>
      <c r="O57" s="25"/>
      <c r="P57" s="5" t="s">
        <v>17</v>
      </c>
      <c r="R57" s="17">
        <v>9.15</v>
      </c>
      <c r="T57" s="44" t="s">
        <v>168</v>
      </c>
      <c r="U57" s="21"/>
      <c r="AF57" s="25"/>
      <c r="AI57" s="4"/>
    </row>
    <row r="58" spans="1:35" x14ac:dyDescent="0.25">
      <c r="A58" s="5"/>
      <c r="B58" s="9"/>
      <c r="C58" s="26"/>
      <c r="F58" s="5"/>
      <c r="G58" s="5"/>
      <c r="H58" s="16">
        <f>190*13.3*14</f>
        <v>35378</v>
      </c>
      <c r="I58" s="26"/>
      <c r="J58" s="16"/>
      <c r="N58" s="16">
        <f>230*12.4*14</f>
        <v>39928</v>
      </c>
      <c r="O58" s="25"/>
      <c r="T58" s="15">
        <f>215*9.15*14</f>
        <v>27541.5</v>
      </c>
      <c r="U58" s="21"/>
      <c r="AF58" s="25"/>
      <c r="AI58" s="4"/>
    </row>
    <row r="59" spans="1:35" x14ac:dyDescent="0.25">
      <c r="A59" s="5"/>
      <c r="B59" s="9"/>
      <c r="C59" s="26"/>
      <c r="F59" s="5"/>
      <c r="G59" s="5"/>
      <c r="H59" s="5"/>
      <c r="I59" s="26"/>
      <c r="J59" s="5"/>
      <c r="N59" s="5"/>
      <c r="O59" s="25"/>
      <c r="U59" s="21"/>
      <c r="AF59" s="25"/>
      <c r="AI59" s="4"/>
    </row>
    <row r="60" spans="1:35" x14ac:dyDescent="0.25">
      <c r="A60" s="5">
        <v>2003</v>
      </c>
      <c r="B60" s="9" t="s">
        <v>15</v>
      </c>
      <c r="C60" s="26"/>
      <c r="D60" s="5" t="s">
        <v>17</v>
      </c>
      <c r="F60" s="5" t="s">
        <v>35</v>
      </c>
      <c r="G60" s="5"/>
      <c r="H60" s="5"/>
      <c r="I60" s="26"/>
      <c r="J60" s="5" t="s">
        <v>24</v>
      </c>
      <c r="L60" s="5" t="s">
        <v>38</v>
      </c>
      <c r="N60" s="5"/>
      <c r="O60" s="25"/>
      <c r="P60" s="5" t="s">
        <v>111</v>
      </c>
      <c r="R60" s="5" t="s">
        <v>118</v>
      </c>
      <c r="U60" s="21"/>
      <c r="AF60" s="25"/>
    </row>
    <row r="61" spans="1:35" x14ac:dyDescent="0.25">
      <c r="A61" s="5"/>
      <c r="B61" s="9" t="s">
        <v>18</v>
      </c>
      <c r="C61" s="26"/>
      <c r="D61" s="5" t="s">
        <v>17</v>
      </c>
      <c r="F61" s="17">
        <v>10.7</v>
      </c>
      <c r="G61" s="5"/>
      <c r="H61" s="44" t="s">
        <v>168</v>
      </c>
      <c r="I61" s="26"/>
      <c r="J61" s="30" t="s">
        <v>24</v>
      </c>
      <c r="L61" s="17">
        <v>13.3</v>
      </c>
      <c r="N61" s="44" t="s">
        <v>168</v>
      </c>
      <c r="O61" s="25"/>
      <c r="P61" s="5" t="s">
        <v>119</v>
      </c>
      <c r="R61" s="17">
        <v>7.05</v>
      </c>
      <c r="T61" s="44" t="s">
        <v>168</v>
      </c>
      <c r="U61" s="21"/>
      <c r="AF61" s="25"/>
    </row>
    <row r="62" spans="1:35" x14ac:dyDescent="0.25">
      <c r="A62" s="5"/>
      <c r="B62" s="9"/>
      <c r="C62" s="26"/>
      <c r="D62" s="5"/>
      <c r="F62" s="5"/>
      <c r="G62" s="5"/>
      <c r="H62" s="16">
        <f>195*10.7*14</f>
        <v>29211</v>
      </c>
      <c r="I62" s="26"/>
      <c r="J62" s="16"/>
      <c r="N62" s="16">
        <f>320*13.3*14</f>
        <v>59584</v>
      </c>
      <c r="O62" s="25"/>
      <c r="P62" s="5"/>
      <c r="T62" s="15">
        <f>292*7.05*14</f>
        <v>28820.399999999998</v>
      </c>
      <c r="U62" s="21"/>
      <c r="AF62" s="25"/>
    </row>
    <row r="63" spans="1:35" x14ac:dyDescent="0.25">
      <c r="A63" s="5"/>
      <c r="B63" s="9"/>
      <c r="C63" s="26"/>
      <c r="F63" s="5"/>
      <c r="G63" s="5"/>
      <c r="H63" s="5"/>
      <c r="I63" s="26"/>
      <c r="J63" s="5"/>
      <c r="N63" s="5"/>
      <c r="O63" s="25"/>
      <c r="U63" s="21"/>
      <c r="AF63" s="25"/>
    </row>
    <row r="64" spans="1:35" x14ac:dyDescent="0.25">
      <c r="A64" s="5">
        <v>2004</v>
      </c>
      <c r="B64" s="9" t="s">
        <v>15</v>
      </c>
      <c r="C64" s="26"/>
      <c r="D64" s="5" t="s">
        <v>17</v>
      </c>
      <c r="F64" s="5" t="s">
        <v>20</v>
      </c>
      <c r="G64" s="5"/>
      <c r="H64" s="5"/>
      <c r="I64" s="26"/>
      <c r="J64" s="5" t="s">
        <v>24</v>
      </c>
      <c r="L64" s="5" t="s">
        <v>39</v>
      </c>
      <c r="N64" s="5"/>
      <c r="O64" s="25"/>
      <c r="P64" s="5" t="s">
        <v>111</v>
      </c>
      <c r="R64" s="5" t="s">
        <v>21</v>
      </c>
      <c r="U64" s="21"/>
      <c r="AF64" s="25"/>
    </row>
    <row r="65" spans="1:32" x14ac:dyDescent="0.25">
      <c r="A65" s="5"/>
      <c r="B65" s="9" t="s">
        <v>18</v>
      </c>
      <c r="C65" s="26"/>
      <c r="D65" s="5" t="s">
        <v>17</v>
      </c>
      <c r="F65" s="17">
        <v>11.9</v>
      </c>
      <c r="G65" s="5"/>
      <c r="H65" s="44" t="s">
        <v>168</v>
      </c>
      <c r="I65" s="26"/>
      <c r="J65" s="19" t="s">
        <v>24</v>
      </c>
      <c r="L65" s="17">
        <v>12.1</v>
      </c>
      <c r="N65" s="44" t="s">
        <v>168</v>
      </c>
      <c r="O65" s="25"/>
      <c r="P65" s="5" t="s">
        <v>119</v>
      </c>
      <c r="R65" s="17">
        <v>7.45</v>
      </c>
      <c r="T65" s="44" t="s">
        <v>168</v>
      </c>
      <c r="U65" s="21"/>
      <c r="AF65" s="25"/>
    </row>
    <row r="66" spans="1:32" x14ac:dyDescent="0.25">
      <c r="A66" s="5"/>
      <c r="B66" s="14"/>
      <c r="C66" s="26"/>
      <c r="F66" s="5"/>
      <c r="G66" s="5"/>
      <c r="H66" s="16">
        <f>210*11.9*14</f>
        <v>34986</v>
      </c>
      <c r="I66" s="26"/>
      <c r="J66" s="5"/>
      <c r="N66" s="16">
        <f>400*12.1*14</f>
        <v>67760</v>
      </c>
      <c r="O66" s="25"/>
      <c r="T66" s="15">
        <f>215*7.45*14</f>
        <v>22424.5</v>
      </c>
      <c r="U66" s="21"/>
      <c r="AF66" s="25"/>
    </row>
    <row r="67" spans="1:32" x14ac:dyDescent="0.25">
      <c r="A67" s="5"/>
      <c r="B67" s="14"/>
      <c r="C67" s="26"/>
      <c r="F67" s="5"/>
      <c r="G67" s="5"/>
      <c r="H67" s="16"/>
      <c r="I67" s="26"/>
      <c r="J67" s="5"/>
      <c r="N67" s="16"/>
      <c r="O67" s="25"/>
      <c r="U67" s="21"/>
      <c r="AF67" s="25"/>
    </row>
    <row r="68" spans="1:32" x14ac:dyDescent="0.25">
      <c r="A68" s="5"/>
      <c r="B68" s="14"/>
      <c r="C68" s="26"/>
      <c r="D68" s="7" t="s">
        <v>2</v>
      </c>
      <c r="E68" t="s">
        <v>2</v>
      </c>
      <c r="F68" s="5" t="s">
        <v>65</v>
      </c>
      <c r="G68" s="5"/>
      <c r="H68" s="16"/>
      <c r="I68" s="26"/>
      <c r="J68" s="7" t="s">
        <v>2</v>
      </c>
      <c r="K68" t="s">
        <v>2</v>
      </c>
      <c r="L68" s="5" t="s">
        <v>65</v>
      </c>
      <c r="M68" s="5"/>
      <c r="N68" s="16"/>
      <c r="O68" s="25"/>
      <c r="R68" s="5" t="s">
        <v>65</v>
      </c>
      <c r="U68" s="21"/>
      <c r="AF68" s="25"/>
    </row>
    <row r="69" spans="1:32" x14ac:dyDescent="0.25">
      <c r="A69" s="5"/>
      <c r="B69" s="14"/>
      <c r="C69" s="26"/>
      <c r="D69" s="11"/>
      <c r="E69" s="32" t="s">
        <v>73</v>
      </c>
      <c r="F69" s="5"/>
      <c r="G69" s="5"/>
      <c r="H69" s="16"/>
      <c r="I69" s="26"/>
      <c r="J69" s="11"/>
      <c r="K69" s="32" t="s">
        <v>81</v>
      </c>
      <c r="L69" s="5"/>
      <c r="M69" s="5"/>
      <c r="N69" s="16"/>
      <c r="O69" s="25"/>
      <c r="P69" t="s">
        <v>125</v>
      </c>
      <c r="U69" s="21"/>
      <c r="AF69" s="25"/>
    </row>
    <row r="70" spans="1:32" x14ac:dyDescent="0.25">
      <c r="A70" s="5"/>
      <c r="B70" s="14"/>
      <c r="C70" s="26"/>
      <c r="D70" s="34" t="s">
        <v>74</v>
      </c>
      <c r="F70" s="5"/>
      <c r="G70" s="5"/>
      <c r="H70" s="16"/>
      <c r="I70" s="26"/>
      <c r="J70" s="34" t="s">
        <v>90</v>
      </c>
      <c r="L70" s="5"/>
      <c r="M70" s="5"/>
      <c r="N70" s="16"/>
      <c r="O70" s="25"/>
      <c r="P70" t="s">
        <v>124</v>
      </c>
      <c r="U70" s="21"/>
      <c r="AF70" s="25"/>
    </row>
    <row r="71" spans="1:32" x14ac:dyDescent="0.25">
      <c r="A71" s="5"/>
      <c r="B71" s="14"/>
      <c r="C71" s="26"/>
      <c r="D71" t="s">
        <v>75</v>
      </c>
      <c r="F71" s="5"/>
      <c r="G71" s="5"/>
      <c r="H71" s="16"/>
      <c r="I71" s="26"/>
      <c r="J71" t="s">
        <v>91</v>
      </c>
      <c r="L71" s="5"/>
      <c r="M71" s="5"/>
      <c r="N71" s="16"/>
      <c r="O71" s="25"/>
      <c r="U71" s="21"/>
      <c r="AF71" s="25"/>
    </row>
    <row r="72" spans="1:32" x14ac:dyDescent="0.25">
      <c r="A72" s="5"/>
      <c r="B72" s="14"/>
      <c r="C72" s="26"/>
      <c r="F72" s="5"/>
      <c r="G72" s="5"/>
      <c r="H72" s="5"/>
      <c r="I72" s="26"/>
      <c r="J72" s="5"/>
      <c r="N72" s="5"/>
      <c r="O72" s="25"/>
      <c r="U72" s="21"/>
      <c r="AF72" s="25"/>
    </row>
    <row r="73" spans="1:32" x14ac:dyDescent="0.25">
      <c r="A73" s="5">
        <v>2005</v>
      </c>
      <c r="B73" s="9" t="s">
        <v>15</v>
      </c>
      <c r="C73" s="26"/>
      <c r="D73" s="5" t="s">
        <v>17</v>
      </c>
      <c r="F73" s="5" t="s">
        <v>30</v>
      </c>
      <c r="G73" s="5"/>
      <c r="H73" s="5"/>
      <c r="I73" s="26"/>
      <c r="J73" s="5" t="s">
        <v>24</v>
      </c>
      <c r="L73" s="5" t="s">
        <v>29</v>
      </c>
      <c r="N73" s="5"/>
      <c r="O73" s="25"/>
      <c r="P73" s="5" t="s">
        <v>111</v>
      </c>
      <c r="R73" s="5" t="s">
        <v>121</v>
      </c>
      <c r="U73" s="21"/>
      <c r="AF73" s="25"/>
    </row>
    <row r="74" spans="1:32" x14ac:dyDescent="0.25">
      <c r="A74" s="5"/>
      <c r="B74" s="9" t="s">
        <v>18</v>
      </c>
      <c r="C74" s="26"/>
      <c r="D74" s="5" t="s">
        <v>17</v>
      </c>
      <c r="F74" s="17">
        <v>18.2</v>
      </c>
      <c r="G74" s="5"/>
      <c r="H74" s="44" t="s">
        <v>168</v>
      </c>
      <c r="I74" s="26"/>
      <c r="J74" s="19" t="s">
        <v>24</v>
      </c>
      <c r="L74" s="17">
        <v>15.2</v>
      </c>
      <c r="N74" s="44" t="s">
        <v>168</v>
      </c>
      <c r="O74" s="25"/>
      <c r="P74" s="5" t="s">
        <v>17</v>
      </c>
      <c r="R74" s="17">
        <v>11.4</v>
      </c>
      <c r="T74" s="44" t="s">
        <v>168</v>
      </c>
      <c r="U74" s="21"/>
      <c r="AF74" s="25"/>
    </row>
    <row r="75" spans="1:32" x14ac:dyDescent="0.25">
      <c r="A75" s="5"/>
      <c r="B75" s="14"/>
      <c r="C75" s="26"/>
      <c r="F75" s="5"/>
      <c r="G75" s="5"/>
      <c r="H75" s="16">
        <f>170*18.2*14</f>
        <v>43316</v>
      </c>
      <c r="I75" s="26"/>
      <c r="J75" s="16"/>
      <c r="N75" s="16">
        <f>280*15.2*14</f>
        <v>59584</v>
      </c>
      <c r="O75" s="25"/>
      <c r="T75" s="15">
        <f>246*11.4*14</f>
        <v>39261.599999999999</v>
      </c>
      <c r="U75" s="21"/>
      <c r="AF75" s="25"/>
    </row>
    <row r="76" spans="1:32" x14ac:dyDescent="0.25">
      <c r="B76" s="14"/>
      <c r="C76" s="26"/>
      <c r="F76" s="5"/>
      <c r="G76" s="5"/>
      <c r="H76" s="5"/>
      <c r="I76" s="26"/>
      <c r="J76" s="5"/>
      <c r="N76" s="5"/>
      <c r="O76" s="25"/>
      <c r="U76" s="21"/>
      <c r="AF76" s="25"/>
    </row>
    <row r="77" spans="1:32" x14ac:dyDescent="0.25">
      <c r="A77" s="5">
        <v>2006</v>
      </c>
      <c r="B77" s="9" t="s">
        <v>15</v>
      </c>
      <c r="C77" s="26"/>
      <c r="D77" s="5" t="s">
        <v>17</v>
      </c>
      <c r="F77" s="5" t="s">
        <v>37</v>
      </c>
      <c r="G77" s="5"/>
      <c r="H77" s="5"/>
      <c r="I77" s="26"/>
      <c r="J77" s="5" t="s">
        <v>24</v>
      </c>
      <c r="L77" s="5" t="s">
        <v>33</v>
      </c>
      <c r="N77" s="5"/>
      <c r="O77" s="25"/>
      <c r="P77" s="5" t="s">
        <v>111</v>
      </c>
      <c r="R77" s="5" t="s">
        <v>122</v>
      </c>
      <c r="U77" s="21"/>
      <c r="AF77" s="25"/>
    </row>
    <row r="78" spans="1:32" x14ac:dyDescent="0.25">
      <c r="B78" s="9" t="s">
        <v>18</v>
      </c>
      <c r="C78" s="26"/>
      <c r="D78" s="5" t="s">
        <v>17</v>
      </c>
      <c r="F78" s="17">
        <v>20</v>
      </c>
      <c r="G78" s="5"/>
      <c r="H78" s="44" t="s">
        <v>168</v>
      </c>
      <c r="I78" s="26"/>
      <c r="J78" s="30" t="s">
        <v>24</v>
      </c>
      <c r="L78" s="17">
        <v>19.399999999999999</v>
      </c>
      <c r="N78" s="44" t="s">
        <v>168</v>
      </c>
      <c r="O78" s="25"/>
      <c r="P78" s="5" t="s">
        <v>119</v>
      </c>
      <c r="R78" s="17">
        <v>10.4</v>
      </c>
      <c r="T78" s="44" t="s">
        <v>168</v>
      </c>
      <c r="U78" s="21"/>
      <c r="AF78" s="25"/>
    </row>
    <row r="79" spans="1:32" x14ac:dyDescent="0.25">
      <c r="B79" s="14"/>
      <c r="C79" s="26"/>
      <c r="D79" s="5"/>
      <c r="F79" s="5"/>
      <c r="G79" s="5"/>
      <c r="H79" s="16">
        <f>230*20*14</f>
        <v>64400</v>
      </c>
      <c r="I79" s="26"/>
      <c r="J79" s="16"/>
      <c r="N79" s="16">
        <f>330*19.4*14</f>
        <v>89627.999999999985</v>
      </c>
      <c r="O79" s="25"/>
      <c r="P79" s="5"/>
      <c r="T79" s="15">
        <f>253*10.4*14</f>
        <v>36836.800000000003</v>
      </c>
      <c r="U79" s="21"/>
      <c r="AF79" s="25"/>
    </row>
    <row r="80" spans="1:32" x14ac:dyDescent="0.25">
      <c r="B80" s="14"/>
      <c r="C80" s="26"/>
      <c r="F80" s="5"/>
      <c r="G80" s="5"/>
      <c r="H80" s="5"/>
      <c r="I80" s="26"/>
      <c r="J80" s="5"/>
      <c r="N80" s="5"/>
      <c r="O80" s="25"/>
      <c r="U80" s="21"/>
      <c r="AF80" s="25"/>
    </row>
    <row r="81" spans="1:32" x14ac:dyDescent="0.25">
      <c r="A81" s="5">
        <v>2007</v>
      </c>
      <c r="B81" s="9" t="s">
        <v>15</v>
      </c>
      <c r="C81" s="26"/>
      <c r="D81" s="5" t="s">
        <v>17</v>
      </c>
      <c r="F81" s="5" t="s">
        <v>40</v>
      </c>
      <c r="G81" s="5"/>
      <c r="H81" s="5"/>
      <c r="I81" s="26"/>
      <c r="J81" s="5" t="s">
        <v>24</v>
      </c>
      <c r="L81" s="5" t="s">
        <v>41</v>
      </c>
      <c r="N81" s="5"/>
      <c r="O81" s="25"/>
      <c r="P81" s="5" t="s">
        <v>111</v>
      </c>
      <c r="R81" s="5" t="s">
        <v>123</v>
      </c>
      <c r="U81" s="21"/>
      <c r="AF81" s="25"/>
    </row>
    <row r="82" spans="1:32" x14ac:dyDescent="0.25">
      <c r="A82" s="5"/>
      <c r="B82" s="9" t="s">
        <v>18</v>
      </c>
      <c r="C82" s="26"/>
      <c r="D82" s="5" t="s">
        <v>17</v>
      </c>
      <c r="F82" s="17">
        <v>14.2</v>
      </c>
      <c r="G82" s="5"/>
      <c r="H82" s="44" t="s">
        <v>168</v>
      </c>
      <c r="I82" s="26"/>
      <c r="J82" s="19" t="s">
        <v>24</v>
      </c>
      <c r="L82" s="17">
        <v>11.1</v>
      </c>
      <c r="N82" s="44" t="s">
        <v>168</v>
      </c>
      <c r="O82" s="25"/>
      <c r="P82" s="5" t="s">
        <v>119</v>
      </c>
      <c r="R82" s="17">
        <v>10.1</v>
      </c>
      <c r="T82" s="44" t="s">
        <v>168</v>
      </c>
      <c r="U82" s="21"/>
      <c r="AF82" s="25"/>
    </row>
    <row r="83" spans="1:32" x14ac:dyDescent="0.25">
      <c r="A83" s="5"/>
      <c r="B83" s="14"/>
      <c r="C83" s="26"/>
      <c r="F83" s="5"/>
      <c r="G83" s="5"/>
      <c r="H83" s="16">
        <f>270*14.2*14</f>
        <v>53676</v>
      </c>
      <c r="I83" s="26"/>
      <c r="J83" s="5"/>
      <c r="N83" s="16">
        <f>360*11.1*14</f>
        <v>55944</v>
      </c>
      <c r="O83" s="25"/>
      <c r="T83" s="15">
        <f>209*10.1*14</f>
        <v>29552.600000000002</v>
      </c>
      <c r="U83" s="21"/>
      <c r="AF83" s="25"/>
    </row>
    <row r="84" spans="1:32" x14ac:dyDescent="0.25">
      <c r="A84" s="5"/>
      <c r="B84" s="14"/>
      <c r="C84" s="26"/>
      <c r="F84" s="5"/>
      <c r="G84" s="5"/>
      <c r="H84" s="16"/>
      <c r="I84" s="26"/>
      <c r="J84" s="5"/>
      <c r="N84" s="16"/>
      <c r="O84" s="25"/>
      <c r="U84" s="21"/>
      <c r="AF84" s="25"/>
    </row>
    <row r="85" spans="1:32" x14ac:dyDescent="0.25">
      <c r="A85" s="5"/>
      <c r="B85" s="14"/>
      <c r="C85" s="26"/>
      <c r="D85" s="7" t="s">
        <v>2</v>
      </c>
      <c r="E85" t="s">
        <v>2</v>
      </c>
      <c r="F85" s="5" t="s">
        <v>65</v>
      </c>
      <c r="G85" s="5"/>
      <c r="H85" s="16"/>
      <c r="I85" s="26"/>
      <c r="J85" s="7" t="s">
        <v>2</v>
      </c>
      <c r="K85" t="s">
        <v>2</v>
      </c>
      <c r="L85" s="5" t="s">
        <v>65</v>
      </c>
      <c r="M85" s="5"/>
      <c r="N85" s="16"/>
      <c r="O85" s="25"/>
      <c r="R85" s="5" t="s">
        <v>65</v>
      </c>
      <c r="U85" s="21"/>
      <c r="AF85" s="25"/>
    </row>
    <row r="86" spans="1:32" x14ac:dyDescent="0.25">
      <c r="A86" s="5"/>
      <c r="B86" s="14"/>
      <c r="C86" s="26"/>
      <c r="D86" s="11"/>
      <c r="E86" s="32" t="s">
        <v>68</v>
      </c>
      <c r="F86" s="5"/>
      <c r="G86" s="5"/>
      <c r="H86" s="16"/>
      <c r="I86" s="26"/>
      <c r="J86" s="11"/>
      <c r="K86" s="32" t="s">
        <v>76</v>
      </c>
      <c r="L86" s="5"/>
      <c r="M86" s="5"/>
      <c r="N86" s="16"/>
      <c r="O86" s="25"/>
      <c r="P86" t="s">
        <v>129</v>
      </c>
      <c r="U86" s="21"/>
      <c r="AF86" s="25"/>
    </row>
    <row r="87" spans="1:32" x14ac:dyDescent="0.25">
      <c r="A87" s="5"/>
      <c r="B87" s="14"/>
      <c r="C87" s="26"/>
      <c r="D87" s="34" t="s">
        <v>69</v>
      </c>
      <c r="F87" s="5"/>
      <c r="G87" s="5"/>
      <c r="H87" s="16"/>
      <c r="I87" s="26"/>
      <c r="J87" s="34" t="s">
        <v>92</v>
      </c>
      <c r="L87" s="5"/>
      <c r="M87" s="5"/>
      <c r="N87" s="16"/>
      <c r="O87" s="25"/>
      <c r="P87" t="s">
        <v>128</v>
      </c>
      <c r="U87" s="21"/>
      <c r="AF87" s="25"/>
    </row>
    <row r="88" spans="1:32" x14ac:dyDescent="0.25">
      <c r="A88" s="5"/>
      <c r="B88" s="14"/>
      <c r="C88" s="26"/>
      <c r="D88" t="s">
        <v>70</v>
      </c>
      <c r="F88" s="5"/>
      <c r="G88" s="5"/>
      <c r="H88" s="16"/>
      <c r="I88" s="26"/>
      <c r="J88" t="s">
        <v>93</v>
      </c>
      <c r="L88" s="5"/>
      <c r="M88" s="5"/>
      <c r="N88" s="16"/>
      <c r="O88" s="25"/>
      <c r="P88" t="s">
        <v>127</v>
      </c>
      <c r="U88" s="21"/>
      <c r="AF88" s="25"/>
    </row>
    <row r="89" spans="1:32" x14ac:dyDescent="0.25">
      <c r="B89" s="14"/>
      <c r="C89" s="26"/>
      <c r="F89" s="5"/>
      <c r="G89" s="5"/>
      <c r="H89" s="5"/>
      <c r="I89" s="26"/>
      <c r="J89" s="5"/>
      <c r="N89" s="5"/>
      <c r="O89" s="25"/>
      <c r="U89" s="21"/>
      <c r="AF89" s="25"/>
    </row>
    <row r="90" spans="1:32" x14ac:dyDescent="0.25">
      <c r="A90" s="5">
        <v>2008</v>
      </c>
      <c r="B90" s="9" t="s">
        <v>15</v>
      </c>
      <c r="C90" s="26"/>
      <c r="D90" s="5" t="s">
        <v>17</v>
      </c>
      <c r="F90" s="5" t="s">
        <v>25</v>
      </c>
      <c r="G90" s="5"/>
      <c r="H90" s="5"/>
      <c r="I90" s="26"/>
      <c r="J90" s="5" t="s">
        <v>24</v>
      </c>
      <c r="L90" s="5" t="s">
        <v>43</v>
      </c>
      <c r="N90" s="5"/>
      <c r="O90" s="25"/>
      <c r="P90" s="5" t="s">
        <v>126</v>
      </c>
      <c r="R90" s="5" t="s">
        <v>130</v>
      </c>
      <c r="U90" s="21"/>
      <c r="AF90" s="25"/>
    </row>
    <row r="91" spans="1:32" x14ac:dyDescent="0.25">
      <c r="A91" s="5"/>
      <c r="B91" s="9" t="s">
        <v>18</v>
      </c>
      <c r="C91" s="26"/>
      <c r="D91" s="5" t="s">
        <v>17</v>
      </c>
      <c r="F91" s="17">
        <v>14.7</v>
      </c>
      <c r="G91" s="5"/>
      <c r="H91" s="44" t="s">
        <v>168</v>
      </c>
      <c r="I91" s="26"/>
      <c r="J91" s="19" t="s">
        <v>24</v>
      </c>
      <c r="L91" s="17">
        <v>16.8</v>
      </c>
      <c r="N91" s="44" t="s">
        <v>168</v>
      </c>
      <c r="O91" s="25"/>
      <c r="P91" s="5" t="s">
        <v>17</v>
      </c>
      <c r="R91" s="17">
        <v>13.3</v>
      </c>
      <c r="T91" s="44" t="s">
        <v>168</v>
      </c>
      <c r="U91" s="21"/>
      <c r="AF91" s="25"/>
    </row>
    <row r="92" spans="1:32" x14ac:dyDescent="0.25">
      <c r="A92" s="5"/>
      <c r="B92" s="14"/>
      <c r="C92" s="26"/>
      <c r="F92" s="5"/>
      <c r="G92" s="5"/>
      <c r="H92" s="16">
        <f>240*14.7*14</f>
        <v>49392</v>
      </c>
      <c r="I92" s="26"/>
      <c r="J92" s="16"/>
      <c r="N92" s="16">
        <f>410*16.8*14</f>
        <v>96432</v>
      </c>
      <c r="O92" s="25"/>
      <c r="T92" s="15">
        <f>216*13.3*14</f>
        <v>40219.200000000004</v>
      </c>
      <c r="U92" s="21"/>
      <c r="AF92" s="25"/>
    </row>
    <row r="93" spans="1:32" x14ac:dyDescent="0.25">
      <c r="B93" s="14"/>
      <c r="C93" s="26"/>
      <c r="F93" s="5"/>
      <c r="G93" s="5"/>
      <c r="H93" s="5"/>
      <c r="I93" s="26"/>
      <c r="J93" s="5"/>
      <c r="N93" s="5"/>
      <c r="O93" s="25"/>
      <c r="U93" s="21"/>
      <c r="AF93" s="25"/>
    </row>
    <row r="94" spans="1:32" x14ac:dyDescent="0.25">
      <c r="A94" s="5">
        <v>2009</v>
      </c>
      <c r="B94" s="9" t="s">
        <v>15</v>
      </c>
      <c r="C94" s="26"/>
      <c r="D94" s="5" t="s">
        <v>17</v>
      </c>
      <c r="F94" s="5" t="s">
        <v>42</v>
      </c>
      <c r="G94" s="5"/>
      <c r="H94" s="5"/>
      <c r="I94" s="26"/>
      <c r="J94" s="5" t="s">
        <v>24</v>
      </c>
      <c r="L94" s="5" t="s">
        <v>44</v>
      </c>
      <c r="N94" s="5"/>
      <c r="O94" s="25"/>
      <c r="P94" s="5" t="s">
        <v>126</v>
      </c>
      <c r="R94" s="5" t="s">
        <v>131</v>
      </c>
      <c r="U94" s="21"/>
      <c r="AF94" s="25"/>
    </row>
    <row r="95" spans="1:32" x14ac:dyDescent="0.25">
      <c r="A95" s="5"/>
      <c r="B95" s="9" t="s">
        <v>18</v>
      </c>
      <c r="C95" s="26"/>
      <c r="D95" s="5" t="s">
        <v>17</v>
      </c>
      <c r="F95" s="17">
        <v>18.899999999999999</v>
      </c>
      <c r="G95" s="5"/>
      <c r="H95" s="44" t="s">
        <v>168</v>
      </c>
      <c r="I95" s="26"/>
      <c r="J95" s="30" t="s">
        <v>24</v>
      </c>
      <c r="L95" s="17">
        <v>18.600000000000001</v>
      </c>
      <c r="N95" s="44" t="s">
        <v>168</v>
      </c>
      <c r="O95" s="25"/>
      <c r="P95" s="5" t="s">
        <v>119</v>
      </c>
      <c r="R95" s="17">
        <v>12.7</v>
      </c>
      <c r="T95" s="44" t="s">
        <v>168</v>
      </c>
      <c r="U95" s="21"/>
      <c r="AF95" s="25"/>
    </row>
    <row r="96" spans="1:32" x14ac:dyDescent="0.25">
      <c r="A96" s="5"/>
      <c r="B96" s="14"/>
      <c r="C96" s="26"/>
      <c r="D96" s="5"/>
      <c r="F96" s="5"/>
      <c r="G96" s="5"/>
      <c r="H96" s="16">
        <f>220*18.9*14</f>
        <v>58212</v>
      </c>
      <c r="I96" s="26"/>
      <c r="J96" s="16"/>
      <c r="N96" s="16">
        <f>415*18.6*14</f>
        <v>108066.00000000001</v>
      </c>
      <c r="O96" s="25"/>
      <c r="P96" s="5"/>
      <c r="T96" s="15">
        <f>294*12.7*14</f>
        <v>52273.2</v>
      </c>
      <c r="U96" s="21"/>
      <c r="AF96" s="25"/>
    </row>
    <row r="97" spans="1:32" x14ac:dyDescent="0.25">
      <c r="B97" s="14"/>
      <c r="C97" s="26"/>
      <c r="F97" s="5"/>
      <c r="G97" s="5"/>
      <c r="H97" s="5"/>
      <c r="I97" s="26"/>
      <c r="J97" s="5"/>
      <c r="N97" s="5"/>
      <c r="O97" s="25"/>
      <c r="U97" s="21"/>
      <c r="AF97" s="25"/>
    </row>
    <row r="98" spans="1:32" x14ac:dyDescent="0.25">
      <c r="A98" s="5">
        <v>2010</v>
      </c>
      <c r="B98" s="9" t="s">
        <v>15</v>
      </c>
      <c r="C98" s="26"/>
      <c r="D98" s="5" t="s">
        <v>17</v>
      </c>
      <c r="F98" s="5" t="s">
        <v>33</v>
      </c>
      <c r="G98" s="5"/>
      <c r="H98" s="5"/>
      <c r="I98" s="26"/>
      <c r="J98" s="5" t="s">
        <v>24</v>
      </c>
      <c r="L98" s="5" t="s">
        <v>45</v>
      </c>
      <c r="N98" s="5"/>
      <c r="O98" s="25"/>
      <c r="P98" s="5" t="s">
        <v>126</v>
      </c>
      <c r="R98" s="5" t="s">
        <v>132</v>
      </c>
      <c r="U98" s="21"/>
      <c r="AF98" s="25"/>
    </row>
    <row r="99" spans="1:32" x14ac:dyDescent="0.25">
      <c r="A99" s="5"/>
      <c r="B99" s="9" t="s">
        <v>18</v>
      </c>
      <c r="C99" s="26"/>
      <c r="D99" s="5" t="s">
        <v>17</v>
      </c>
      <c r="F99" s="17">
        <v>15</v>
      </c>
      <c r="G99" s="5"/>
      <c r="H99" s="44" t="s">
        <v>168</v>
      </c>
      <c r="I99" s="26"/>
      <c r="J99" s="19" t="s">
        <v>24</v>
      </c>
      <c r="L99" s="17">
        <v>19.7</v>
      </c>
      <c r="N99" s="44" t="s">
        <v>168</v>
      </c>
      <c r="O99" s="25"/>
      <c r="P99" s="5" t="s">
        <v>119</v>
      </c>
      <c r="R99" s="17">
        <v>12.1</v>
      </c>
      <c r="T99" s="44" t="s">
        <v>168</v>
      </c>
      <c r="U99" s="21"/>
      <c r="AF99" s="25"/>
    </row>
    <row r="100" spans="1:32" x14ac:dyDescent="0.25">
      <c r="A100" s="5"/>
      <c r="B100" s="14"/>
      <c r="C100" s="26"/>
      <c r="F100" s="5"/>
      <c r="G100" s="5"/>
      <c r="H100" s="16">
        <f>330*15*14</f>
        <v>69300</v>
      </c>
      <c r="I100" s="26"/>
      <c r="J100" s="5"/>
      <c r="N100" s="16">
        <f>315*19.7*14</f>
        <v>86877</v>
      </c>
      <c r="O100" s="25"/>
      <c r="T100" s="15">
        <f>284*12.1*14</f>
        <v>48109.599999999999</v>
      </c>
      <c r="U100" s="21"/>
      <c r="AF100" s="25"/>
    </row>
    <row r="101" spans="1:32" x14ac:dyDescent="0.25">
      <c r="A101" s="5"/>
      <c r="B101" s="14"/>
      <c r="C101" s="26"/>
      <c r="F101" s="5"/>
      <c r="G101" s="5"/>
      <c r="H101" s="16"/>
      <c r="I101" s="26"/>
      <c r="J101" s="5"/>
      <c r="N101" s="16"/>
      <c r="O101" s="25"/>
      <c r="U101" s="21"/>
      <c r="AF101" s="25"/>
    </row>
    <row r="102" spans="1:32" x14ac:dyDescent="0.25">
      <c r="A102" s="5"/>
      <c r="B102" s="14"/>
      <c r="C102" s="26"/>
      <c r="E102" s="7" t="s">
        <v>64</v>
      </c>
      <c r="F102" t="s">
        <v>65</v>
      </c>
      <c r="G102" s="5"/>
      <c r="I102" s="26"/>
      <c r="J102" s="7" t="s">
        <v>2</v>
      </c>
      <c r="K102" t="s">
        <v>2</v>
      </c>
      <c r="L102" s="5" t="s">
        <v>65</v>
      </c>
      <c r="M102" s="5"/>
      <c r="N102" s="16"/>
      <c r="O102" s="25"/>
      <c r="R102" s="5" t="s">
        <v>65</v>
      </c>
      <c r="U102" s="21"/>
      <c r="AF102" s="25"/>
    </row>
    <row r="103" spans="1:32" x14ac:dyDescent="0.25">
      <c r="A103" s="5"/>
      <c r="B103" s="14"/>
      <c r="C103" s="26"/>
      <c r="E103" s="11"/>
      <c r="F103" s="32" t="s">
        <v>27</v>
      </c>
      <c r="G103" s="5"/>
      <c r="I103" s="26"/>
      <c r="J103" s="11"/>
      <c r="K103" s="32" t="s">
        <v>73</v>
      </c>
      <c r="L103" s="5"/>
      <c r="M103" s="5"/>
      <c r="N103" s="16"/>
      <c r="O103" s="25"/>
      <c r="P103" t="s">
        <v>136</v>
      </c>
      <c r="U103" s="21"/>
      <c r="AF103" s="25"/>
    </row>
    <row r="104" spans="1:32" x14ac:dyDescent="0.25">
      <c r="A104" s="5"/>
      <c r="B104" s="14"/>
      <c r="C104" s="26"/>
      <c r="D104" s="34" t="s">
        <v>71</v>
      </c>
      <c r="G104" s="5"/>
      <c r="I104" s="26"/>
      <c r="J104" s="34" t="s">
        <v>94</v>
      </c>
      <c r="L104" s="5"/>
      <c r="M104" s="5"/>
      <c r="N104" s="16"/>
      <c r="O104" s="25"/>
      <c r="P104" t="s">
        <v>137</v>
      </c>
      <c r="U104" s="21"/>
      <c r="AF104" s="25"/>
    </row>
    <row r="105" spans="1:32" x14ac:dyDescent="0.25">
      <c r="A105" s="5"/>
      <c r="B105" s="14"/>
      <c r="C105" s="26"/>
      <c r="D105" t="s">
        <v>72</v>
      </c>
      <c r="E105" t="s">
        <v>2</v>
      </c>
      <c r="F105" t="s">
        <v>63</v>
      </c>
      <c r="G105" s="5"/>
      <c r="I105" s="26"/>
      <c r="J105" t="s">
        <v>95</v>
      </c>
      <c r="L105" s="5"/>
      <c r="M105" s="5"/>
      <c r="N105" s="16"/>
      <c r="O105" s="25"/>
      <c r="P105" t="s">
        <v>138</v>
      </c>
      <c r="U105" s="21"/>
      <c r="AF105" s="25"/>
    </row>
    <row r="106" spans="1:32" x14ac:dyDescent="0.25">
      <c r="A106" s="5"/>
      <c r="B106" s="14"/>
      <c r="C106" s="26"/>
      <c r="F106" s="5"/>
      <c r="G106" s="5"/>
      <c r="H106" s="16"/>
      <c r="I106" s="26"/>
      <c r="J106" s="5"/>
      <c r="N106" s="16"/>
      <c r="O106" s="25"/>
      <c r="U106" s="21"/>
      <c r="AF106" s="25"/>
    </row>
    <row r="107" spans="1:32" x14ac:dyDescent="0.25">
      <c r="A107" s="5">
        <v>2011</v>
      </c>
      <c r="B107" s="9" t="s">
        <v>15</v>
      </c>
      <c r="C107" s="26"/>
      <c r="D107" s="5" t="s">
        <v>17</v>
      </c>
      <c r="F107" s="5" t="s">
        <v>46</v>
      </c>
      <c r="G107" s="5"/>
      <c r="H107" s="16"/>
      <c r="I107" s="26"/>
      <c r="J107" s="5" t="s">
        <v>24</v>
      </c>
      <c r="L107" s="5" t="s">
        <v>49</v>
      </c>
      <c r="N107" s="16"/>
      <c r="O107" s="25"/>
      <c r="P107" s="5" t="s">
        <v>126</v>
      </c>
      <c r="R107" s="5" t="s">
        <v>133</v>
      </c>
      <c r="T107" s="44" t="s">
        <v>168</v>
      </c>
      <c r="U107" s="21"/>
      <c r="AF107" s="25"/>
    </row>
    <row r="108" spans="1:32" x14ac:dyDescent="0.25">
      <c r="B108" s="9" t="s">
        <v>18</v>
      </c>
      <c r="C108" s="26"/>
      <c r="D108" s="5" t="s">
        <v>17</v>
      </c>
      <c r="F108" s="17">
        <v>20.6</v>
      </c>
      <c r="G108" s="5"/>
      <c r="H108" s="44" t="s">
        <v>168</v>
      </c>
      <c r="I108" s="26"/>
      <c r="J108" s="19" t="s">
        <v>24</v>
      </c>
      <c r="L108" s="17">
        <v>16.8</v>
      </c>
      <c r="N108" s="44" t="s">
        <v>168</v>
      </c>
      <c r="O108" s="25"/>
      <c r="P108" s="5" t="s">
        <v>17</v>
      </c>
      <c r="R108" s="17">
        <v>12.1</v>
      </c>
      <c r="T108" s="15">
        <f>286*12.1*14</f>
        <v>48448.4</v>
      </c>
      <c r="U108" s="21"/>
      <c r="AF108" s="25"/>
    </row>
    <row r="109" spans="1:32" x14ac:dyDescent="0.25">
      <c r="B109" s="14"/>
      <c r="C109" s="26"/>
      <c r="F109" s="5"/>
      <c r="G109" s="5"/>
      <c r="H109" s="16">
        <f>155*20.6*14</f>
        <v>44702</v>
      </c>
      <c r="I109" s="26"/>
      <c r="J109" s="16"/>
      <c r="N109" s="16">
        <f>305*16.8*14</f>
        <v>71736</v>
      </c>
      <c r="O109" s="25"/>
      <c r="U109" s="21"/>
      <c r="AF109" s="25"/>
    </row>
    <row r="110" spans="1:32" x14ac:dyDescent="0.25">
      <c r="B110" s="14"/>
      <c r="C110" s="26"/>
      <c r="F110" s="5"/>
      <c r="G110" s="5"/>
      <c r="H110" s="5"/>
      <c r="I110" s="26"/>
      <c r="J110" s="5"/>
      <c r="K110" s="5"/>
      <c r="M110" s="5"/>
      <c r="N110" s="5"/>
      <c r="O110" s="26"/>
      <c r="R110" s="5"/>
      <c r="S110" s="5"/>
      <c r="U110" s="21"/>
      <c r="AF110" s="26"/>
    </row>
    <row r="111" spans="1:32" x14ac:dyDescent="0.25">
      <c r="A111" s="5">
        <v>2012</v>
      </c>
      <c r="B111" s="9" t="s">
        <v>15</v>
      </c>
      <c r="C111" s="26"/>
      <c r="D111" s="5" t="s">
        <v>17</v>
      </c>
      <c r="F111" s="5" t="s">
        <v>47</v>
      </c>
      <c r="G111" s="5"/>
      <c r="H111" s="5"/>
      <c r="I111" s="26"/>
      <c r="J111" s="5" t="s">
        <v>24</v>
      </c>
      <c r="L111" s="5" t="s">
        <v>50</v>
      </c>
      <c r="N111" s="5"/>
      <c r="O111" s="25"/>
      <c r="P111" s="5" t="s">
        <v>126</v>
      </c>
      <c r="R111" s="5" t="s">
        <v>134</v>
      </c>
      <c r="T111" s="44" t="s">
        <v>168</v>
      </c>
      <c r="U111" s="21"/>
      <c r="AF111" s="25"/>
    </row>
    <row r="112" spans="1:32" x14ac:dyDescent="0.25">
      <c r="A112" s="5"/>
      <c r="B112" s="9" t="s">
        <v>18</v>
      </c>
      <c r="C112" s="26"/>
      <c r="D112" s="5" t="s">
        <v>17</v>
      </c>
      <c r="F112" s="17">
        <v>28.3</v>
      </c>
      <c r="G112" s="5"/>
      <c r="H112" s="44" t="s">
        <v>168</v>
      </c>
      <c r="I112" s="26"/>
      <c r="J112" s="30" t="s">
        <v>24</v>
      </c>
      <c r="L112" s="17">
        <v>16.899999999999999</v>
      </c>
      <c r="N112" s="44" t="s">
        <v>168</v>
      </c>
      <c r="O112" s="25"/>
      <c r="P112" s="5" t="s">
        <v>119</v>
      </c>
      <c r="R112" s="17">
        <v>16.2</v>
      </c>
      <c r="T112" s="15">
        <f>233*16.2*14</f>
        <v>52844.4</v>
      </c>
      <c r="U112" s="21"/>
      <c r="AF112" s="25"/>
    </row>
    <row r="113" spans="1:32" x14ac:dyDescent="0.25">
      <c r="A113" s="5"/>
      <c r="B113" s="14"/>
      <c r="C113" s="26"/>
      <c r="D113" s="5"/>
      <c r="F113" s="5"/>
      <c r="G113" s="5"/>
      <c r="H113" s="16">
        <f>176*28.3*14</f>
        <v>69731.199999999997</v>
      </c>
      <c r="I113" s="26"/>
      <c r="J113" s="16"/>
      <c r="N113" s="16">
        <f>310*16.9*14</f>
        <v>73346</v>
      </c>
      <c r="O113" s="25"/>
      <c r="P113" s="5"/>
      <c r="U113" s="21"/>
      <c r="AF113" s="25"/>
    </row>
    <row r="114" spans="1:32" x14ac:dyDescent="0.25">
      <c r="B114" s="14"/>
      <c r="C114" s="26"/>
      <c r="F114" s="5"/>
      <c r="G114" s="5"/>
      <c r="H114" s="5"/>
      <c r="I114" s="26"/>
      <c r="J114" s="5"/>
      <c r="N114" s="5"/>
      <c r="O114" s="25"/>
      <c r="U114" s="21"/>
      <c r="AF114" s="25"/>
    </row>
    <row r="115" spans="1:32" x14ac:dyDescent="0.25">
      <c r="A115" s="5">
        <v>2013</v>
      </c>
      <c r="B115" s="9" t="s">
        <v>15</v>
      </c>
      <c r="C115" s="26"/>
      <c r="D115" s="5" t="s">
        <v>17</v>
      </c>
      <c r="F115" s="5" t="s">
        <v>48</v>
      </c>
      <c r="G115" s="5"/>
      <c r="H115" s="5"/>
      <c r="I115" s="26"/>
      <c r="J115" s="5" t="s">
        <v>24</v>
      </c>
      <c r="L115" s="5" t="s">
        <v>50</v>
      </c>
      <c r="N115" s="5"/>
      <c r="O115" s="25"/>
      <c r="P115" s="5" t="s">
        <v>119</v>
      </c>
      <c r="R115" s="5" t="s">
        <v>135</v>
      </c>
      <c r="T115" s="44" t="s">
        <v>168</v>
      </c>
      <c r="U115" s="21"/>
      <c r="AF115" s="25"/>
    </row>
    <row r="116" spans="1:32" x14ac:dyDescent="0.25">
      <c r="A116" s="5"/>
      <c r="B116" s="9" t="s">
        <v>18</v>
      </c>
      <c r="C116" s="26"/>
      <c r="D116" s="5" t="s">
        <v>17</v>
      </c>
      <c r="F116" s="17">
        <v>16.399999999999999</v>
      </c>
      <c r="G116" s="5"/>
      <c r="H116" s="44" t="s">
        <v>168</v>
      </c>
      <c r="I116" s="26"/>
      <c r="J116" s="19" t="s">
        <v>24</v>
      </c>
      <c r="L116" s="17">
        <v>16</v>
      </c>
      <c r="N116" s="44" t="s">
        <v>168</v>
      </c>
      <c r="O116" s="25"/>
      <c r="P116" s="5" t="s">
        <v>119</v>
      </c>
      <c r="R116" s="17">
        <v>16.899999999999999</v>
      </c>
      <c r="T116" s="15">
        <f>290*16.9*14</f>
        <v>68614</v>
      </c>
      <c r="U116" s="21"/>
      <c r="AF116" s="25"/>
    </row>
    <row r="117" spans="1:32" x14ac:dyDescent="0.25">
      <c r="A117" s="5"/>
      <c r="B117" s="14"/>
      <c r="C117" s="26"/>
      <c r="F117" s="5"/>
      <c r="G117" s="5"/>
      <c r="H117" s="16">
        <f>239*16.4*14</f>
        <v>54874.399999999994</v>
      </c>
      <c r="I117" s="26"/>
      <c r="J117" s="5"/>
      <c r="N117" s="16">
        <f>310*16*14</f>
        <v>69440</v>
      </c>
      <c r="O117" s="25"/>
      <c r="U117" s="21"/>
      <c r="AF117" s="25"/>
    </row>
    <row r="118" spans="1:32" x14ac:dyDescent="0.25">
      <c r="A118" s="5"/>
      <c r="B118" s="14"/>
      <c r="C118" s="26"/>
      <c r="F118" s="5"/>
      <c r="G118" s="5"/>
      <c r="H118" s="16"/>
      <c r="I118" s="26"/>
      <c r="J118" s="5"/>
      <c r="N118" s="16"/>
      <c r="O118" s="25"/>
      <c r="U118" s="21"/>
      <c r="AF118" s="25"/>
    </row>
    <row r="119" spans="1:32" x14ac:dyDescent="0.25">
      <c r="A119" s="5"/>
      <c r="B119" s="14"/>
      <c r="C119" s="26"/>
      <c r="D119" s="7"/>
      <c r="F119" s="5" t="s">
        <v>65</v>
      </c>
      <c r="G119" s="5"/>
      <c r="H119" s="16"/>
      <c r="I119" s="26"/>
      <c r="J119" s="7" t="s">
        <v>2</v>
      </c>
      <c r="K119" t="s">
        <v>2</v>
      </c>
      <c r="L119" s="5" t="s">
        <v>65</v>
      </c>
      <c r="M119" s="5"/>
      <c r="N119" s="16"/>
      <c r="O119" s="25"/>
      <c r="R119" s="5" t="s">
        <v>65</v>
      </c>
      <c r="U119" s="21"/>
      <c r="AF119" s="25"/>
    </row>
    <row r="120" spans="1:32" x14ac:dyDescent="0.25">
      <c r="A120" s="5"/>
      <c r="B120" s="14"/>
      <c r="C120" s="26"/>
      <c r="D120" s="11"/>
      <c r="E120" s="32" t="s">
        <v>66</v>
      </c>
      <c r="F120" s="5"/>
      <c r="G120" s="5"/>
      <c r="H120" s="16"/>
      <c r="I120" s="26"/>
      <c r="J120" s="11"/>
      <c r="K120" s="32" t="s">
        <v>81</v>
      </c>
      <c r="L120" s="5"/>
      <c r="M120" s="5"/>
      <c r="N120" s="16"/>
      <c r="O120" s="25"/>
      <c r="P120" t="s">
        <v>139</v>
      </c>
      <c r="U120" s="21"/>
      <c r="AF120" s="25"/>
    </row>
    <row r="121" spans="1:32" x14ac:dyDescent="0.25">
      <c r="A121" s="5"/>
      <c r="B121" s="14"/>
      <c r="C121" s="26"/>
      <c r="D121" s="34" t="s">
        <v>67</v>
      </c>
      <c r="F121" s="5"/>
      <c r="G121" s="5"/>
      <c r="H121" s="16"/>
      <c r="I121" s="26"/>
      <c r="J121" s="34" t="s">
        <v>96</v>
      </c>
      <c r="L121" s="5"/>
      <c r="M121" s="5"/>
      <c r="N121" s="16"/>
      <c r="O121" s="25"/>
      <c r="P121" t="s">
        <v>140</v>
      </c>
      <c r="U121" s="21"/>
      <c r="AF121" s="25"/>
    </row>
    <row r="122" spans="1:32" x14ac:dyDescent="0.25">
      <c r="A122" s="5"/>
      <c r="B122" s="14"/>
      <c r="C122" s="26"/>
      <c r="F122" s="5"/>
      <c r="G122" s="5"/>
      <c r="H122" s="16"/>
      <c r="I122" s="26"/>
      <c r="J122" t="s">
        <v>97</v>
      </c>
      <c r="L122" s="5"/>
      <c r="M122" s="5"/>
      <c r="N122" s="16"/>
      <c r="O122" s="25"/>
      <c r="U122" s="21"/>
      <c r="AF122" s="25"/>
    </row>
    <row r="123" spans="1:32" x14ac:dyDescent="0.25">
      <c r="B123" s="14"/>
      <c r="C123" s="26"/>
      <c r="F123" s="5"/>
      <c r="G123" s="5"/>
      <c r="H123" s="5"/>
      <c r="I123" s="26"/>
      <c r="J123" s="5"/>
      <c r="N123" s="5"/>
      <c r="O123" s="25"/>
      <c r="U123" s="21"/>
      <c r="AF123" s="25"/>
    </row>
    <row r="124" spans="1:32" x14ac:dyDescent="0.25">
      <c r="A124" s="5">
        <v>2014</v>
      </c>
      <c r="B124" s="9" t="s">
        <v>15</v>
      </c>
      <c r="C124" s="26"/>
      <c r="D124" s="5" t="s">
        <v>17</v>
      </c>
      <c r="F124" s="5" t="s">
        <v>51</v>
      </c>
      <c r="G124" s="5"/>
      <c r="H124" s="5"/>
      <c r="I124" s="26"/>
      <c r="J124" s="5" t="s">
        <v>24</v>
      </c>
      <c r="L124" s="5" t="s">
        <v>53</v>
      </c>
      <c r="N124" s="5"/>
      <c r="O124" s="25"/>
      <c r="P124" s="5" t="s">
        <v>17</v>
      </c>
      <c r="R124" s="5" t="s">
        <v>141</v>
      </c>
      <c r="U124" s="21"/>
      <c r="AF124" s="25"/>
    </row>
    <row r="125" spans="1:32" x14ac:dyDescent="0.25">
      <c r="A125" s="5"/>
      <c r="B125" s="9" t="s">
        <v>18</v>
      </c>
      <c r="C125" s="26"/>
      <c r="D125" s="5" t="s">
        <v>17</v>
      </c>
      <c r="F125" s="17">
        <v>19.8</v>
      </c>
      <c r="G125" s="5"/>
      <c r="H125" s="44" t="s">
        <v>168</v>
      </c>
      <c r="I125" s="26"/>
      <c r="J125" s="19" t="s">
        <v>24</v>
      </c>
      <c r="L125" s="17">
        <v>15.3</v>
      </c>
      <c r="N125" s="44" t="s">
        <v>168</v>
      </c>
      <c r="O125" s="25"/>
      <c r="P125" s="5" t="s">
        <v>17</v>
      </c>
      <c r="R125" s="17">
        <v>13.3</v>
      </c>
      <c r="T125" s="44" t="s">
        <v>168</v>
      </c>
      <c r="U125" s="21"/>
      <c r="AF125" s="25"/>
    </row>
    <row r="126" spans="1:32" x14ac:dyDescent="0.25">
      <c r="A126" s="5"/>
      <c r="B126" s="14"/>
      <c r="C126" s="26"/>
      <c r="F126" s="5"/>
      <c r="G126" s="5"/>
      <c r="H126" s="16">
        <f>221*19.8*14</f>
        <v>61261.200000000004</v>
      </c>
      <c r="I126" s="26"/>
      <c r="J126" s="16"/>
      <c r="N126" s="16">
        <f>295*15.3*14</f>
        <v>63189</v>
      </c>
      <c r="O126" s="25"/>
      <c r="T126" s="15">
        <f>275*13.3*14</f>
        <v>51205</v>
      </c>
      <c r="U126" s="21"/>
      <c r="AF126" s="25"/>
    </row>
    <row r="127" spans="1:32" x14ac:dyDescent="0.25">
      <c r="B127" s="14"/>
      <c r="C127" s="26"/>
      <c r="F127" s="5"/>
      <c r="G127" s="5"/>
      <c r="H127" s="5"/>
      <c r="I127" s="26"/>
      <c r="J127" s="5"/>
      <c r="N127" s="5"/>
      <c r="O127" s="25"/>
      <c r="U127" s="21"/>
      <c r="AF127" s="25"/>
    </row>
    <row r="128" spans="1:32" x14ac:dyDescent="0.25">
      <c r="A128" s="5">
        <v>2015</v>
      </c>
      <c r="B128" s="9" t="s">
        <v>15</v>
      </c>
      <c r="C128" s="26"/>
      <c r="D128" s="5" t="s">
        <v>17</v>
      </c>
      <c r="F128" s="5" t="s">
        <v>52</v>
      </c>
      <c r="G128" s="5"/>
      <c r="H128" s="5"/>
      <c r="I128" s="26"/>
      <c r="J128" s="5" t="s">
        <v>24</v>
      </c>
      <c r="L128" s="5" t="s">
        <v>54</v>
      </c>
      <c r="N128" s="5"/>
      <c r="O128" s="25"/>
      <c r="P128" s="5" t="s">
        <v>17</v>
      </c>
      <c r="R128" s="5" t="s">
        <v>29</v>
      </c>
      <c r="U128" s="21"/>
      <c r="AF128" s="25"/>
    </row>
    <row r="129" spans="1:32" x14ac:dyDescent="0.25">
      <c r="A129" s="5"/>
      <c r="B129" s="9" t="s">
        <v>18</v>
      </c>
      <c r="C129" s="26"/>
      <c r="D129" s="5" t="s">
        <v>17</v>
      </c>
      <c r="F129" s="17">
        <v>21.3</v>
      </c>
      <c r="G129" s="5"/>
      <c r="H129" s="44" t="s">
        <v>168</v>
      </c>
      <c r="I129" s="26"/>
      <c r="J129" s="30" t="s">
        <v>24</v>
      </c>
      <c r="L129" s="17">
        <v>17.600000000000001</v>
      </c>
      <c r="N129" s="44" t="s">
        <v>168</v>
      </c>
      <c r="O129" s="25"/>
      <c r="P129" s="5" t="s">
        <v>17</v>
      </c>
      <c r="R129" s="17">
        <v>12.3</v>
      </c>
      <c r="T129" s="44" t="s">
        <v>168</v>
      </c>
      <c r="U129" s="21"/>
      <c r="AF129" s="25"/>
    </row>
    <row r="130" spans="1:32" x14ac:dyDescent="0.25">
      <c r="A130" s="5"/>
      <c r="B130" s="14"/>
      <c r="C130" s="26"/>
      <c r="D130" s="5"/>
      <c r="F130" s="5"/>
      <c r="G130" s="5"/>
      <c r="H130" s="16">
        <f>250*21.3*14</f>
        <v>74550</v>
      </c>
      <c r="I130" s="26"/>
      <c r="J130" s="16"/>
      <c r="N130" s="16">
        <f>345*17.6*14</f>
        <v>85008.000000000015</v>
      </c>
      <c r="O130" s="25"/>
      <c r="P130" s="5"/>
      <c r="T130" s="15">
        <f>280*12.3*14</f>
        <v>48216</v>
      </c>
      <c r="U130" s="21"/>
      <c r="AF130" s="25"/>
    </row>
    <row r="131" spans="1:32" x14ac:dyDescent="0.25">
      <c r="B131" s="14"/>
      <c r="C131" s="26"/>
      <c r="F131" s="5"/>
      <c r="G131" s="5"/>
      <c r="H131" s="5"/>
      <c r="I131" s="26"/>
      <c r="J131" s="5"/>
      <c r="N131" s="5"/>
      <c r="O131" s="25"/>
      <c r="U131" s="21"/>
      <c r="AF131" s="25"/>
    </row>
    <row r="132" spans="1:32" x14ac:dyDescent="0.25">
      <c r="A132" s="5">
        <v>2016</v>
      </c>
      <c r="B132" s="9" t="s">
        <v>15</v>
      </c>
      <c r="C132" s="26"/>
      <c r="D132" s="5" t="s">
        <v>223</v>
      </c>
      <c r="F132" s="5" t="s">
        <v>32</v>
      </c>
      <c r="G132" s="5"/>
      <c r="H132" s="5"/>
      <c r="I132" s="26"/>
      <c r="J132" s="5" t="s">
        <v>223</v>
      </c>
      <c r="L132" s="5" t="s">
        <v>224</v>
      </c>
      <c r="N132" s="5"/>
      <c r="O132" s="25"/>
      <c r="P132" s="5" t="s">
        <v>17</v>
      </c>
      <c r="R132" s="5" t="s">
        <v>143</v>
      </c>
      <c r="U132" s="21"/>
      <c r="AF132" s="25"/>
    </row>
    <row r="133" spans="1:32" x14ac:dyDescent="0.25">
      <c r="B133" s="9" t="s">
        <v>18</v>
      </c>
      <c r="C133" s="26"/>
      <c r="D133" s="5" t="s">
        <v>223</v>
      </c>
      <c r="F133" s="17">
        <v>17.399999999999999</v>
      </c>
      <c r="G133" s="5"/>
      <c r="H133" s="44" t="s">
        <v>168</v>
      </c>
      <c r="I133" s="26"/>
      <c r="J133" s="19" t="s">
        <v>223</v>
      </c>
      <c r="L133" s="17">
        <v>19.5</v>
      </c>
      <c r="N133" s="44" t="s">
        <v>168</v>
      </c>
      <c r="O133" s="25"/>
      <c r="P133" s="5" t="s">
        <v>17</v>
      </c>
      <c r="R133" s="5" t="s">
        <v>143</v>
      </c>
      <c r="T133" s="44" t="s">
        <v>168</v>
      </c>
      <c r="U133" s="21"/>
      <c r="AF133" s="25"/>
    </row>
    <row r="134" spans="1:32" x14ac:dyDescent="0.25">
      <c r="B134" s="14"/>
      <c r="C134" s="26"/>
      <c r="D134" s="64" t="s">
        <v>222</v>
      </c>
      <c r="G134" s="5"/>
      <c r="H134" s="16">
        <f>380*17.4*14</f>
        <v>92567.999999999985</v>
      </c>
      <c r="I134" s="26"/>
      <c r="J134" s="64" t="s">
        <v>222</v>
      </c>
      <c r="N134" s="16">
        <f>310*19.5*14</f>
        <v>84630</v>
      </c>
      <c r="O134" s="25"/>
      <c r="R134" s="64" t="s">
        <v>144</v>
      </c>
      <c r="U134" s="21"/>
      <c r="AF134" s="25"/>
    </row>
    <row r="135" spans="1:32" x14ac:dyDescent="0.25">
      <c r="B135" s="14"/>
      <c r="C135" s="26"/>
      <c r="F135" s="5"/>
      <c r="G135" s="5"/>
      <c r="H135" s="37" t="s">
        <v>59</v>
      </c>
      <c r="I135" s="26"/>
      <c r="J135" s="5"/>
      <c r="O135" s="25"/>
      <c r="U135" s="21"/>
      <c r="AF135" s="25"/>
    </row>
    <row r="136" spans="1:32" x14ac:dyDescent="0.25">
      <c r="B136" s="14"/>
      <c r="C136" s="26"/>
      <c r="F136" s="5"/>
      <c r="G136" s="5"/>
      <c r="H136" s="5"/>
      <c r="I136" s="26"/>
      <c r="J136" s="5"/>
      <c r="O136" s="25"/>
      <c r="U136" s="21"/>
      <c r="AF136" s="25"/>
    </row>
    <row r="137" spans="1:32" x14ac:dyDescent="0.25">
      <c r="B137" s="14"/>
      <c r="C137" s="26"/>
      <c r="D137" s="10" t="s">
        <v>55</v>
      </c>
      <c r="F137" s="5"/>
      <c r="G137" s="5"/>
      <c r="H137" s="38">
        <f>+H23+H27+H31+H40+H44+H48+H58+H62+H66+H75+H79+H83+H92+H96+H100+H109+H113+H117+H126+H130+H134</f>
        <v>1034560.7999999999</v>
      </c>
      <c r="I137" s="26"/>
      <c r="J137" s="10" t="s">
        <v>55</v>
      </c>
      <c r="N137" s="38">
        <f>+N23+N27+N31+N40+N44+N48+N58+N62+N66+N75+N79+N83+N92+N96+N100+N109+N113+N117+N126+N130+N134</f>
        <v>1430338</v>
      </c>
      <c r="O137" s="25"/>
      <c r="P137" s="10" t="s">
        <v>55</v>
      </c>
      <c r="T137" s="38">
        <f>+T23+T27+T31+T40+T44+T48+T58+T62+T66+T75+T79+T83+T92+T96+T100+T109+T113+T117+T126+T130</f>
        <v>582851.5</v>
      </c>
      <c r="U137" s="21"/>
      <c r="AF137" s="25"/>
    </row>
    <row r="138" spans="1:32" x14ac:dyDescent="0.25">
      <c r="A138" s="10" t="s">
        <v>100</v>
      </c>
      <c r="B138" s="14"/>
      <c r="C138" s="26"/>
      <c r="D138" s="10" t="s">
        <v>61</v>
      </c>
      <c r="F138" s="5"/>
      <c r="G138" s="5"/>
      <c r="H138" s="39" t="s">
        <v>56</v>
      </c>
      <c r="I138" s="26"/>
      <c r="J138" s="10" t="s">
        <v>98</v>
      </c>
      <c r="N138" s="39" t="s">
        <v>56</v>
      </c>
      <c r="O138" s="25"/>
      <c r="P138" s="10" t="s">
        <v>142</v>
      </c>
      <c r="T138" s="39" t="s">
        <v>56</v>
      </c>
      <c r="U138" s="21"/>
      <c r="AF138" s="25"/>
    </row>
    <row r="139" spans="1:32" x14ac:dyDescent="0.25">
      <c r="A139" s="10" t="s">
        <v>101</v>
      </c>
      <c r="B139" s="14"/>
      <c r="C139" s="26"/>
      <c r="D139" s="10" t="s">
        <v>170</v>
      </c>
      <c r="F139" s="5"/>
      <c r="G139" s="5"/>
      <c r="H139" s="5"/>
      <c r="I139" s="26"/>
      <c r="J139" s="10" t="s">
        <v>170</v>
      </c>
      <c r="O139" s="25"/>
      <c r="P139" s="10" t="s">
        <v>170</v>
      </c>
      <c r="U139" s="21"/>
      <c r="AF139" s="25"/>
    </row>
    <row r="140" spans="1:32" x14ac:dyDescent="0.25">
      <c r="A140" s="10" t="s">
        <v>159</v>
      </c>
      <c r="B140" s="14"/>
      <c r="C140" s="26"/>
      <c r="D140" s="10" t="s">
        <v>171</v>
      </c>
      <c r="F140" s="5"/>
      <c r="G140" s="5"/>
      <c r="H140" s="18" t="s">
        <v>196</v>
      </c>
      <c r="I140" s="26"/>
      <c r="J140" s="10" t="s">
        <v>171</v>
      </c>
      <c r="N140" s="18" t="s">
        <v>196</v>
      </c>
      <c r="O140" s="25"/>
      <c r="P140" s="10" t="s">
        <v>171</v>
      </c>
      <c r="T140" s="18" t="s">
        <v>196</v>
      </c>
      <c r="U140" s="21"/>
      <c r="AF140" s="25"/>
    </row>
    <row r="141" spans="1:32" x14ac:dyDescent="0.25">
      <c r="A141" s="10" t="s">
        <v>160</v>
      </c>
      <c r="B141" s="14"/>
      <c r="C141" s="26"/>
      <c r="D141" s="10"/>
      <c r="F141" s="5"/>
      <c r="G141" s="5"/>
      <c r="H141" s="18" t="s">
        <v>154</v>
      </c>
      <c r="I141" s="26"/>
      <c r="J141" s="10"/>
      <c r="N141" s="18" t="s">
        <v>154</v>
      </c>
      <c r="O141" s="25"/>
      <c r="P141" s="10"/>
      <c r="T141" s="18" t="s">
        <v>154</v>
      </c>
      <c r="U141" s="21"/>
      <c r="AF141" s="25"/>
    </row>
    <row r="142" spans="1:32" x14ac:dyDescent="0.25">
      <c r="A142" s="10" t="s">
        <v>163</v>
      </c>
      <c r="B142" s="14"/>
      <c r="C142" s="26"/>
      <c r="F142" s="5"/>
      <c r="G142" s="5"/>
      <c r="H142" s="5"/>
      <c r="I142" s="26"/>
      <c r="J142" s="5"/>
      <c r="O142" s="25"/>
      <c r="P142" s="5"/>
      <c r="U142" s="21"/>
      <c r="AF142" s="25"/>
    </row>
    <row r="143" spans="1:32" x14ac:dyDescent="0.25">
      <c r="A143" s="10" t="s">
        <v>162</v>
      </c>
      <c r="B143" s="14"/>
      <c r="C143" s="26"/>
      <c r="D143" s="10" t="s">
        <v>172</v>
      </c>
      <c r="F143" s="5"/>
      <c r="G143" s="5"/>
      <c r="H143" s="38">
        <f>+H137</f>
        <v>1034560.7999999999</v>
      </c>
      <c r="I143" s="26"/>
      <c r="J143" s="10" t="s">
        <v>172</v>
      </c>
      <c r="N143" s="38">
        <f>+N137</f>
        <v>1430338</v>
      </c>
      <c r="O143" s="25"/>
      <c r="P143" s="10" t="s">
        <v>172</v>
      </c>
      <c r="T143" s="38">
        <f>+T137</f>
        <v>582851.5</v>
      </c>
      <c r="U143" s="21"/>
      <c r="AF143" s="25"/>
    </row>
    <row r="144" spans="1:32" x14ac:dyDescent="0.25">
      <c r="B144" s="14"/>
      <c r="C144" s="26"/>
      <c r="D144" s="10" t="s">
        <v>61</v>
      </c>
      <c r="F144" s="5"/>
      <c r="G144" s="5"/>
      <c r="H144" s="39" t="s">
        <v>99</v>
      </c>
      <c r="I144" s="26"/>
      <c r="J144" s="10" t="s">
        <v>98</v>
      </c>
      <c r="N144" s="39" t="s">
        <v>99</v>
      </c>
      <c r="O144" s="25"/>
      <c r="P144" s="10" t="s">
        <v>142</v>
      </c>
      <c r="T144" s="42" t="s">
        <v>145</v>
      </c>
      <c r="U144" s="21"/>
      <c r="AF144" s="25"/>
    </row>
    <row r="145" spans="3:32" x14ac:dyDescent="0.25">
      <c r="C145" s="26"/>
      <c r="F145" s="5"/>
      <c r="G145" s="5"/>
      <c r="H145" s="5"/>
      <c r="I145" s="26"/>
      <c r="J145" s="5"/>
      <c r="O145" s="25"/>
      <c r="U145" s="21"/>
      <c r="AF145" s="25"/>
    </row>
    <row r="146" spans="3:32" x14ac:dyDescent="0.25">
      <c r="F146" s="5"/>
      <c r="G146" s="5"/>
      <c r="H146" s="5"/>
      <c r="I146" s="24"/>
      <c r="J146" s="5"/>
      <c r="O146" s="23"/>
      <c r="U146" s="21"/>
    </row>
    <row r="147" spans="3:32" x14ac:dyDescent="0.25">
      <c r="F147" s="10" t="s">
        <v>2</v>
      </c>
      <c r="G147" s="5" t="s">
        <v>2</v>
      </c>
      <c r="H147" s="5" t="s">
        <v>2</v>
      </c>
      <c r="I147" s="24" t="s">
        <v>2</v>
      </c>
      <c r="J147" s="5" t="s">
        <v>2</v>
      </c>
      <c r="O147" s="23"/>
      <c r="U147" s="21"/>
    </row>
    <row r="148" spans="3:32" x14ac:dyDescent="0.25">
      <c r="I148" s="23"/>
      <c r="O148" s="23"/>
      <c r="U148" s="21"/>
    </row>
    <row r="149" spans="3:32" ht="15.75" x14ac:dyDescent="0.25">
      <c r="F149" s="43" t="s">
        <v>287</v>
      </c>
      <c r="I149" s="23"/>
      <c r="O149" s="23"/>
      <c r="U149" s="2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50"/>
  <sheetViews>
    <sheetView topLeftCell="C120" workbookViewId="0">
      <selection activeCell="F149" sqref="F149"/>
    </sheetView>
  </sheetViews>
  <sheetFormatPr defaultRowHeight="15" x14ac:dyDescent="0.25"/>
  <cols>
    <col min="1" max="1" width="26.140625" customWidth="1"/>
    <col min="2" max="2" width="27.7109375" customWidth="1"/>
    <col min="3" max="3" width="3.28515625" customWidth="1"/>
    <col min="4" max="4" width="30.5703125" customWidth="1"/>
    <col min="5" max="5" width="2.28515625" customWidth="1"/>
    <col min="6" max="6" width="22.85546875" customWidth="1"/>
    <col min="7" max="7" width="2.28515625" customWidth="1"/>
    <col min="8" max="8" width="23.42578125" customWidth="1"/>
    <col min="9" max="9" width="3.5703125" customWidth="1"/>
    <col min="10" max="10" width="30" customWidth="1"/>
    <col min="11" max="11" width="2.7109375" customWidth="1"/>
    <col min="12" max="12" width="23" customWidth="1"/>
    <col min="13" max="13" width="2.85546875" customWidth="1"/>
    <col min="14" max="14" width="23.140625" customWidth="1"/>
    <col min="15" max="15" width="4" customWidth="1"/>
    <col min="16" max="16" width="30.28515625" customWidth="1"/>
    <col min="17" max="17" width="3.28515625" customWidth="1"/>
    <col min="18" max="18" width="22.85546875" customWidth="1"/>
    <col min="19" max="19" width="2.85546875" customWidth="1"/>
    <col min="20" max="20" width="30.42578125" customWidth="1"/>
    <col min="22" max="22" width="25.5703125" customWidth="1"/>
    <col min="23" max="23" width="30.42578125" customWidth="1"/>
    <col min="24" max="24" width="3" customWidth="1"/>
    <col min="25" max="25" width="21.85546875" customWidth="1"/>
    <col min="26" max="26" width="2.85546875" customWidth="1"/>
    <col min="27" max="27" width="20" customWidth="1"/>
    <col min="28" max="28" width="2.85546875" customWidth="1"/>
    <col min="29" max="29" width="19.7109375" customWidth="1"/>
    <col min="30" max="30" width="2.5703125" customWidth="1"/>
    <col min="31" max="31" width="14.28515625" customWidth="1"/>
  </cols>
  <sheetData>
    <row r="1" spans="1:33" ht="21" x14ac:dyDescent="0.35">
      <c r="F1" s="12" t="s">
        <v>2</v>
      </c>
      <c r="G1" s="12"/>
      <c r="H1" s="40" t="s">
        <v>2</v>
      </c>
      <c r="I1" s="12"/>
      <c r="J1" s="12"/>
      <c r="K1" s="8"/>
      <c r="L1" s="41" t="s">
        <v>157</v>
      </c>
      <c r="O1" s="29" t="s">
        <v>2</v>
      </c>
      <c r="U1" s="21"/>
      <c r="V1" s="12" t="s">
        <v>2</v>
      </c>
      <c r="W1" t="s">
        <v>2</v>
      </c>
      <c r="X1" t="s">
        <v>2</v>
      </c>
    </row>
    <row r="2" spans="1:33" ht="15.75" x14ac:dyDescent="0.25">
      <c r="F2" s="12"/>
      <c r="G2" s="12"/>
      <c r="H2" s="40"/>
      <c r="I2" s="12"/>
      <c r="J2" s="12"/>
      <c r="K2" s="8"/>
      <c r="O2" s="29"/>
      <c r="U2" s="21"/>
      <c r="V2" s="12" t="s">
        <v>2</v>
      </c>
    </row>
    <row r="3" spans="1:33" ht="15.75" x14ac:dyDescent="0.25">
      <c r="F3" s="3" t="s">
        <v>6</v>
      </c>
      <c r="G3" s="36"/>
      <c r="H3" t="s">
        <v>2</v>
      </c>
      <c r="I3" s="36"/>
      <c r="J3" s="43" t="s">
        <v>146</v>
      </c>
      <c r="K3" s="3"/>
      <c r="O3" s="29" t="s">
        <v>2</v>
      </c>
      <c r="P3" s="43" t="s">
        <v>146</v>
      </c>
      <c r="U3" s="21"/>
      <c r="V3" s="13" t="s">
        <v>2</v>
      </c>
      <c r="W3" s="43" t="s">
        <v>200</v>
      </c>
      <c r="AB3" s="43" t="s">
        <v>147</v>
      </c>
      <c r="AC3" t="s">
        <v>2</v>
      </c>
    </row>
    <row r="4" spans="1:33" x14ac:dyDescent="0.25">
      <c r="F4" s="3"/>
      <c r="G4" s="36"/>
      <c r="H4" s="36"/>
      <c r="I4" s="36"/>
      <c r="J4" s="36"/>
      <c r="K4" s="3"/>
      <c r="O4" s="29" t="s">
        <v>2</v>
      </c>
      <c r="U4" s="21"/>
      <c r="V4" s="13"/>
    </row>
    <row r="5" spans="1:33" x14ac:dyDescent="0.25">
      <c r="F5" s="3"/>
      <c r="G5" s="3"/>
      <c r="H5" s="18" t="s">
        <v>197</v>
      </c>
      <c r="I5" s="3"/>
      <c r="J5" s="3"/>
      <c r="K5" s="3"/>
      <c r="N5" s="18" t="s">
        <v>197</v>
      </c>
      <c r="O5" s="29" t="s">
        <v>2</v>
      </c>
      <c r="T5" s="18" t="s">
        <v>197</v>
      </c>
      <c r="U5" s="21"/>
      <c r="AA5" s="3"/>
      <c r="AB5" s="3"/>
      <c r="AC5" s="18" t="s">
        <v>197</v>
      </c>
      <c r="AD5" s="3"/>
    </row>
    <row r="6" spans="1:33" x14ac:dyDescent="0.25">
      <c r="F6" s="11" t="s">
        <v>2</v>
      </c>
      <c r="I6" s="29"/>
      <c r="O6" s="29"/>
      <c r="U6" s="21"/>
      <c r="AA6" s="11" t="s">
        <v>2</v>
      </c>
    </row>
    <row r="7" spans="1:33" x14ac:dyDescent="0.25">
      <c r="F7" s="11"/>
      <c r="I7" s="29"/>
      <c r="O7" s="29"/>
      <c r="U7" s="21"/>
      <c r="AA7" s="11"/>
    </row>
    <row r="8" spans="1:33" x14ac:dyDescent="0.25">
      <c r="A8" s="11" t="s">
        <v>11</v>
      </c>
      <c r="B8" s="11" t="s">
        <v>8</v>
      </c>
      <c r="C8" s="26"/>
      <c r="D8" s="11" t="s">
        <v>16</v>
      </c>
      <c r="F8" s="11" t="s">
        <v>103</v>
      </c>
      <c r="G8" s="5"/>
      <c r="H8" s="11" t="s">
        <v>3</v>
      </c>
      <c r="I8" s="26"/>
      <c r="J8" s="11" t="s">
        <v>16</v>
      </c>
      <c r="K8" s="5"/>
      <c r="L8" s="11" t="s">
        <v>103</v>
      </c>
      <c r="M8" s="5"/>
      <c r="N8" s="11" t="s">
        <v>36</v>
      </c>
      <c r="O8" s="26" t="s">
        <v>2</v>
      </c>
      <c r="P8" s="11" t="s">
        <v>16</v>
      </c>
      <c r="Q8" s="5"/>
      <c r="R8" s="11" t="s">
        <v>103</v>
      </c>
      <c r="S8" s="5"/>
      <c r="T8" s="11" t="s">
        <v>4</v>
      </c>
      <c r="U8" s="22"/>
      <c r="V8" s="11" t="s">
        <v>11</v>
      </c>
      <c r="W8" s="11" t="s">
        <v>8</v>
      </c>
      <c r="Y8" s="11" t="s">
        <v>16</v>
      </c>
      <c r="AA8" s="11" t="s">
        <v>103</v>
      </c>
      <c r="AB8" s="5"/>
      <c r="AC8" s="11" t="s">
        <v>5</v>
      </c>
      <c r="AD8" s="26" t="s">
        <v>2</v>
      </c>
      <c r="AE8" s="11" t="s">
        <v>7</v>
      </c>
      <c r="AG8" s="10" t="s">
        <v>2</v>
      </c>
    </row>
    <row r="9" spans="1:33" x14ac:dyDescent="0.25">
      <c r="A9" s="11"/>
      <c r="B9" s="11"/>
      <c r="C9" s="26"/>
      <c r="D9" s="11"/>
      <c r="F9" s="5"/>
      <c r="G9" s="5"/>
      <c r="H9" s="5"/>
      <c r="I9" s="26"/>
      <c r="J9" s="5"/>
      <c r="K9" s="5"/>
      <c r="L9" s="5"/>
      <c r="M9" s="5"/>
      <c r="N9" s="5"/>
      <c r="O9" s="26"/>
      <c r="P9" s="5"/>
      <c r="Q9" s="5"/>
      <c r="R9" s="5"/>
      <c r="S9" s="5"/>
      <c r="T9" s="5"/>
      <c r="U9" s="22"/>
      <c r="V9" s="11"/>
      <c r="W9" s="11"/>
      <c r="X9" s="11"/>
      <c r="Y9" s="11"/>
      <c r="AA9" s="5"/>
      <c r="AB9" s="5"/>
      <c r="AC9" s="5"/>
      <c r="AD9" s="26"/>
    </row>
    <row r="10" spans="1:33" x14ac:dyDescent="0.25">
      <c r="A10" s="9" t="s">
        <v>10</v>
      </c>
      <c r="B10" s="9" t="s">
        <v>9</v>
      </c>
      <c r="C10" s="26"/>
      <c r="D10" s="11"/>
      <c r="F10" s="5" t="s">
        <v>2</v>
      </c>
      <c r="G10" s="5"/>
      <c r="H10" s="5" t="s">
        <v>2</v>
      </c>
      <c r="I10" s="26"/>
      <c r="J10" s="5"/>
      <c r="K10" s="5"/>
      <c r="L10" s="5" t="s">
        <v>2</v>
      </c>
      <c r="M10" s="5"/>
      <c r="N10" s="5" t="s">
        <v>2</v>
      </c>
      <c r="O10" s="26"/>
      <c r="P10" s="5"/>
      <c r="Q10" s="5"/>
      <c r="R10" s="5"/>
      <c r="S10" s="5"/>
      <c r="T10" s="5"/>
      <c r="U10" s="22"/>
      <c r="V10" s="9" t="s">
        <v>10</v>
      </c>
      <c r="W10" s="9" t="s">
        <v>9</v>
      </c>
      <c r="X10" s="11"/>
      <c r="Y10" s="11"/>
      <c r="AA10" s="5" t="s">
        <v>2</v>
      </c>
      <c r="AB10" s="5"/>
      <c r="AC10" s="5" t="s">
        <v>2</v>
      </c>
      <c r="AD10" s="26"/>
    </row>
    <row r="11" spans="1:33" x14ac:dyDescent="0.25">
      <c r="A11" s="9" t="s">
        <v>13</v>
      </c>
      <c r="B11" s="9" t="s">
        <v>22</v>
      </c>
      <c r="C11" s="26"/>
      <c r="D11" s="11"/>
      <c r="F11" s="5"/>
      <c r="G11" s="5"/>
      <c r="H11" s="5" t="s">
        <v>2</v>
      </c>
      <c r="I11" s="26"/>
      <c r="J11" s="5"/>
      <c r="K11" s="5"/>
      <c r="L11" s="5"/>
      <c r="M11" s="5"/>
      <c r="N11" s="5" t="s">
        <v>2</v>
      </c>
      <c r="O11" s="26"/>
      <c r="P11" s="5"/>
      <c r="Q11" s="5"/>
      <c r="R11" s="5"/>
      <c r="S11" s="5"/>
      <c r="T11" s="5"/>
      <c r="U11" s="22"/>
      <c r="V11" s="9" t="s">
        <v>13</v>
      </c>
      <c r="W11" s="9" t="s">
        <v>22</v>
      </c>
      <c r="X11" s="11"/>
      <c r="Y11" s="11"/>
      <c r="AA11" s="5"/>
      <c r="AB11" s="5"/>
      <c r="AC11" s="5" t="s">
        <v>2</v>
      </c>
      <c r="AD11" s="26"/>
    </row>
    <row r="12" spans="1:33" x14ac:dyDescent="0.25">
      <c r="A12" s="9"/>
      <c r="B12" s="9"/>
      <c r="C12" s="26"/>
      <c r="D12" s="11"/>
      <c r="F12" s="5"/>
      <c r="G12" s="5"/>
      <c r="H12" s="5"/>
      <c r="I12" s="26"/>
      <c r="J12" s="5"/>
      <c r="K12" s="5"/>
      <c r="L12" s="5"/>
      <c r="M12" s="5"/>
      <c r="N12" s="5"/>
      <c r="O12" s="26"/>
      <c r="P12" s="5"/>
      <c r="Q12" s="5"/>
      <c r="R12" s="5"/>
      <c r="S12" s="5"/>
      <c r="T12" s="5"/>
      <c r="U12" s="22"/>
      <c r="V12" s="9"/>
      <c r="W12" s="9"/>
      <c r="X12" s="11"/>
      <c r="Y12" s="11"/>
      <c r="AA12" s="5"/>
      <c r="AB12" s="5"/>
      <c r="AC12" s="5"/>
      <c r="AD12" s="26"/>
    </row>
    <row r="13" spans="1:33" x14ac:dyDescent="0.25">
      <c r="A13" s="9" t="s">
        <v>12</v>
      </c>
      <c r="B13" s="9" t="s">
        <v>14</v>
      </c>
      <c r="C13" s="26"/>
      <c r="D13" s="11"/>
      <c r="F13" s="5"/>
      <c r="G13" s="5"/>
      <c r="H13" s="5"/>
      <c r="I13" s="26"/>
      <c r="J13" s="5"/>
      <c r="K13" s="5"/>
      <c r="L13" s="5"/>
      <c r="M13" s="5"/>
      <c r="N13" s="5"/>
      <c r="O13" s="26"/>
      <c r="P13" s="5"/>
      <c r="Q13" s="5"/>
      <c r="R13" s="5"/>
      <c r="S13" s="5"/>
      <c r="T13" s="5"/>
      <c r="U13" s="22"/>
      <c r="V13" s="9" t="s">
        <v>12</v>
      </c>
      <c r="W13" s="9" t="s">
        <v>14</v>
      </c>
      <c r="X13" s="11"/>
      <c r="Y13" s="11"/>
      <c r="AA13" s="5"/>
      <c r="AB13" s="5"/>
      <c r="AC13" s="5"/>
      <c r="AD13" s="26"/>
    </row>
    <row r="14" spans="1:33" x14ac:dyDescent="0.25">
      <c r="A14" s="9"/>
      <c r="B14" s="9" t="s">
        <v>23</v>
      </c>
      <c r="C14" s="26"/>
      <c r="G14" s="5"/>
      <c r="H14" s="5"/>
      <c r="I14" s="26"/>
      <c r="M14" s="5"/>
      <c r="N14" s="5"/>
      <c r="O14" s="26"/>
      <c r="P14" s="5"/>
      <c r="Q14" s="5"/>
      <c r="R14" s="5"/>
      <c r="S14" s="5"/>
      <c r="T14" s="5"/>
      <c r="U14" s="22"/>
      <c r="V14" s="9"/>
      <c r="W14" s="9" t="s">
        <v>23</v>
      </c>
      <c r="X14" s="11"/>
      <c r="AB14" s="5"/>
      <c r="AC14" s="5"/>
      <c r="AD14" s="26"/>
    </row>
    <row r="15" spans="1:33" x14ac:dyDescent="0.25">
      <c r="A15" s="9"/>
      <c r="B15" s="9"/>
      <c r="C15" s="26"/>
      <c r="G15" s="5"/>
      <c r="H15" s="5"/>
      <c r="I15" s="26"/>
      <c r="J15" s="4"/>
      <c r="L15" s="8"/>
      <c r="M15" s="5"/>
      <c r="N15" s="5"/>
      <c r="O15" s="26"/>
      <c r="P15" s="5"/>
      <c r="Q15" s="5"/>
      <c r="R15" s="5"/>
      <c r="S15" s="5"/>
      <c r="T15" s="5"/>
      <c r="U15" s="22"/>
      <c r="V15" s="5"/>
      <c r="W15" s="5"/>
      <c r="X15" s="5"/>
      <c r="Y15" s="5"/>
      <c r="Z15" s="5"/>
      <c r="AA15" s="5"/>
      <c r="AB15" s="5"/>
      <c r="AC15" s="5"/>
      <c r="AD15" s="26"/>
    </row>
    <row r="16" spans="1:33" x14ac:dyDescent="0.25">
      <c r="A16" s="11" t="s">
        <v>1</v>
      </c>
      <c r="B16" s="9"/>
      <c r="C16" s="26"/>
      <c r="D16" s="7" t="s">
        <v>2</v>
      </c>
      <c r="E16" t="s">
        <v>2</v>
      </c>
      <c r="F16" s="5" t="s">
        <v>65</v>
      </c>
      <c r="G16" s="5"/>
      <c r="H16" s="5"/>
      <c r="I16" s="26"/>
      <c r="J16" s="7" t="s">
        <v>2</v>
      </c>
      <c r="K16" t="s">
        <v>2</v>
      </c>
      <c r="L16" s="5" t="s">
        <v>65</v>
      </c>
      <c r="M16" s="5"/>
      <c r="N16" s="5"/>
      <c r="O16" s="26"/>
      <c r="P16" s="5"/>
      <c r="Q16" s="5"/>
      <c r="R16" s="5" t="s">
        <v>65</v>
      </c>
      <c r="S16" s="5"/>
      <c r="T16" s="5"/>
      <c r="U16" s="22"/>
      <c r="V16" s="5"/>
      <c r="W16" s="5"/>
      <c r="X16" s="5"/>
      <c r="Y16" s="5"/>
      <c r="Z16" s="5"/>
      <c r="AA16" s="5"/>
      <c r="AB16" s="5"/>
      <c r="AC16" s="5"/>
      <c r="AD16" s="26"/>
    </row>
    <row r="17" spans="1:30" x14ac:dyDescent="0.25">
      <c r="A17" s="11"/>
      <c r="C17" s="26"/>
      <c r="D17" s="11"/>
      <c r="E17" s="32" t="s">
        <v>81</v>
      </c>
      <c r="F17" s="5"/>
      <c r="G17" s="5"/>
      <c r="H17" s="5"/>
      <c r="I17" s="26"/>
      <c r="J17" s="11"/>
      <c r="K17" s="32" t="s">
        <v>81</v>
      </c>
      <c r="L17" s="5"/>
      <c r="M17" s="5"/>
      <c r="N17" s="5"/>
      <c r="O17" s="26"/>
      <c r="P17" s="5"/>
      <c r="Q17" s="5"/>
      <c r="R17" s="5" t="s">
        <v>108</v>
      </c>
      <c r="S17" s="5"/>
      <c r="T17" s="5"/>
      <c r="U17" s="22"/>
      <c r="V17" s="5"/>
      <c r="W17" s="5"/>
      <c r="X17" s="5"/>
      <c r="Y17" s="5"/>
      <c r="Z17" s="5"/>
      <c r="AA17" s="5"/>
      <c r="AB17" s="5"/>
      <c r="AC17" s="5"/>
      <c r="AD17" s="26"/>
    </row>
    <row r="18" spans="1:30" x14ac:dyDescent="0.25">
      <c r="B18" s="2"/>
      <c r="C18" s="26"/>
      <c r="E18" s="9" t="s">
        <v>82</v>
      </c>
      <c r="F18" s="5"/>
      <c r="G18" s="5"/>
      <c r="H18" s="5"/>
      <c r="I18" s="26"/>
      <c r="K18" s="9" t="s">
        <v>83</v>
      </c>
      <c r="L18" s="5"/>
      <c r="O18" s="25"/>
      <c r="P18" t="s">
        <v>109</v>
      </c>
      <c r="U18" s="21"/>
      <c r="AD18" s="25"/>
    </row>
    <row r="19" spans="1:30" x14ac:dyDescent="0.25">
      <c r="B19" s="2"/>
      <c r="C19" s="26"/>
      <c r="E19" s="9"/>
      <c r="F19" s="5"/>
      <c r="G19" s="5"/>
      <c r="H19" s="5"/>
      <c r="I19" s="26"/>
      <c r="K19" s="9"/>
      <c r="L19" s="5"/>
      <c r="O19" s="25"/>
      <c r="P19" t="s">
        <v>110</v>
      </c>
      <c r="U19" s="21"/>
      <c r="AD19" s="25"/>
    </row>
    <row r="20" spans="1:30" x14ac:dyDescent="0.25">
      <c r="B20" s="2"/>
      <c r="C20" s="26"/>
      <c r="D20" s="2"/>
      <c r="F20" s="5"/>
      <c r="G20" s="5"/>
      <c r="H20" s="5"/>
      <c r="I20" s="26"/>
      <c r="J20" s="5"/>
      <c r="K20" s="5"/>
      <c r="O20" s="25"/>
      <c r="U20" s="21"/>
      <c r="AD20" s="25"/>
    </row>
    <row r="21" spans="1:30" x14ac:dyDescent="0.25">
      <c r="A21" s="5">
        <v>1996</v>
      </c>
      <c r="B21" s="9" t="s">
        <v>15</v>
      </c>
      <c r="C21" s="26"/>
      <c r="D21" s="5" t="s">
        <v>17</v>
      </c>
      <c r="F21" s="5" t="s">
        <v>19</v>
      </c>
      <c r="G21" s="5"/>
      <c r="H21" s="5"/>
      <c r="I21" s="26"/>
      <c r="J21" s="5" t="s">
        <v>24</v>
      </c>
      <c r="L21" s="5" t="s">
        <v>25</v>
      </c>
      <c r="M21" s="6"/>
      <c r="N21" s="6"/>
      <c r="O21" s="33"/>
      <c r="P21" s="5" t="s">
        <v>17</v>
      </c>
      <c r="R21" s="5" t="s">
        <v>105</v>
      </c>
      <c r="S21" s="5"/>
      <c r="U21" s="22"/>
      <c r="W21" s="5"/>
      <c r="Y21" s="5"/>
      <c r="AA21" s="5"/>
      <c r="AC21" s="5"/>
      <c r="AD21" s="33"/>
    </row>
    <row r="22" spans="1:30" x14ac:dyDescent="0.25">
      <c r="A22" s="5"/>
      <c r="B22" s="9" t="s">
        <v>18</v>
      </c>
      <c r="C22" s="27"/>
      <c r="D22" s="5" t="s">
        <v>17</v>
      </c>
      <c r="F22" s="17">
        <v>10.5</v>
      </c>
      <c r="G22" s="17"/>
      <c r="H22" s="44" t="s">
        <v>198</v>
      </c>
      <c r="I22" s="27"/>
      <c r="J22" s="19" t="s">
        <v>24</v>
      </c>
      <c r="L22" s="17">
        <v>9.8000000000000007</v>
      </c>
      <c r="M22" s="6"/>
      <c r="N22" s="44" t="s">
        <v>198</v>
      </c>
      <c r="O22" s="33"/>
      <c r="P22" s="5" t="s">
        <v>17</v>
      </c>
      <c r="R22" s="17">
        <v>6.95</v>
      </c>
      <c r="S22" s="5"/>
      <c r="T22" s="44" t="s">
        <v>198</v>
      </c>
      <c r="U22" s="22"/>
      <c r="W22" s="5"/>
      <c r="Y22" s="5"/>
      <c r="AA22" s="5"/>
      <c r="AC22" s="5"/>
      <c r="AD22" s="33"/>
    </row>
    <row r="23" spans="1:30" x14ac:dyDescent="0.25">
      <c r="A23" s="5"/>
      <c r="B23" s="9"/>
      <c r="C23" s="28"/>
      <c r="F23" s="5"/>
      <c r="G23" s="5"/>
      <c r="H23" s="31">
        <f>160*10.5*20</f>
        <v>33600</v>
      </c>
      <c r="I23" s="28"/>
      <c r="J23" s="16"/>
      <c r="M23" s="6"/>
      <c r="N23" s="46">
        <f>240*9.8*20</f>
        <v>47040</v>
      </c>
      <c r="O23" s="33"/>
      <c r="R23" s="5"/>
      <c r="S23" s="5"/>
      <c r="T23" s="15">
        <f>260*6.95*20</f>
        <v>36140</v>
      </c>
      <c r="U23" s="22"/>
      <c r="W23" s="5"/>
      <c r="Y23" s="5"/>
      <c r="AA23" s="5"/>
      <c r="AC23" s="5"/>
      <c r="AD23" s="33"/>
    </row>
    <row r="24" spans="1:30" x14ac:dyDescent="0.25">
      <c r="B24" s="14"/>
      <c r="C24" s="26"/>
      <c r="F24" s="5"/>
      <c r="G24" s="5"/>
      <c r="H24" s="5"/>
      <c r="I24" s="26"/>
      <c r="J24" s="5"/>
      <c r="O24" s="25"/>
      <c r="U24" s="21"/>
      <c r="AD24" s="25"/>
    </row>
    <row r="25" spans="1:30" x14ac:dyDescent="0.25">
      <c r="A25" s="5">
        <v>1997</v>
      </c>
      <c r="B25" s="9" t="s">
        <v>15</v>
      </c>
      <c r="C25" s="26"/>
      <c r="D25" s="5" t="s">
        <v>17</v>
      </c>
      <c r="F25" s="5" t="s">
        <v>20</v>
      </c>
      <c r="G25" s="5"/>
      <c r="H25" s="5"/>
      <c r="I25" s="26"/>
      <c r="J25" s="5" t="s">
        <v>24</v>
      </c>
      <c r="L25" s="5" t="s">
        <v>26</v>
      </c>
      <c r="O25" s="25"/>
      <c r="P25" s="5" t="s">
        <v>17</v>
      </c>
      <c r="R25" s="5" t="s">
        <v>106</v>
      </c>
      <c r="U25" s="21"/>
      <c r="AD25" s="25"/>
    </row>
    <row r="26" spans="1:30" x14ac:dyDescent="0.25">
      <c r="A26" s="5"/>
      <c r="B26" s="9" t="s">
        <v>18</v>
      </c>
      <c r="C26" s="27"/>
      <c r="D26" s="5" t="s">
        <v>17</v>
      </c>
      <c r="F26" s="17">
        <v>13</v>
      </c>
      <c r="G26" s="17"/>
      <c r="H26" s="44" t="s">
        <v>198</v>
      </c>
      <c r="I26" s="27"/>
      <c r="J26" s="30" t="s">
        <v>24</v>
      </c>
      <c r="L26" s="17">
        <v>12.7</v>
      </c>
      <c r="N26" s="44" t="s">
        <v>198</v>
      </c>
      <c r="O26" s="25"/>
      <c r="P26" s="5" t="s">
        <v>17</v>
      </c>
      <c r="R26" s="17">
        <v>8.1999999999999993</v>
      </c>
      <c r="T26" s="44" t="s">
        <v>198</v>
      </c>
      <c r="U26" s="21"/>
      <c r="AD26" s="25"/>
    </row>
    <row r="27" spans="1:30" x14ac:dyDescent="0.25">
      <c r="A27" s="5"/>
      <c r="B27" s="9"/>
      <c r="C27" s="28"/>
      <c r="D27" s="5"/>
      <c r="F27" s="5"/>
      <c r="G27" s="5"/>
      <c r="H27" s="16">
        <f>210*13*20</f>
        <v>54600</v>
      </c>
      <c r="I27" s="28"/>
      <c r="J27" s="16"/>
      <c r="N27" s="15">
        <f>300*12.7*20</f>
        <v>76200</v>
      </c>
      <c r="O27" s="25"/>
      <c r="P27" s="5"/>
      <c r="T27" s="15">
        <f>235*8.2*20</f>
        <v>38539.999999999993</v>
      </c>
      <c r="U27" s="21"/>
      <c r="AD27" s="25"/>
    </row>
    <row r="28" spans="1:30" x14ac:dyDescent="0.25">
      <c r="B28" s="14"/>
      <c r="C28" s="26"/>
      <c r="F28" s="5"/>
      <c r="G28" s="5"/>
      <c r="H28" s="5"/>
      <c r="I28" s="26"/>
      <c r="J28" s="5"/>
      <c r="O28" s="25"/>
      <c r="U28" s="21"/>
      <c r="AD28" s="25"/>
    </row>
    <row r="29" spans="1:30" x14ac:dyDescent="0.25">
      <c r="A29" s="5">
        <v>1998</v>
      </c>
      <c r="B29" s="9" t="s">
        <v>15</v>
      </c>
      <c r="C29" s="26"/>
      <c r="D29" s="5" t="s">
        <v>17</v>
      </c>
      <c r="F29" s="5" t="s">
        <v>21</v>
      </c>
      <c r="G29" s="5"/>
      <c r="H29" s="5"/>
      <c r="I29" s="26"/>
      <c r="J29" s="5" t="s">
        <v>24</v>
      </c>
      <c r="L29" s="5" t="s">
        <v>26</v>
      </c>
      <c r="O29" s="25"/>
      <c r="P29" s="5" t="s">
        <v>17</v>
      </c>
      <c r="R29" s="5" t="s">
        <v>112</v>
      </c>
      <c r="U29" s="21"/>
      <c r="AD29" s="25"/>
    </row>
    <row r="30" spans="1:30" x14ac:dyDescent="0.25">
      <c r="A30" s="5"/>
      <c r="B30" s="9" t="s">
        <v>18</v>
      </c>
      <c r="C30" s="27"/>
      <c r="D30" s="5" t="s">
        <v>17</v>
      </c>
      <c r="F30" s="17">
        <v>14</v>
      </c>
      <c r="G30" s="17"/>
      <c r="H30" s="44" t="s">
        <v>198</v>
      </c>
      <c r="I30" s="27"/>
      <c r="J30" s="19" t="s">
        <v>24</v>
      </c>
      <c r="L30" s="17">
        <v>16.3</v>
      </c>
      <c r="N30" s="44" t="s">
        <v>198</v>
      </c>
      <c r="O30" s="25"/>
      <c r="P30" s="5" t="s">
        <v>17</v>
      </c>
      <c r="R30" s="17">
        <v>7.35</v>
      </c>
      <c r="T30" s="44" t="s">
        <v>198</v>
      </c>
      <c r="U30" s="21"/>
      <c r="AD30" s="25"/>
    </row>
    <row r="31" spans="1:30" x14ac:dyDescent="0.25">
      <c r="A31" s="5"/>
      <c r="B31" s="9"/>
      <c r="C31" s="26"/>
      <c r="D31" s="5"/>
      <c r="F31" s="5"/>
      <c r="G31" s="5"/>
      <c r="H31" s="16">
        <f>215*14*20</f>
        <v>60200</v>
      </c>
      <c r="I31" s="26"/>
      <c r="J31" s="5"/>
      <c r="N31" s="15">
        <f>300*16.3*20</f>
        <v>97800</v>
      </c>
      <c r="O31" s="25"/>
      <c r="T31" s="15">
        <f>243*7.35*20</f>
        <v>35721</v>
      </c>
      <c r="U31" s="21"/>
      <c r="AD31" s="25"/>
    </row>
    <row r="32" spans="1:30" x14ac:dyDescent="0.25">
      <c r="A32" s="5"/>
      <c r="B32" s="9"/>
      <c r="C32" s="26"/>
      <c r="D32" s="5"/>
      <c r="F32" s="5"/>
      <c r="G32" s="5"/>
      <c r="H32" s="16"/>
      <c r="I32" s="26"/>
      <c r="J32" s="5"/>
      <c r="N32" s="15"/>
      <c r="O32" s="25"/>
      <c r="U32" s="21"/>
      <c r="AD32" s="25"/>
    </row>
    <row r="33" spans="1:30" x14ac:dyDescent="0.25">
      <c r="A33" s="5"/>
      <c r="B33" s="9"/>
      <c r="C33" s="26"/>
      <c r="D33" s="7" t="s">
        <v>2</v>
      </c>
      <c r="E33" t="s">
        <v>2</v>
      </c>
      <c r="F33" s="5" t="s">
        <v>65</v>
      </c>
      <c r="G33" s="5"/>
      <c r="H33" s="16"/>
      <c r="I33" s="26"/>
      <c r="J33" s="7" t="s">
        <v>2</v>
      </c>
      <c r="K33" t="s">
        <v>2</v>
      </c>
      <c r="L33" s="5" t="s">
        <v>65</v>
      </c>
      <c r="M33" s="5"/>
      <c r="N33" s="15"/>
      <c r="O33" s="25"/>
      <c r="P33" s="5"/>
      <c r="Q33" s="5"/>
      <c r="R33" s="5" t="s">
        <v>65</v>
      </c>
      <c r="S33" s="5"/>
      <c r="T33" s="5"/>
      <c r="U33" s="21"/>
      <c r="AD33" s="25"/>
    </row>
    <row r="34" spans="1:30" x14ac:dyDescent="0.25">
      <c r="A34" s="5"/>
      <c r="B34" s="9"/>
      <c r="C34" s="26"/>
      <c r="D34" s="11"/>
      <c r="E34" s="32" t="s">
        <v>68</v>
      </c>
      <c r="F34" s="5"/>
      <c r="G34" s="5"/>
      <c r="H34" s="16"/>
      <c r="I34" s="26"/>
      <c r="J34" s="11"/>
      <c r="K34" s="32" t="s">
        <v>84</v>
      </c>
      <c r="L34" s="5"/>
      <c r="M34" s="5"/>
      <c r="N34" s="15"/>
      <c r="O34" s="25"/>
      <c r="P34" s="5"/>
      <c r="Q34" s="5"/>
      <c r="R34" s="5" t="s">
        <v>107</v>
      </c>
      <c r="S34" s="5"/>
      <c r="T34" s="5"/>
      <c r="U34" s="21"/>
      <c r="AD34" s="25"/>
    </row>
    <row r="35" spans="1:30" x14ac:dyDescent="0.25">
      <c r="B35" s="14"/>
      <c r="C35" s="26"/>
      <c r="E35" s="9" t="s">
        <v>79</v>
      </c>
      <c r="F35" s="5"/>
      <c r="G35" s="5"/>
      <c r="H35" s="5"/>
      <c r="I35" s="26"/>
      <c r="K35" s="9" t="s">
        <v>85</v>
      </c>
      <c r="L35" s="5"/>
      <c r="M35" s="5"/>
      <c r="O35" s="25"/>
      <c r="Q35" t="s">
        <v>104</v>
      </c>
      <c r="U35" s="21"/>
      <c r="AD35" s="25"/>
    </row>
    <row r="36" spans="1:30" x14ac:dyDescent="0.25">
      <c r="B36" s="14"/>
      <c r="C36" s="26"/>
      <c r="E36" s="9" t="s">
        <v>80</v>
      </c>
      <c r="F36" s="5"/>
      <c r="G36" s="5"/>
      <c r="H36" s="5"/>
      <c r="I36" s="26"/>
      <c r="K36" s="9" t="s">
        <v>86</v>
      </c>
      <c r="L36" s="5"/>
      <c r="M36" s="5"/>
      <c r="O36" s="25"/>
      <c r="P36" t="s">
        <v>114</v>
      </c>
      <c r="U36" s="21"/>
      <c r="AD36" s="25"/>
    </row>
    <row r="37" spans="1:30" x14ac:dyDescent="0.25">
      <c r="B37" s="14"/>
      <c r="C37" s="26"/>
      <c r="E37" s="9"/>
      <c r="F37" s="5"/>
      <c r="G37" s="5"/>
      <c r="H37" s="5"/>
      <c r="I37" s="26"/>
      <c r="J37" s="5"/>
      <c r="O37" s="25"/>
      <c r="U37" s="21"/>
      <c r="AD37" s="25"/>
    </row>
    <row r="38" spans="1:30" x14ac:dyDescent="0.25">
      <c r="A38" s="5">
        <v>1999</v>
      </c>
      <c r="B38" s="9" t="s">
        <v>15</v>
      </c>
      <c r="C38" s="26"/>
      <c r="D38" s="5" t="s">
        <v>17</v>
      </c>
      <c r="F38" s="5" t="s">
        <v>28</v>
      </c>
      <c r="G38" s="5"/>
      <c r="H38" s="5"/>
      <c r="I38" s="26"/>
      <c r="J38" s="5" t="s">
        <v>24</v>
      </c>
      <c r="L38" s="5" t="s">
        <v>29</v>
      </c>
      <c r="O38" s="25"/>
      <c r="P38" s="5" t="s">
        <v>111</v>
      </c>
      <c r="R38" s="5" t="s">
        <v>113</v>
      </c>
      <c r="U38" s="21"/>
      <c r="AD38" s="25"/>
    </row>
    <row r="39" spans="1:30" x14ac:dyDescent="0.25">
      <c r="A39" s="5"/>
      <c r="B39" s="9" t="s">
        <v>18</v>
      </c>
      <c r="C39" s="26"/>
      <c r="D39" s="5" t="s">
        <v>17</v>
      </c>
      <c r="F39" s="17">
        <v>13.3</v>
      </c>
      <c r="G39" s="5"/>
      <c r="H39" s="44" t="s">
        <v>198</v>
      </c>
      <c r="I39" s="26"/>
      <c r="J39" s="19" t="s">
        <v>24</v>
      </c>
      <c r="L39" s="17">
        <v>12.2</v>
      </c>
      <c r="N39" s="44" t="s">
        <v>198</v>
      </c>
      <c r="O39" s="25"/>
      <c r="P39" s="5" t="s">
        <v>111</v>
      </c>
      <c r="R39" s="17">
        <v>7.55</v>
      </c>
      <c r="T39" s="44" t="s">
        <v>198</v>
      </c>
      <c r="U39" s="21"/>
      <c r="AD39" s="25"/>
    </row>
    <row r="40" spans="1:30" x14ac:dyDescent="0.25">
      <c r="A40" s="5"/>
      <c r="B40" s="9"/>
      <c r="C40" s="26"/>
      <c r="F40" s="5"/>
      <c r="G40" s="5"/>
      <c r="H40" s="16">
        <f>165*13.3*20</f>
        <v>43890</v>
      </c>
      <c r="I40" s="26"/>
      <c r="J40" s="16"/>
      <c r="N40" s="15">
        <f>280*12.2*20</f>
        <v>68320</v>
      </c>
      <c r="O40" s="25"/>
      <c r="T40" s="15">
        <f>225*7.55*20</f>
        <v>33975</v>
      </c>
      <c r="U40" s="21"/>
      <c r="AD40" s="25"/>
    </row>
    <row r="41" spans="1:30" x14ac:dyDescent="0.25">
      <c r="A41" s="5"/>
      <c r="B41" s="14"/>
      <c r="C41" s="26"/>
      <c r="F41" s="5"/>
      <c r="G41" s="5"/>
      <c r="H41" s="5"/>
      <c r="I41" s="26"/>
      <c r="J41" s="5"/>
      <c r="O41" s="25"/>
      <c r="U41" s="21"/>
      <c r="AD41" s="25"/>
    </row>
    <row r="42" spans="1:30" x14ac:dyDescent="0.25">
      <c r="A42" s="5">
        <v>2000</v>
      </c>
      <c r="B42" s="9" t="s">
        <v>15</v>
      </c>
      <c r="C42" s="26"/>
      <c r="D42" s="5" t="s">
        <v>17</v>
      </c>
      <c r="F42" s="5" t="s">
        <v>30</v>
      </c>
      <c r="G42" s="5"/>
      <c r="H42" s="5"/>
      <c r="I42" s="26"/>
      <c r="J42" s="5" t="s">
        <v>24</v>
      </c>
      <c r="L42" s="5" t="s">
        <v>32</v>
      </c>
      <c r="O42" s="25"/>
      <c r="P42" s="5" t="s">
        <v>111</v>
      </c>
      <c r="R42" s="5" t="s">
        <v>115</v>
      </c>
      <c r="U42" s="21"/>
      <c r="AD42" s="25"/>
    </row>
    <row r="43" spans="1:30" x14ac:dyDescent="0.25">
      <c r="A43" s="5"/>
      <c r="B43" s="9" t="s">
        <v>18</v>
      </c>
      <c r="C43" s="26"/>
      <c r="D43" s="5" t="s">
        <v>17</v>
      </c>
      <c r="F43" s="17">
        <v>17</v>
      </c>
      <c r="G43" s="5"/>
      <c r="H43" s="44" t="s">
        <v>198</v>
      </c>
      <c r="I43" s="26"/>
      <c r="J43" s="30" t="s">
        <v>24</v>
      </c>
      <c r="L43" s="17">
        <v>13.5</v>
      </c>
      <c r="N43" s="44" t="s">
        <v>198</v>
      </c>
      <c r="O43" s="25"/>
      <c r="P43" s="5" t="s">
        <v>111</v>
      </c>
      <c r="R43" s="17">
        <v>7.75</v>
      </c>
      <c r="T43" s="44" t="s">
        <v>198</v>
      </c>
      <c r="U43" s="21"/>
      <c r="AD43" s="25"/>
    </row>
    <row r="44" spans="1:30" x14ac:dyDescent="0.25">
      <c r="A44" s="5"/>
      <c r="B44" s="9"/>
      <c r="C44" s="26"/>
      <c r="D44" s="5"/>
      <c r="F44" s="5"/>
      <c r="G44" s="5"/>
      <c r="H44" s="16">
        <f>170*17*20</f>
        <v>57800</v>
      </c>
      <c r="I44" s="26"/>
      <c r="J44" s="16"/>
      <c r="N44" s="15">
        <f>380*13.5*20</f>
        <v>102600</v>
      </c>
      <c r="O44" s="25"/>
      <c r="P44" s="5"/>
      <c r="T44" s="15">
        <f>277*7.75*20</f>
        <v>42935</v>
      </c>
      <c r="U44" s="21"/>
      <c r="AD44" s="25"/>
    </row>
    <row r="45" spans="1:30" x14ac:dyDescent="0.25">
      <c r="B45" s="14"/>
      <c r="C45" s="26"/>
      <c r="F45" s="5"/>
      <c r="G45" s="5"/>
      <c r="H45" s="5"/>
      <c r="I45" s="26"/>
      <c r="J45" s="5"/>
      <c r="O45" s="25"/>
      <c r="U45" s="21"/>
      <c r="AD45" s="25"/>
    </row>
    <row r="46" spans="1:30" x14ac:dyDescent="0.25">
      <c r="A46" s="5">
        <v>2001</v>
      </c>
      <c r="B46" s="9" t="s">
        <v>15</v>
      </c>
      <c r="C46" s="26"/>
      <c r="D46" s="5" t="s">
        <v>17</v>
      </c>
      <c r="F46" s="5" t="s">
        <v>31</v>
      </c>
      <c r="G46" s="5"/>
      <c r="I46" s="26"/>
      <c r="J46" s="5" t="s">
        <v>24</v>
      </c>
      <c r="L46" s="5" t="s">
        <v>33</v>
      </c>
      <c r="O46" s="25"/>
      <c r="P46" s="5" t="s">
        <v>111</v>
      </c>
      <c r="R46" s="5" t="s">
        <v>116</v>
      </c>
      <c r="U46" s="21"/>
      <c r="AD46" s="25"/>
    </row>
    <row r="47" spans="1:30" x14ac:dyDescent="0.25">
      <c r="A47" s="5"/>
      <c r="B47" s="9" t="s">
        <v>18</v>
      </c>
      <c r="C47" s="26"/>
      <c r="D47" s="5" t="s">
        <v>17</v>
      </c>
      <c r="F47" s="17">
        <v>19</v>
      </c>
      <c r="G47" s="5"/>
      <c r="H47" s="44" t="s">
        <v>198</v>
      </c>
      <c r="I47" s="26"/>
      <c r="J47" s="19" t="s">
        <v>24</v>
      </c>
      <c r="L47" s="17">
        <v>9.6999999999999993</v>
      </c>
      <c r="N47" s="44" t="s">
        <v>198</v>
      </c>
      <c r="O47" s="25"/>
      <c r="P47" s="5" t="s">
        <v>111</v>
      </c>
      <c r="R47" s="17">
        <v>8.0500000000000007</v>
      </c>
      <c r="T47" s="44" t="s">
        <v>198</v>
      </c>
      <c r="U47" s="21"/>
      <c r="AD47" s="25"/>
    </row>
    <row r="48" spans="1:30" x14ac:dyDescent="0.25">
      <c r="C48" s="26"/>
      <c r="F48" s="5"/>
      <c r="G48" s="5"/>
      <c r="H48" s="16">
        <f>90*19*20</f>
        <v>34200</v>
      </c>
      <c r="I48" s="26"/>
      <c r="J48" s="5"/>
      <c r="N48" s="15">
        <f>330*9.7*20</f>
        <v>64019.999999999993</v>
      </c>
      <c r="O48" s="25"/>
      <c r="T48" s="15">
        <f>242*8.05*20</f>
        <v>38962</v>
      </c>
      <c r="U48" s="21"/>
      <c r="AD48" s="25"/>
    </row>
    <row r="49" spans="1:33" x14ac:dyDescent="0.25">
      <c r="C49" s="26"/>
      <c r="F49" s="5"/>
      <c r="G49" s="5"/>
      <c r="H49" s="16"/>
      <c r="I49" s="26"/>
      <c r="J49" s="5"/>
      <c r="N49" s="15"/>
      <c r="O49" s="25"/>
      <c r="U49" s="21"/>
      <c r="AD49" s="25"/>
    </row>
    <row r="50" spans="1:33" x14ac:dyDescent="0.25">
      <c r="C50" s="26"/>
      <c r="D50" s="7" t="s">
        <v>2</v>
      </c>
      <c r="E50" t="s">
        <v>2</v>
      </c>
      <c r="F50" s="5" t="s">
        <v>65</v>
      </c>
      <c r="G50" s="5"/>
      <c r="H50" s="16"/>
      <c r="I50" s="26"/>
      <c r="J50" s="7" t="s">
        <v>2</v>
      </c>
      <c r="K50" t="s">
        <v>2</v>
      </c>
      <c r="L50" s="5" t="s">
        <v>65</v>
      </c>
      <c r="N50" s="15"/>
      <c r="O50" s="25"/>
      <c r="R50" s="5" t="s">
        <v>65</v>
      </c>
      <c r="U50" s="21"/>
      <c r="AD50" s="25"/>
    </row>
    <row r="51" spans="1:33" x14ac:dyDescent="0.25">
      <c r="C51" s="26"/>
      <c r="D51" s="11"/>
      <c r="E51" s="32" t="s">
        <v>76</v>
      </c>
      <c r="F51" s="5"/>
      <c r="G51" s="5"/>
      <c r="H51" s="16"/>
      <c r="I51" s="26"/>
      <c r="J51" s="11"/>
      <c r="K51" s="32" t="s">
        <v>87</v>
      </c>
      <c r="L51" s="5"/>
      <c r="N51" s="15"/>
      <c r="O51" s="25"/>
      <c r="P51" t="s">
        <v>114</v>
      </c>
      <c r="U51" s="21"/>
      <c r="AD51" s="25"/>
    </row>
    <row r="52" spans="1:33" x14ac:dyDescent="0.25">
      <c r="C52" s="26"/>
      <c r="D52" t="s">
        <v>77</v>
      </c>
      <c r="F52" s="5"/>
      <c r="G52" s="5"/>
      <c r="H52" s="16"/>
      <c r="I52" s="26"/>
      <c r="J52" s="34" t="s">
        <v>88</v>
      </c>
      <c r="L52" s="5"/>
      <c r="M52" s="5"/>
      <c r="N52" s="16"/>
      <c r="O52" s="25"/>
      <c r="P52" s="5"/>
      <c r="R52" s="5" t="s">
        <v>107</v>
      </c>
      <c r="U52" s="21"/>
      <c r="AD52" s="25"/>
    </row>
    <row r="53" spans="1:33" x14ac:dyDescent="0.25">
      <c r="C53" s="26"/>
      <c r="D53" s="34" t="s">
        <v>78</v>
      </c>
      <c r="F53" s="5"/>
      <c r="G53" s="5"/>
      <c r="H53" s="16"/>
      <c r="I53" s="26"/>
      <c r="J53" s="5" t="s">
        <v>89</v>
      </c>
      <c r="N53" s="15"/>
      <c r="O53" s="25"/>
      <c r="P53" t="s">
        <v>117</v>
      </c>
      <c r="U53" s="21"/>
      <c r="AD53" s="25"/>
    </row>
    <row r="54" spans="1:33" x14ac:dyDescent="0.25">
      <c r="C54" s="26"/>
      <c r="D54" s="34"/>
      <c r="F54" s="5"/>
      <c r="G54" s="5"/>
      <c r="H54" s="16"/>
      <c r="I54" s="26"/>
      <c r="J54" s="5"/>
      <c r="N54" s="15"/>
      <c r="O54" s="25"/>
      <c r="P54" t="s">
        <v>120</v>
      </c>
      <c r="U54" s="21"/>
      <c r="AD54" s="25"/>
    </row>
    <row r="55" spans="1:33" x14ac:dyDescent="0.25">
      <c r="C55" s="26"/>
      <c r="F55" s="5"/>
      <c r="G55" s="5"/>
      <c r="H55" s="16"/>
      <c r="I55" s="26"/>
      <c r="J55" s="5"/>
      <c r="N55" s="15"/>
      <c r="O55" s="25"/>
      <c r="U55" s="21"/>
      <c r="AD55" s="25"/>
    </row>
    <row r="56" spans="1:33" x14ac:dyDescent="0.25">
      <c r="A56" s="5">
        <v>2002</v>
      </c>
      <c r="B56" s="9" t="s">
        <v>15</v>
      </c>
      <c r="C56" s="26"/>
      <c r="D56" s="5" t="s">
        <v>17</v>
      </c>
      <c r="F56" s="5" t="s">
        <v>34</v>
      </c>
      <c r="G56" s="5"/>
      <c r="H56" s="5"/>
      <c r="I56" s="26"/>
      <c r="J56" s="5" t="s">
        <v>24</v>
      </c>
      <c r="L56" s="5" t="s">
        <v>37</v>
      </c>
      <c r="O56" s="25"/>
      <c r="P56" s="5" t="s">
        <v>111</v>
      </c>
      <c r="R56" s="5" t="s">
        <v>21</v>
      </c>
      <c r="U56" s="21"/>
      <c r="AD56" s="25"/>
      <c r="AG56" s="4"/>
    </row>
    <row r="57" spans="1:33" x14ac:dyDescent="0.25">
      <c r="A57" s="5"/>
      <c r="B57" s="9" t="s">
        <v>18</v>
      </c>
      <c r="C57" s="26"/>
      <c r="D57" s="5" t="s">
        <v>17</v>
      </c>
      <c r="F57" s="17">
        <v>13.3</v>
      </c>
      <c r="G57" s="5"/>
      <c r="H57" s="44" t="s">
        <v>198</v>
      </c>
      <c r="I57" s="26"/>
      <c r="J57" s="19" t="s">
        <v>24</v>
      </c>
      <c r="L57" s="17">
        <v>12.4</v>
      </c>
      <c r="N57" s="44" t="s">
        <v>198</v>
      </c>
      <c r="O57" s="25"/>
      <c r="P57" s="5" t="s">
        <v>17</v>
      </c>
      <c r="R57" s="17">
        <v>9.15</v>
      </c>
      <c r="T57" s="44" t="s">
        <v>198</v>
      </c>
      <c r="U57" s="21"/>
      <c r="AD57" s="25"/>
      <c r="AG57" s="4"/>
    </row>
    <row r="58" spans="1:33" x14ac:dyDescent="0.25">
      <c r="A58" s="5"/>
      <c r="B58" s="9"/>
      <c r="C58" s="26"/>
      <c r="F58" s="5"/>
      <c r="G58" s="5"/>
      <c r="H58" s="16">
        <f>190*13.3*20</f>
        <v>50540</v>
      </c>
      <c r="I58" s="26"/>
      <c r="J58" s="16"/>
      <c r="N58" s="15">
        <f>230*12.4*20</f>
        <v>57040</v>
      </c>
      <c r="O58" s="25"/>
      <c r="T58" s="15">
        <f>215*9.15*20</f>
        <v>39345</v>
      </c>
      <c r="U58" s="21"/>
      <c r="AD58" s="25"/>
      <c r="AG58" s="4"/>
    </row>
    <row r="59" spans="1:33" x14ac:dyDescent="0.25">
      <c r="A59" s="5"/>
      <c r="B59" s="9"/>
      <c r="C59" s="26"/>
      <c r="F59" s="5"/>
      <c r="G59" s="5"/>
      <c r="H59" s="5"/>
      <c r="I59" s="26"/>
      <c r="J59" s="5"/>
      <c r="O59" s="25"/>
      <c r="U59" s="21"/>
      <c r="AD59" s="25"/>
      <c r="AG59" s="4"/>
    </row>
    <row r="60" spans="1:33" x14ac:dyDescent="0.25">
      <c r="A60" s="5">
        <v>2003</v>
      </c>
      <c r="B60" s="9" t="s">
        <v>15</v>
      </c>
      <c r="C60" s="26"/>
      <c r="D60" s="5" t="s">
        <v>17</v>
      </c>
      <c r="F60" s="5" t="s">
        <v>35</v>
      </c>
      <c r="G60" s="5"/>
      <c r="H60" s="5"/>
      <c r="I60" s="26"/>
      <c r="J60" s="5" t="s">
        <v>24</v>
      </c>
      <c r="L60" s="5" t="s">
        <v>38</v>
      </c>
      <c r="O60" s="25"/>
      <c r="P60" s="5" t="s">
        <v>111</v>
      </c>
      <c r="R60" s="5" t="s">
        <v>118</v>
      </c>
      <c r="U60" s="21"/>
      <c r="AD60" s="25"/>
    </row>
    <row r="61" spans="1:33" x14ac:dyDescent="0.25">
      <c r="A61" s="5"/>
      <c r="B61" s="9" t="s">
        <v>18</v>
      </c>
      <c r="C61" s="26"/>
      <c r="D61" s="5" t="s">
        <v>17</v>
      </c>
      <c r="F61" s="17">
        <v>10.7</v>
      </c>
      <c r="G61" s="5"/>
      <c r="H61" s="44" t="s">
        <v>198</v>
      </c>
      <c r="I61" s="26"/>
      <c r="J61" s="30" t="s">
        <v>24</v>
      </c>
      <c r="L61" s="17">
        <v>13.3</v>
      </c>
      <c r="N61" s="44" t="s">
        <v>198</v>
      </c>
      <c r="O61" s="25"/>
      <c r="P61" s="5" t="s">
        <v>119</v>
      </c>
      <c r="R61" s="17">
        <v>7.05</v>
      </c>
      <c r="T61" s="44" t="s">
        <v>198</v>
      </c>
      <c r="U61" s="21"/>
      <c r="AD61" s="25"/>
    </row>
    <row r="62" spans="1:33" x14ac:dyDescent="0.25">
      <c r="A62" s="5"/>
      <c r="B62" s="9"/>
      <c r="C62" s="26"/>
      <c r="D62" s="5"/>
      <c r="F62" s="5"/>
      <c r="G62" s="5"/>
      <c r="H62" s="16">
        <f>195*10.7*20</f>
        <v>41730</v>
      </c>
      <c r="I62" s="26"/>
      <c r="J62" s="16"/>
      <c r="N62" s="15">
        <f>320*13.3*20</f>
        <v>85120</v>
      </c>
      <c r="O62" s="25"/>
      <c r="P62" s="5"/>
      <c r="T62" s="15">
        <f>292*7.05*20</f>
        <v>41172</v>
      </c>
      <c r="U62" s="21"/>
      <c r="AD62" s="25"/>
    </row>
    <row r="63" spans="1:33" x14ac:dyDescent="0.25">
      <c r="A63" s="5"/>
      <c r="B63" s="9"/>
      <c r="C63" s="26"/>
      <c r="F63" s="5"/>
      <c r="G63" s="5"/>
      <c r="H63" s="5"/>
      <c r="I63" s="26"/>
      <c r="J63" s="5"/>
      <c r="O63" s="25"/>
      <c r="U63" s="21"/>
      <c r="AD63" s="25"/>
    </row>
    <row r="64" spans="1:33" x14ac:dyDescent="0.25">
      <c r="A64" s="5">
        <v>2004</v>
      </c>
      <c r="B64" s="9" t="s">
        <v>15</v>
      </c>
      <c r="C64" s="26"/>
      <c r="D64" s="5" t="s">
        <v>17</v>
      </c>
      <c r="F64" s="5" t="s">
        <v>20</v>
      </c>
      <c r="G64" s="5"/>
      <c r="H64" s="5"/>
      <c r="I64" s="26"/>
      <c r="J64" s="5" t="s">
        <v>24</v>
      </c>
      <c r="L64" s="5" t="s">
        <v>39</v>
      </c>
      <c r="O64" s="25"/>
      <c r="P64" s="5" t="s">
        <v>111</v>
      </c>
      <c r="R64" s="5" t="s">
        <v>21</v>
      </c>
      <c r="U64" s="21"/>
      <c r="AD64" s="25"/>
    </row>
    <row r="65" spans="1:30" x14ac:dyDescent="0.25">
      <c r="A65" s="5"/>
      <c r="B65" s="9" t="s">
        <v>18</v>
      </c>
      <c r="C65" s="26"/>
      <c r="D65" s="5" t="s">
        <v>17</v>
      </c>
      <c r="F65" s="17">
        <v>11.9</v>
      </c>
      <c r="G65" s="5"/>
      <c r="H65" s="44" t="s">
        <v>198</v>
      </c>
      <c r="I65" s="26"/>
      <c r="J65" s="19" t="s">
        <v>24</v>
      </c>
      <c r="L65" s="17">
        <v>12.1</v>
      </c>
      <c r="N65" s="44" t="s">
        <v>198</v>
      </c>
      <c r="O65" s="25"/>
      <c r="P65" s="5" t="s">
        <v>119</v>
      </c>
      <c r="R65" s="17">
        <v>7.45</v>
      </c>
      <c r="T65" s="44" t="s">
        <v>198</v>
      </c>
      <c r="U65" s="21"/>
      <c r="AD65" s="25"/>
    </row>
    <row r="66" spans="1:30" x14ac:dyDescent="0.25">
      <c r="A66" s="5"/>
      <c r="B66" s="14"/>
      <c r="C66" s="26"/>
      <c r="F66" s="5"/>
      <c r="G66" s="5"/>
      <c r="H66" s="16">
        <f>210*11.9*20</f>
        <v>49980</v>
      </c>
      <c r="I66" s="26"/>
      <c r="J66" s="5"/>
      <c r="N66" s="15">
        <f>400*12.1*20</f>
        <v>96800</v>
      </c>
      <c r="O66" s="25"/>
      <c r="T66" s="15">
        <f>215*7.45*20</f>
        <v>32035</v>
      </c>
      <c r="U66" s="21"/>
      <c r="AD66" s="25"/>
    </row>
    <row r="67" spans="1:30" x14ac:dyDescent="0.25">
      <c r="A67" s="5"/>
      <c r="B67" s="14"/>
      <c r="C67" s="26"/>
      <c r="F67" s="5"/>
      <c r="G67" s="5"/>
      <c r="H67" s="16"/>
      <c r="I67" s="26"/>
      <c r="J67" s="5"/>
      <c r="N67" s="15"/>
      <c r="O67" s="25"/>
      <c r="U67" s="21"/>
      <c r="AD67" s="25"/>
    </row>
    <row r="68" spans="1:30" x14ac:dyDescent="0.25">
      <c r="A68" s="5"/>
      <c r="B68" s="14"/>
      <c r="C68" s="26"/>
      <c r="D68" s="7" t="s">
        <v>2</v>
      </c>
      <c r="E68" t="s">
        <v>2</v>
      </c>
      <c r="F68" s="5" t="s">
        <v>65</v>
      </c>
      <c r="G68" s="5"/>
      <c r="H68" s="16"/>
      <c r="I68" s="26"/>
      <c r="J68" s="7" t="s">
        <v>2</v>
      </c>
      <c r="K68" t="s">
        <v>2</v>
      </c>
      <c r="L68" s="5" t="s">
        <v>65</v>
      </c>
      <c r="M68" s="5"/>
      <c r="N68" s="16"/>
      <c r="O68" s="25"/>
      <c r="R68" s="5" t="s">
        <v>65</v>
      </c>
      <c r="U68" s="21"/>
      <c r="AD68" s="25"/>
    </row>
    <row r="69" spans="1:30" x14ac:dyDescent="0.25">
      <c r="A69" s="5"/>
      <c r="B69" s="14"/>
      <c r="C69" s="26"/>
      <c r="D69" s="11"/>
      <c r="E69" s="32" t="s">
        <v>73</v>
      </c>
      <c r="F69" s="5"/>
      <c r="G69" s="5"/>
      <c r="H69" s="16"/>
      <c r="I69" s="26"/>
      <c r="J69" s="11"/>
      <c r="K69" s="32" t="s">
        <v>81</v>
      </c>
      <c r="L69" s="5"/>
      <c r="M69" s="5"/>
      <c r="N69" s="16"/>
      <c r="O69" s="25"/>
      <c r="P69" t="s">
        <v>125</v>
      </c>
      <c r="U69" s="21"/>
      <c r="AD69" s="25"/>
    </row>
    <row r="70" spans="1:30" x14ac:dyDescent="0.25">
      <c r="A70" s="5"/>
      <c r="B70" s="14"/>
      <c r="C70" s="26"/>
      <c r="D70" s="34" t="s">
        <v>74</v>
      </c>
      <c r="F70" s="5"/>
      <c r="G70" s="5"/>
      <c r="H70" s="16"/>
      <c r="I70" s="26"/>
      <c r="J70" s="34" t="s">
        <v>90</v>
      </c>
      <c r="L70" s="5"/>
      <c r="M70" s="5"/>
      <c r="N70" s="16"/>
      <c r="O70" s="25"/>
      <c r="P70" t="s">
        <v>124</v>
      </c>
      <c r="U70" s="21"/>
      <c r="AD70" s="25"/>
    </row>
    <row r="71" spans="1:30" x14ac:dyDescent="0.25">
      <c r="A71" s="5"/>
      <c r="B71" s="14"/>
      <c r="C71" s="26"/>
      <c r="D71" t="s">
        <v>75</v>
      </c>
      <c r="F71" s="5"/>
      <c r="G71" s="5"/>
      <c r="H71" s="16"/>
      <c r="I71" s="26"/>
      <c r="J71" t="s">
        <v>91</v>
      </c>
      <c r="L71" s="5"/>
      <c r="M71" s="5"/>
      <c r="N71" s="16"/>
      <c r="O71" s="25"/>
      <c r="U71" s="21"/>
      <c r="AD71" s="25"/>
    </row>
    <row r="72" spans="1:30" x14ac:dyDescent="0.25">
      <c r="A72" s="5"/>
      <c r="B72" s="14"/>
      <c r="C72" s="26"/>
      <c r="F72" s="5"/>
      <c r="G72" s="5"/>
      <c r="H72" s="5"/>
      <c r="I72" s="26"/>
      <c r="J72" s="5"/>
      <c r="O72" s="25"/>
      <c r="U72" s="21"/>
      <c r="AD72" s="25"/>
    </row>
    <row r="73" spans="1:30" x14ac:dyDescent="0.25">
      <c r="A73" s="5">
        <v>2005</v>
      </c>
      <c r="B73" s="9" t="s">
        <v>15</v>
      </c>
      <c r="C73" s="26"/>
      <c r="D73" s="5" t="s">
        <v>17</v>
      </c>
      <c r="F73" s="5" t="s">
        <v>30</v>
      </c>
      <c r="G73" s="5"/>
      <c r="H73" s="5"/>
      <c r="I73" s="26"/>
      <c r="J73" s="5" t="s">
        <v>24</v>
      </c>
      <c r="L73" s="5" t="s">
        <v>29</v>
      </c>
      <c r="O73" s="25"/>
      <c r="P73" s="5" t="s">
        <v>111</v>
      </c>
      <c r="R73" s="5" t="s">
        <v>121</v>
      </c>
      <c r="U73" s="21"/>
      <c r="AD73" s="25"/>
    </row>
    <row r="74" spans="1:30" x14ac:dyDescent="0.25">
      <c r="A74" s="5"/>
      <c r="B74" s="9" t="s">
        <v>18</v>
      </c>
      <c r="C74" s="26"/>
      <c r="D74" s="5" t="s">
        <v>17</v>
      </c>
      <c r="F74" s="17">
        <v>18.2</v>
      </c>
      <c r="G74" s="5"/>
      <c r="H74" s="44" t="s">
        <v>198</v>
      </c>
      <c r="I74" s="26"/>
      <c r="J74" s="19" t="s">
        <v>24</v>
      </c>
      <c r="L74" s="17">
        <v>15.2</v>
      </c>
      <c r="N74" s="44" t="s">
        <v>198</v>
      </c>
      <c r="O74" s="25"/>
      <c r="P74" s="5" t="s">
        <v>17</v>
      </c>
      <c r="R74" s="17">
        <v>11.4</v>
      </c>
      <c r="T74" s="44" t="s">
        <v>198</v>
      </c>
      <c r="U74" s="21"/>
      <c r="AD74" s="25"/>
    </row>
    <row r="75" spans="1:30" x14ac:dyDescent="0.25">
      <c r="A75" s="5"/>
      <c r="B75" s="14"/>
      <c r="C75" s="26"/>
      <c r="F75" s="5"/>
      <c r="G75" s="5"/>
      <c r="H75" s="16">
        <f>170*18.2*20</f>
        <v>61880</v>
      </c>
      <c r="I75" s="26"/>
      <c r="J75" s="16"/>
      <c r="N75" s="15">
        <f>280*15.2*20</f>
        <v>85120</v>
      </c>
      <c r="O75" s="25"/>
      <c r="T75" s="15">
        <f>246*11.4*20</f>
        <v>56088</v>
      </c>
      <c r="U75" s="21"/>
      <c r="AD75" s="25"/>
    </row>
    <row r="76" spans="1:30" x14ac:dyDescent="0.25">
      <c r="B76" s="14"/>
      <c r="C76" s="26"/>
      <c r="F76" s="5"/>
      <c r="G76" s="5"/>
      <c r="H76" s="5"/>
      <c r="I76" s="26"/>
      <c r="J76" s="5"/>
      <c r="O76" s="25"/>
      <c r="U76" s="21"/>
      <c r="AD76" s="25"/>
    </row>
    <row r="77" spans="1:30" x14ac:dyDescent="0.25">
      <c r="A77" s="5">
        <v>2006</v>
      </c>
      <c r="B77" s="9" t="s">
        <v>15</v>
      </c>
      <c r="C77" s="26"/>
      <c r="D77" s="5" t="s">
        <v>17</v>
      </c>
      <c r="F77" s="5" t="s">
        <v>37</v>
      </c>
      <c r="G77" s="5"/>
      <c r="H77" s="5"/>
      <c r="I77" s="26"/>
      <c r="J77" s="5" t="s">
        <v>24</v>
      </c>
      <c r="L77" s="5" t="s">
        <v>33</v>
      </c>
      <c r="O77" s="25"/>
      <c r="P77" s="5" t="s">
        <v>111</v>
      </c>
      <c r="R77" s="5" t="s">
        <v>122</v>
      </c>
      <c r="U77" s="21"/>
      <c r="AD77" s="25"/>
    </row>
    <row r="78" spans="1:30" x14ac:dyDescent="0.25">
      <c r="B78" s="9" t="s">
        <v>18</v>
      </c>
      <c r="C78" s="26"/>
      <c r="D78" s="5" t="s">
        <v>17</v>
      </c>
      <c r="F78" s="17">
        <v>20</v>
      </c>
      <c r="G78" s="5"/>
      <c r="H78" s="44" t="s">
        <v>198</v>
      </c>
      <c r="I78" s="26"/>
      <c r="J78" s="30" t="s">
        <v>24</v>
      </c>
      <c r="L78" s="17">
        <v>19.399999999999999</v>
      </c>
      <c r="N78" s="44" t="s">
        <v>198</v>
      </c>
      <c r="O78" s="25"/>
      <c r="P78" s="5" t="s">
        <v>119</v>
      </c>
      <c r="R78" s="17">
        <v>10.4</v>
      </c>
      <c r="T78" s="44" t="s">
        <v>198</v>
      </c>
      <c r="U78" s="21"/>
      <c r="AD78" s="25"/>
    </row>
    <row r="79" spans="1:30" x14ac:dyDescent="0.25">
      <c r="B79" s="14"/>
      <c r="C79" s="26"/>
      <c r="D79" s="5"/>
      <c r="F79" s="5"/>
      <c r="G79" s="5"/>
      <c r="H79" s="16">
        <f>230*20*20</f>
        <v>92000</v>
      </c>
      <c r="I79" s="26"/>
      <c r="J79" s="16"/>
      <c r="N79" s="15">
        <f>330*19.4*20</f>
        <v>128039.99999999999</v>
      </c>
      <c r="O79" s="25"/>
      <c r="P79" s="5"/>
      <c r="T79" s="15">
        <f>253*10.4*20</f>
        <v>52624.000000000007</v>
      </c>
      <c r="U79" s="21"/>
      <c r="AD79" s="25"/>
    </row>
    <row r="80" spans="1:30" x14ac:dyDescent="0.25">
      <c r="B80" s="14"/>
      <c r="C80" s="26"/>
      <c r="F80" s="5"/>
      <c r="G80" s="5"/>
      <c r="H80" s="5"/>
      <c r="I80" s="26"/>
      <c r="J80" s="5"/>
      <c r="O80" s="25"/>
      <c r="U80" s="21"/>
      <c r="AD80" s="25"/>
    </row>
    <row r="81" spans="1:30" x14ac:dyDescent="0.25">
      <c r="A81" s="5">
        <v>2007</v>
      </c>
      <c r="B81" s="9" t="s">
        <v>15</v>
      </c>
      <c r="C81" s="26"/>
      <c r="D81" s="5" t="s">
        <v>17</v>
      </c>
      <c r="F81" s="5" t="s">
        <v>40</v>
      </c>
      <c r="G81" s="5"/>
      <c r="H81" s="5"/>
      <c r="I81" s="26"/>
      <c r="J81" s="5" t="s">
        <v>24</v>
      </c>
      <c r="L81" s="5" t="s">
        <v>41</v>
      </c>
      <c r="O81" s="25"/>
      <c r="P81" s="5" t="s">
        <v>111</v>
      </c>
      <c r="R81" s="5" t="s">
        <v>123</v>
      </c>
      <c r="U81" s="21"/>
      <c r="AD81" s="25"/>
    </row>
    <row r="82" spans="1:30" x14ac:dyDescent="0.25">
      <c r="A82" s="5"/>
      <c r="B82" s="9" t="s">
        <v>18</v>
      </c>
      <c r="C82" s="26"/>
      <c r="D82" s="5" t="s">
        <v>17</v>
      </c>
      <c r="F82" s="17">
        <v>14.2</v>
      </c>
      <c r="G82" s="5"/>
      <c r="H82" s="44" t="s">
        <v>198</v>
      </c>
      <c r="I82" s="26"/>
      <c r="J82" s="19" t="s">
        <v>24</v>
      </c>
      <c r="L82" s="17">
        <v>11.1</v>
      </c>
      <c r="N82" s="44" t="s">
        <v>198</v>
      </c>
      <c r="O82" s="25"/>
      <c r="P82" s="5" t="s">
        <v>119</v>
      </c>
      <c r="R82" s="17">
        <v>10.1</v>
      </c>
      <c r="T82" s="44" t="s">
        <v>198</v>
      </c>
      <c r="U82" s="21"/>
      <c r="AD82" s="25"/>
    </row>
    <row r="83" spans="1:30" x14ac:dyDescent="0.25">
      <c r="A83" s="5"/>
      <c r="B83" s="14"/>
      <c r="C83" s="26"/>
      <c r="F83" s="5"/>
      <c r="G83" s="5"/>
      <c r="H83" s="16">
        <f>270*14.2*20</f>
        <v>76680</v>
      </c>
      <c r="I83" s="26"/>
      <c r="J83" s="5"/>
      <c r="N83" s="15">
        <f>360*11.1*20</f>
        <v>79920</v>
      </c>
      <c r="O83" s="25"/>
      <c r="T83" s="15">
        <f>209*10.1*20</f>
        <v>42218</v>
      </c>
      <c r="U83" s="21"/>
      <c r="AD83" s="25"/>
    </row>
    <row r="84" spans="1:30" x14ac:dyDescent="0.25">
      <c r="A84" s="5"/>
      <c r="B84" s="14"/>
      <c r="C84" s="26"/>
      <c r="F84" s="5"/>
      <c r="G84" s="5"/>
      <c r="H84" s="16"/>
      <c r="I84" s="26"/>
      <c r="J84" s="5"/>
      <c r="N84" s="15"/>
      <c r="O84" s="25"/>
      <c r="U84" s="21"/>
      <c r="AD84" s="25"/>
    </row>
    <row r="85" spans="1:30" x14ac:dyDescent="0.25">
      <c r="A85" s="5"/>
      <c r="B85" s="14"/>
      <c r="C85" s="26"/>
      <c r="D85" s="7" t="s">
        <v>2</v>
      </c>
      <c r="E85" t="s">
        <v>2</v>
      </c>
      <c r="F85" s="5" t="s">
        <v>65</v>
      </c>
      <c r="G85" s="5"/>
      <c r="H85" s="16"/>
      <c r="I85" s="26"/>
      <c r="J85" s="7" t="s">
        <v>2</v>
      </c>
      <c r="K85" t="s">
        <v>2</v>
      </c>
      <c r="L85" s="5" t="s">
        <v>65</v>
      </c>
      <c r="M85" s="5"/>
      <c r="N85" s="16"/>
      <c r="O85" s="25"/>
      <c r="R85" s="5" t="s">
        <v>65</v>
      </c>
      <c r="U85" s="21"/>
      <c r="AD85" s="25"/>
    </row>
    <row r="86" spans="1:30" x14ac:dyDescent="0.25">
      <c r="A86" s="5"/>
      <c r="B86" s="14"/>
      <c r="C86" s="26"/>
      <c r="D86" s="11"/>
      <c r="E86" s="32" t="s">
        <v>68</v>
      </c>
      <c r="F86" s="5"/>
      <c r="G86" s="5"/>
      <c r="H86" s="16"/>
      <c r="I86" s="26"/>
      <c r="J86" s="11"/>
      <c r="K86" s="32" t="s">
        <v>76</v>
      </c>
      <c r="L86" s="5"/>
      <c r="M86" s="5"/>
      <c r="N86" s="16"/>
      <c r="O86" s="25"/>
      <c r="P86" t="s">
        <v>129</v>
      </c>
      <c r="U86" s="21"/>
      <c r="AD86" s="25"/>
    </row>
    <row r="87" spans="1:30" x14ac:dyDescent="0.25">
      <c r="A87" s="5"/>
      <c r="B87" s="14"/>
      <c r="C87" s="26"/>
      <c r="D87" s="34" t="s">
        <v>69</v>
      </c>
      <c r="F87" s="5"/>
      <c r="G87" s="5"/>
      <c r="H87" s="16"/>
      <c r="I87" s="26"/>
      <c r="J87" s="34" t="s">
        <v>92</v>
      </c>
      <c r="L87" s="5"/>
      <c r="M87" s="5"/>
      <c r="N87" s="16"/>
      <c r="O87" s="25"/>
      <c r="P87" t="s">
        <v>128</v>
      </c>
      <c r="U87" s="21"/>
      <c r="AD87" s="25"/>
    </row>
    <row r="88" spans="1:30" x14ac:dyDescent="0.25">
      <c r="A88" s="5"/>
      <c r="B88" s="14"/>
      <c r="C88" s="26"/>
      <c r="D88" t="s">
        <v>70</v>
      </c>
      <c r="F88" s="5"/>
      <c r="G88" s="5"/>
      <c r="H88" s="16"/>
      <c r="I88" s="26"/>
      <c r="J88" t="s">
        <v>93</v>
      </c>
      <c r="L88" s="5"/>
      <c r="M88" s="5"/>
      <c r="N88" s="16"/>
      <c r="O88" s="25"/>
      <c r="P88" t="s">
        <v>127</v>
      </c>
      <c r="U88" s="21"/>
      <c r="AD88" s="25"/>
    </row>
    <row r="89" spans="1:30" x14ac:dyDescent="0.25">
      <c r="B89" s="14"/>
      <c r="C89" s="26"/>
      <c r="F89" s="5"/>
      <c r="G89" s="5"/>
      <c r="H89" s="5"/>
      <c r="I89" s="26"/>
      <c r="J89" s="5"/>
      <c r="O89" s="25"/>
      <c r="U89" s="21"/>
      <c r="AD89" s="25"/>
    </row>
    <row r="90" spans="1:30" x14ac:dyDescent="0.25">
      <c r="A90" s="5">
        <v>2008</v>
      </c>
      <c r="B90" s="9" t="s">
        <v>15</v>
      </c>
      <c r="C90" s="26"/>
      <c r="D90" s="5" t="s">
        <v>17</v>
      </c>
      <c r="F90" s="5" t="s">
        <v>25</v>
      </c>
      <c r="G90" s="5"/>
      <c r="H90" s="5"/>
      <c r="I90" s="26"/>
      <c r="J90" s="5" t="s">
        <v>24</v>
      </c>
      <c r="L90" s="5" t="s">
        <v>43</v>
      </c>
      <c r="O90" s="25"/>
      <c r="P90" s="5" t="s">
        <v>126</v>
      </c>
      <c r="R90" s="5" t="s">
        <v>130</v>
      </c>
      <c r="U90" s="21"/>
      <c r="AD90" s="25"/>
    </row>
    <row r="91" spans="1:30" x14ac:dyDescent="0.25">
      <c r="A91" s="5"/>
      <c r="B91" s="9" t="s">
        <v>18</v>
      </c>
      <c r="C91" s="26"/>
      <c r="D91" s="5" t="s">
        <v>17</v>
      </c>
      <c r="F91" s="17">
        <v>14.7</v>
      </c>
      <c r="G91" s="5"/>
      <c r="H91" s="44" t="s">
        <v>198</v>
      </c>
      <c r="I91" s="26"/>
      <c r="J91" s="19" t="s">
        <v>24</v>
      </c>
      <c r="L91" s="17">
        <v>16.8</v>
      </c>
      <c r="N91" s="44" t="s">
        <v>198</v>
      </c>
      <c r="O91" s="25"/>
      <c r="P91" s="5" t="s">
        <v>17</v>
      </c>
      <c r="R91" s="17">
        <v>13.3</v>
      </c>
      <c r="T91" s="44" t="s">
        <v>198</v>
      </c>
      <c r="U91" s="21"/>
      <c r="AD91" s="25"/>
    </row>
    <row r="92" spans="1:30" x14ac:dyDescent="0.25">
      <c r="A92" s="5"/>
      <c r="B92" s="14"/>
      <c r="C92" s="26"/>
      <c r="F92" s="5"/>
      <c r="G92" s="5"/>
      <c r="H92" s="16">
        <f>240*14.7*20</f>
        <v>70560</v>
      </c>
      <c r="I92" s="26"/>
      <c r="J92" s="16"/>
      <c r="N92" s="15">
        <f>410*16.8*20</f>
        <v>137760</v>
      </c>
      <c r="O92" s="25"/>
      <c r="T92" s="15">
        <f>216*13.3*20</f>
        <v>57456</v>
      </c>
      <c r="U92" s="21"/>
      <c r="AD92" s="25"/>
    </row>
    <row r="93" spans="1:30" x14ac:dyDescent="0.25">
      <c r="B93" s="14"/>
      <c r="C93" s="26"/>
      <c r="F93" s="5"/>
      <c r="G93" s="5"/>
      <c r="H93" s="5"/>
      <c r="I93" s="26"/>
      <c r="J93" s="5"/>
      <c r="O93" s="25"/>
      <c r="U93" s="21"/>
      <c r="AD93" s="25"/>
    </row>
    <row r="94" spans="1:30" x14ac:dyDescent="0.25">
      <c r="A94" s="5">
        <v>2009</v>
      </c>
      <c r="B94" s="9" t="s">
        <v>15</v>
      </c>
      <c r="C94" s="26"/>
      <c r="D94" s="5" t="s">
        <v>17</v>
      </c>
      <c r="F94" s="5" t="s">
        <v>42</v>
      </c>
      <c r="G94" s="5"/>
      <c r="H94" s="5"/>
      <c r="I94" s="26"/>
      <c r="J94" s="5" t="s">
        <v>24</v>
      </c>
      <c r="L94" s="5" t="s">
        <v>44</v>
      </c>
      <c r="O94" s="25"/>
      <c r="P94" s="5" t="s">
        <v>126</v>
      </c>
      <c r="R94" s="5" t="s">
        <v>131</v>
      </c>
      <c r="U94" s="21"/>
      <c r="AD94" s="25"/>
    </row>
    <row r="95" spans="1:30" x14ac:dyDescent="0.25">
      <c r="A95" s="5"/>
      <c r="B95" s="9" t="s">
        <v>18</v>
      </c>
      <c r="C95" s="26"/>
      <c r="D95" s="5" t="s">
        <v>17</v>
      </c>
      <c r="F95" s="17">
        <v>18.899999999999999</v>
      </c>
      <c r="G95" s="5"/>
      <c r="H95" s="44" t="s">
        <v>198</v>
      </c>
      <c r="I95" s="26"/>
      <c r="J95" s="30" t="s">
        <v>24</v>
      </c>
      <c r="L95" s="17">
        <v>18.600000000000001</v>
      </c>
      <c r="N95" s="44" t="s">
        <v>198</v>
      </c>
      <c r="O95" s="25"/>
      <c r="P95" s="5" t="s">
        <v>119</v>
      </c>
      <c r="R95" s="17">
        <v>12.7</v>
      </c>
      <c r="T95" s="44" t="s">
        <v>198</v>
      </c>
      <c r="U95" s="21"/>
      <c r="AD95" s="25"/>
    </row>
    <row r="96" spans="1:30" x14ac:dyDescent="0.25">
      <c r="A96" s="5"/>
      <c r="B96" s="14"/>
      <c r="C96" s="26"/>
      <c r="D96" s="5"/>
      <c r="F96" s="5"/>
      <c r="G96" s="5"/>
      <c r="H96" s="16">
        <f>220*18.9*20</f>
        <v>83160</v>
      </c>
      <c r="I96" s="26"/>
      <c r="J96" s="16"/>
      <c r="N96" s="15">
        <f>415*18.6*20</f>
        <v>154380.00000000003</v>
      </c>
      <c r="O96" s="25"/>
      <c r="P96" s="5"/>
      <c r="T96" s="15">
        <f>294*12.7*20</f>
        <v>74676</v>
      </c>
      <c r="U96" s="21"/>
      <c r="AD96" s="25"/>
    </row>
    <row r="97" spans="1:30" x14ac:dyDescent="0.25">
      <c r="B97" s="14"/>
      <c r="C97" s="26"/>
      <c r="F97" s="5"/>
      <c r="G97" s="5"/>
      <c r="H97" s="5"/>
      <c r="I97" s="26"/>
      <c r="J97" s="5"/>
      <c r="O97" s="25"/>
      <c r="U97" s="21"/>
      <c r="AD97" s="25"/>
    </row>
    <row r="98" spans="1:30" x14ac:dyDescent="0.25">
      <c r="A98" s="5">
        <v>2010</v>
      </c>
      <c r="B98" s="9" t="s">
        <v>15</v>
      </c>
      <c r="C98" s="26"/>
      <c r="D98" s="5" t="s">
        <v>17</v>
      </c>
      <c r="F98" s="5" t="s">
        <v>33</v>
      </c>
      <c r="G98" s="5"/>
      <c r="H98" s="5"/>
      <c r="I98" s="26"/>
      <c r="J98" s="5" t="s">
        <v>24</v>
      </c>
      <c r="L98" s="5" t="s">
        <v>45</v>
      </c>
      <c r="O98" s="25"/>
      <c r="P98" s="5" t="s">
        <v>126</v>
      </c>
      <c r="R98" s="5" t="s">
        <v>132</v>
      </c>
      <c r="U98" s="21"/>
      <c r="AD98" s="25"/>
    </row>
    <row r="99" spans="1:30" x14ac:dyDescent="0.25">
      <c r="A99" s="5"/>
      <c r="B99" s="9" t="s">
        <v>18</v>
      </c>
      <c r="C99" s="26"/>
      <c r="D99" s="5" t="s">
        <v>17</v>
      </c>
      <c r="F99" s="17">
        <v>15</v>
      </c>
      <c r="G99" s="5"/>
      <c r="H99" s="44" t="s">
        <v>198</v>
      </c>
      <c r="I99" s="26"/>
      <c r="J99" s="19" t="s">
        <v>24</v>
      </c>
      <c r="L99" s="17">
        <v>19.7</v>
      </c>
      <c r="N99" s="44" t="s">
        <v>198</v>
      </c>
      <c r="O99" s="25"/>
      <c r="P99" s="5" t="s">
        <v>119</v>
      </c>
      <c r="R99" s="17">
        <v>12.1</v>
      </c>
      <c r="T99" s="44" t="s">
        <v>198</v>
      </c>
      <c r="U99" s="21"/>
      <c r="AD99" s="25"/>
    </row>
    <row r="100" spans="1:30" x14ac:dyDescent="0.25">
      <c r="A100" s="5"/>
      <c r="B100" s="14"/>
      <c r="C100" s="26"/>
      <c r="F100" s="5"/>
      <c r="G100" s="5"/>
      <c r="H100" s="16">
        <f>330*15*20</f>
        <v>99000</v>
      </c>
      <c r="I100" s="26"/>
      <c r="J100" s="5"/>
      <c r="N100" s="15">
        <f>315*19.7*20</f>
        <v>124110</v>
      </c>
      <c r="O100" s="25"/>
      <c r="T100" s="15">
        <f>284*12.1*20</f>
        <v>68728</v>
      </c>
      <c r="U100" s="21"/>
      <c r="AD100" s="25"/>
    </row>
    <row r="101" spans="1:30" x14ac:dyDescent="0.25">
      <c r="A101" s="5"/>
      <c r="B101" s="14"/>
      <c r="C101" s="26"/>
      <c r="F101" s="5"/>
      <c r="G101" s="5"/>
      <c r="H101" s="16"/>
      <c r="I101" s="26"/>
      <c r="J101" s="5"/>
      <c r="N101" s="15"/>
      <c r="O101" s="25"/>
      <c r="U101" s="21"/>
      <c r="AD101" s="25"/>
    </row>
    <row r="102" spans="1:30" x14ac:dyDescent="0.25">
      <c r="A102" s="5"/>
      <c r="B102" s="14"/>
      <c r="C102" s="26"/>
      <c r="E102" s="7" t="s">
        <v>64</v>
      </c>
      <c r="F102" t="s">
        <v>65</v>
      </c>
      <c r="G102" s="5"/>
      <c r="H102" s="5"/>
      <c r="I102" s="26"/>
      <c r="J102" s="7" t="s">
        <v>2</v>
      </c>
      <c r="K102" t="s">
        <v>2</v>
      </c>
      <c r="L102" s="5" t="s">
        <v>65</v>
      </c>
      <c r="M102" s="5"/>
      <c r="N102" s="16"/>
      <c r="O102" s="25"/>
      <c r="R102" s="5" t="s">
        <v>65</v>
      </c>
      <c r="U102" s="21"/>
      <c r="AD102" s="25"/>
    </row>
    <row r="103" spans="1:30" x14ac:dyDescent="0.25">
      <c r="A103" s="5"/>
      <c r="B103" s="14"/>
      <c r="C103" s="26"/>
      <c r="E103" s="11"/>
      <c r="F103" s="32" t="s">
        <v>27</v>
      </c>
      <c r="G103" s="5"/>
      <c r="H103" s="5"/>
      <c r="I103" s="26"/>
      <c r="J103" s="11"/>
      <c r="K103" s="32" t="s">
        <v>73</v>
      </c>
      <c r="L103" s="5"/>
      <c r="M103" s="5"/>
      <c r="N103" s="16"/>
      <c r="O103" s="25"/>
      <c r="P103" t="s">
        <v>136</v>
      </c>
      <c r="U103" s="21"/>
      <c r="AD103" s="25"/>
    </row>
    <row r="104" spans="1:30" x14ac:dyDescent="0.25">
      <c r="A104" s="5"/>
      <c r="B104" s="14"/>
      <c r="C104" s="26"/>
      <c r="D104" s="34" t="s">
        <v>71</v>
      </c>
      <c r="G104" s="5"/>
      <c r="H104" s="5"/>
      <c r="I104" s="26"/>
      <c r="J104" s="34" t="s">
        <v>94</v>
      </c>
      <c r="L104" s="5"/>
      <c r="M104" s="5"/>
      <c r="N104" s="16"/>
      <c r="O104" s="25"/>
      <c r="P104" t="s">
        <v>137</v>
      </c>
      <c r="U104" s="21"/>
      <c r="AD104" s="25"/>
    </row>
    <row r="105" spans="1:30" x14ac:dyDescent="0.25">
      <c r="A105" s="5"/>
      <c r="B105" s="14"/>
      <c r="C105" s="26"/>
      <c r="D105" t="s">
        <v>72</v>
      </c>
      <c r="E105" t="s">
        <v>2</v>
      </c>
      <c r="F105" t="s">
        <v>63</v>
      </c>
      <c r="G105" s="5"/>
      <c r="H105" s="5"/>
      <c r="I105" s="26"/>
      <c r="J105" t="s">
        <v>95</v>
      </c>
      <c r="L105" s="5"/>
      <c r="M105" s="5"/>
      <c r="N105" s="16"/>
      <c r="O105" s="25"/>
      <c r="P105" t="s">
        <v>138</v>
      </c>
      <c r="U105" s="21"/>
      <c r="AD105" s="25"/>
    </row>
    <row r="106" spans="1:30" x14ac:dyDescent="0.25">
      <c r="A106" s="5"/>
      <c r="B106" s="14"/>
      <c r="C106" s="26"/>
      <c r="F106" s="5"/>
      <c r="G106" s="5"/>
      <c r="H106" s="16"/>
      <c r="I106" s="26"/>
      <c r="J106" s="5"/>
      <c r="N106" s="15"/>
      <c r="O106" s="25"/>
      <c r="U106" s="21"/>
      <c r="AD106" s="25"/>
    </row>
    <row r="107" spans="1:30" x14ac:dyDescent="0.25">
      <c r="A107" s="5">
        <v>2011</v>
      </c>
      <c r="B107" s="9" t="s">
        <v>15</v>
      </c>
      <c r="C107" s="26"/>
      <c r="D107" s="5" t="s">
        <v>17</v>
      </c>
      <c r="F107" s="5" t="s">
        <v>46</v>
      </c>
      <c r="G107" s="5"/>
      <c r="H107" s="16"/>
      <c r="I107" s="26"/>
      <c r="J107" s="5" t="s">
        <v>24</v>
      </c>
      <c r="L107" s="5" t="s">
        <v>49</v>
      </c>
      <c r="N107" s="15"/>
      <c r="O107" s="25"/>
      <c r="P107" s="5" t="s">
        <v>126</v>
      </c>
      <c r="R107" s="5" t="s">
        <v>133</v>
      </c>
      <c r="T107" s="44" t="s">
        <v>198</v>
      </c>
      <c r="U107" s="21"/>
      <c r="AD107" s="25"/>
    </row>
    <row r="108" spans="1:30" x14ac:dyDescent="0.25">
      <c r="B108" s="9" t="s">
        <v>18</v>
      </c>
      <c r="C108" s="26"/>
      <c r="D108" s="5" t="s">
        <v>17</v>
      </c>
      <c r="F108" s="17">
        <v>20.6</v>
      </c>
      <c r="G108" s="5"/>
      <c r="H108" s="44" t="s">
        <v>198</v>
      </c>
      <c r="I108" s="26"/>
      <c r="J108" s="19" t="s">
        <v>24</v>
      </c>
      <c r="L108" s="17">
        <v>16.8</v>
      </c>
      <c r="N108" s="44" t="s">
        <v>198</v>
      </c>
      <c r="O108" s="25"/>
      <c r="P108" s="5" t="s">
        <v>17</v>
      </c>
      <c r="R108" s="17">
        <v>12.1</v>
      </c>
      <c r="T108" s="15">
        <f>286*12.1*20</f>
        <v>69212</v>
      </c>
      <c r="U108" s="21"/>
      <c r="AD108" s="25"/>
    </row>
    <row r="109" spans="1:30" x14ac:dyDescent="0.25">
      <c r="B109" s="14"/>
      <c r="C109" s="26"/>
      <c r="F109" s="5"/>
      <c r="G109" s="5"/>
      <c r="H109" s="16">
        <f>155*20.6*20</f>
        <v>63860</v>
      </c>
      <c r="I109" s="26"/>
      <c r="J109" s="16"/>
      <c r="N109" s="15">
        <f>305*16.8*20</f>
        <v>102480</v>
      </c>
      <c r="O109" s="25"/>
      <c r="U109" s="21"/>
      <c r="AD109" s="25"/>
    </row>
    <row r="110" spans="1:30" x14ac:dyDescent="0.25">
      <c r="B110" s="14"/>
      <c r="C110" s="26"/>
      <c r="F110" s="5"/>
      <c r="G110" s="5"/>
      <c r="H110" s="5"/>
      <c r="I110" s="26"/>
      <c r="J110" s="5"/>
      <c r="K110" s="5"/>
      <c r="M110" s="5"/>
      <c r="N110" s="5"/>
      <c r="O110" s="26"/>
      <c r="R110" s="5"/>
      <c r="S110" s="5"/>
      <c r="U110" s="21"/>
      <c r="AD110" s="26"/>
    </row>
    <row r="111" spans="1:30" x14ac:dyDescent="0.25">
      <c r="A111" s="5">
        <v>2012</v>
      </c>
      <c r="B111" s="9" t="s">
        <v>15</v>
      </c>
      <c r="C111" s="26"/>
      <c r="D111" s="5" t="s">
        <v>17</v>
      </c>
      <c r="F111" s="5" t="s">
        <v>47</v>
      </c>
      <c r="G111" s="5"/>
      <c r="H111" s="5"/>
      <c r="I111" s="26"/>
      <c r="J111" s="5" t="s">
        <v>24</v>
      </c>
      <c r="L111" s="5" t="s">
        <v>50</v>
      </c>
      <c r="O111" s="25"/>
      <c r="P111" s="5" t="s">
        <v>126</v>
      </c>
      <c r="R111" s="5" t="s">
        <v>134</v>
      </c>
      <c r="T111" s="44" t="s">
        <v>198</v>
      </c>
      <c r="U111" s="21"/>
      <c r="AD111" s="25"/>
    </row>
    <row r="112" spans="1:30" x14ac:dyDescent="0.25">
      <c r="A112" s="5"/>
      <c r="B112" s="9" t="s">
        <v>18</v>
      </c>
      <c r="C112" s="26"/>
      <c r="D112" s="5" t="s">
        <v>17</v>
      </c>
      <c r="F112" s="17">
        <v>28.3</v>
      </c>
      <c r="G112" s="5"/>
      <c r="H112" s="44" t="s">
        <v>198</v>
      </c>
      <c r="I112" s="26"/>
      <c r="J112" s="30" t="s">
        <v>24</v>
      </c>
      <c r="L112" s="17">
        <v>16.899999999999999</v>
      </c>
      <c r="N112" s="44" t="s">
        <v>198</v>
      </c>
      <c r="O112" s="25"/>
      <c r="P112" s="5" t="s">
        <v>119</v>
      </c>
      <c r="R112" s="17">
        <v>16.2</v>
      </c>
      <c r="T112" s="15">
        <f>233*16.2*20</f>
        <v>75492</v>
      </c>
      <c r="U112" s="21"/>
      <c r="AD112" s="25"/>
    </row>
    <row r="113" spans="1:30" x14ac:dyDescent="0.25">
      <c r="A113" s="5"/>
      <c r="B113" s="14"/>
      <c r="C113" s="26"/>
      <c r="D113" s="5"/>
      <c r="F113" s="5"/>
      <c r="G113" s="5"/>
      <c r="H113" s="16">
        <f>176*28.3*20</f>
        <v>99616</v>
      </c>
      <c r="I113" s="26"/>
      <c r="J113" s="16"/>
      <c r="N113" s="15">
        <f>310*16.9*20</f>
        <v>104780</v>
      </c>
      <c r="O113" s="25"/>
      <c r="P113" s="5"/>
      <c r="U113" s="21"/>
      <c r="AD113" s="25"/>
    </row>
    <row r="114" spans="1:30" x14ac:dyDescent="0.25">
      <c r="B114" s="14"/>
      <c r="C114" s="26"/>
      <c r="F114" s="5"/>
      <c r="G114" s="5"/>
      <c r="H114" s="5"/>
      <c r="I114" s="26"/>
      <c r="J114" s="5"/>
      <c r="O114" s="25"/>
      <c r="U114" s="21"/>
      <c r="AD114" s="25"/>
    </row>
    <row r="115" spans="1:30" x14ac:dyDescent="0.25">
      <c r="A115" s="5">
        <v>2013</v>
      </c>
      <c r="B115" s="9" t="s">
        <v>15</v>
      </c>
      <c r="C115" s="26"/>
      <c r="D115" s="5" t="s">
        <v>17</v>
      </c>
      <c r="F115" s="5" t="s">
        <v>48</v>
      </c>
      <c r="G115" s="5"/>
      <c r="H115" s="5"/>
      <c r="I115" s="26"/>
      <c r="J115" s="5" t="s">
        <v>24</v>
      </c>
      <c r="L115" s="5" t="s">
        <v>50</v>
      </c>
      <c r="O115" s="25"/>
      <c r="P115" s="5" t="s">
        <v>119</v>
      </c>
      <c r="R115" s="5" t="s">
        <v>135</v>
      </c>
      <c r="T115" s="44" t="s">
        <v>198</v>
      </c>
      <c r="U115" s="21"/>
      <c r="AD115" s="25"/>
    </row>
    <row r="116" spans="1:30" x14ac:dyDescent="0.25">
      <c r="A116" s="5"/>
      <c r="B116" s="9" t="s">
        <v>18</v>
      </c>
      <c r="C116" s="26"/>
      <c r="D116" s="5" t="s">
        <v>17</v>
      </c>
      <c r="F116" s="17">
        <v>16.399999999999999</v>
      </c>
      <c r="G116" s="5"/>
      <c r="H116" s="44" t="s">
        <v>198</v>
      </c>
      <c r="I116" s="26"/>
      <c r="J116" s="19" t="s">
        <v>24</v>
      </c>
      <c r="L116" s="17">
        <v>16</v>
      </c>
      <c r="N116" s="44" t="s">
        <v>198</v>
      </c>
      <c r="O116" s="25"/>
      <c r="P116" s="5" t="s">
        <v>119</v>
      </c>
      <c r="R116" s="17">
        <v>16.899999999999999</v>
      </c>
      <c r="T116" s="15">
        <f>290*16.9*20</f>
        <v>98020</v>
      </c>
      <c r="U116" s="21"/>
      <c r="AD116" s="25"/>
    </row>
    <row r="117" spans="1:30" x14ac:dyDescent="0.25">
      <c r="A117" s="5"/>
      <c r="B117" s="14"/>
      <c r="C117" s="26"/>
      <c r="F117" s="5"/>
      <c r="G117" s="5"/>
      <c r="H117" s="16">
        <f>239*16.4*20</f>
        <v>78391.999999999985</v>
      </c>
      <c r="I117" s="26"/>
      <c r="J117" s="5"/>
      <c r="N117" s="15">
        <f>310*16*20</f>
        <v>99200</v>
      </c>
      <c r="O117" s="25"/>
      <c r="U117" s="21"/>
      <c r="AD117" s="25"/>
    </row>
    <row r="118" spans="1:30" x14ac:dyDescent="0.25">
      <c r="A118" s="5"/>
      <c r="B118" s="14"/>
      <c r="C118" s="26"/>
      <c r="F118" s="5"/>
      <c r="G118" s="5"/>
      <c r="H118" s="16"/>
      <c r="I118" s="26"/>
      <c r="J118" s="5"/>
      <c r="N118" s="15"/>
      <c r="O118" s="25"/>
      <c r="U118" s="21"/>
      <c r="AD118" s="25"/>
    </row>
    <row r="119" spans="1:30" x14ac:dyDescent="0.25">
      <c r="A119" s="5"/>
      <c r="B119" s="14"/>
      <c r="C119" s="26"/>
      <c r="D119" s="7"/>
      <c r="F119" s="5" t="s">
        <v>65</v>
      </c>
      <c r="G119" s="5"/>
      <c r="H119" s="16"/>
      <c r="I119" s="26"/>
      <c r="J119" s="7" t="s">
        <v>2</v>
      </c>
      <c r="K119" t="s">
        <v>2</v>
      </c>
      <c r="L119" s="5" t="s">
        <v>65</v>
      </c>
      <c r="M119" s="5"/>
      <c r="N119" s="16"/>
      <c r="O119" s="25"/>
      <c r="R119" s="5" t="s">
        <v>65</v>
      </c>
      <c r="U119" s="21"/>
      <c r="AD119" s="25"/>
    </row>
    <row r="120" spans="1:30" x14ac:dyDescent="0.25">
      <c r="A120" s="5"/>
      <c r="B120" s="14"/>
      <c r="C120" s="26"/>
      <c r="D120" s="11"/>
      <c r="E120" s="32" t="s">
        <v>66</v>
      </c>
      <c r="F120" s="5"/>
      <c r="G120" s="5"/>
      <c r="H120" s="16"/>
      <c r="I120" s="26"/>
      <c r="J120" s="11"/>
      <c r="K120" s="32" t="s">
        <v>81</v>
      </c>
      <c r="L120" s="5"/>
      <c r="M120" s="5"/>
      <c r="N120" s="16"/>
      <c r="O120" s="25"/>
      <c r="P120" t="s">
        <v>139</v>
      </c>
      <c r="U120" s="21"/>
      <c r="AD120" s="25"/>
    </row>
    <row r="121" spans="1:30" x14ac:dyDescent="0.25">
      <c r="A121" s="5"/>
      <c r="B121" s="14"/>
      <c r="C121" s="26"/>
      <c r="D121" s="34" t="s">
        <v>67</v>
      </c>
      <c r="F121" s="5"/>
      <c r="G121" s="5"/>
      <c r="H121" s="16"/>
      <c r="I121" s="26"/>
      <c r="J121" s="34" t="s">
        <v>96</v>
      </c>
      <c r="L121" s="5"/>
      <c r="M121" s="5"/>
      <c r="N121" s="16"/>
      <c r="O121" s="25"/>
      <c r="P121" t="s">
        <v>140</v>
      </c>
      <c r="U121" s="21"/>
      <c r="AD121" s="25"/>
    </row>
    <row r="122" spans="1:30" x14ac:dyDescent="0.25">
      <c r="A122" s="5"/>
      <c r="B122" s="14"/>
      <c r="C122" s="26"/>
      <c r="F122" s="5"/>
      <c r="G122" s="5"/>
      <c r="H122" s="16"/>
      <c r="I122" s="26"/>
      <c r="J122" t="s">
        <v>97</v>
      </c>
      <c r="L122" s="5"/>
      <c r="M122" s="5"/>
      <c r="N122" s="16"/>
      <c r="O122" s="25"/>
      <c r="U122" s="21"/>
      <c r="AD122" s="25"/>
    </row>
    <row r="123" spans="1:30" x14ac:dyDescent="0.25">
      <c r="B123" s="14"/>
      <c r="C123" s="26"/>
      <c r="F123" s="5"/>
      <c r="G123" s="5"/>
      <c r="H123" s="5"/>
      <c r="I123" s="26"/>
      <c r="J123" s="5"/>
      <c r="O123" s="25"/>
      <c r="U123" s="21"/>
      <c r="AD123" s="25"/>
    </row>
    <row r="124" spans="1:30" x14ac:dyDescent="0.25">
      <c r="A124" s="5">
        <v>2014</v>
      </c>
      <c r="B124" s="9" t="s">
        <v>15</v>
      </c>
      <c r="C124" s="26"/>
      <c r="D124" s="5" t="s">
        <v>17</v>
      </c>
      <c r="F124" s="5" t="s">
        <v>51</v>
      </c>
      <c r="G124" s="5"/>
      <c r="H124" s="5"/>
      <c r="I124" s="26"/>
      <c r="J124" s="5" t="s">
        <v>24</v>
      </c>
      <c r="L124" s="5" t="s">
        <v>53</v>
      </c>
      <c r="O124" s="25"/>
      <c r="P124" s="5" t="s">
        <v>17</v>
      </c>
      <c r="R124" s="5" t="s">
        <v>141</v>
      </c>
      <c r="U124" s="21"/>
      <c r="AD124" s="25"/>
    </row>
    <row r="125" spans="1:30" x14ac:dyDescent="0.25">
      <c r="A125" s="5"/>
      <c r="B125" s="9" t="s">
        <v>18</v>
      </c>
      <c r="C125" s="26"/>
      <c r="D125" s="5" t="s">
        <v>17</v>
      </c>
      <c r="F125" s="17">
        <v>19.8</v>
      </c>
      <c r="G125" s="5"/>
      <c r="H125" s="44" t="s">
        <v>198</v>
      </c>
      <c r="I125" s="26"/>
      <c r="J125" s="19" t="s">
        <v>24</v>
      </c>
      <c r="L125" s="17">
        <v>15.3</v>
      </c>
      <c r="N125" s="44" t="s">
        <v>198</v>
      </c>
      <c r="O125" s="25"/>
      <c r="P125" s="5" t="s">
        <v>17</v>
      </c>
      <c r="R125" s="17">
        <v>13.3</v>
      </c>
      <c r="T125" s="44" t="s">
        <v>198</v>
      </c>
      <c r="U125" s="21"/>
      <c r="AD125" s="25"/>
    </row>
    <row r="126" spans="1:30" x14ac:dyDescent="0.25">
      <c r="A126" s="5"/>
      <c r="B126" s="14"/>
      <c r="C126" s="26"/>
      <c r="F126" s="5"/>
      <c r="G126" s="5"/>
      <c r="H126" s="16">
        <f>221*19.8*20</f>
        <v>87516</v>
      </c>
      <c r="I126" s="26"/>
      <c r="J126" s="16"/>
      <c r="N126" s="15">
        <f>295*15.3*20</f>
        <v>90270</v>
      </c>
      <c r="O126" s="25"/>
      <c r="T126" s="15">
        <f>275*13.3*20</f>
        <v>73150</v>
      </c>
      <c r="U126" s="21"/>
      <c r="AD126" s="25"/>
    </row>
    <row r="127" spans="1:30" x14ac:dyDescent="0.25">
      <c r="B127" s="14"/>
      <c r="C127" s="26"/>
      <c r="F127" s="5"/>
      <c r="G127" s="5"/>
      <c r="H127" s="5"/>
      <c r="I127" s="26"/>
      <c r="J127" s="5"/>
      <c r="O127" s="25"/>
      <c r="U127" s="21"/>
      <c r="AD127" s="25"/>
    </row>
    <row r="128" spans="1:30" x14ac:dyDescent="0.25">
      <c r="A128" s="5">
        <v>2015</v>
      </c>
      <c r="B128" s="9" t="s">
        <v>15</v>
      </c>
      <c r="C128" s="26"/>
      <c r="D128" s="5" t="s">
        <v>17</v>
      </c>
      <c r="F128" s="5" t="s">
        <v>52</v>
      </c>
      <c r="G128" s="5"/>
      <c r="H128" s="5"/>
      <c r="I128" s="26"/>
      <c r="J128" s="5" t="s">
        <v>24</v>
      </c>
      <c r="L128" s="5" t="s">
        <v>54</v>
      </c>
      <c r="O128" s="25"/>
      <c r="P128" s="5" t="s">
        <v>17</v>
      </c>
      <c r="R128" s="5" t="s">
        <v>29</v>
      </c>
      <c r="U128" s="21"/>
      <c r="AD128" s="25"/>
    </row>
    <row r="129" spans="1:30" x14ac:dyDescent="0.25">
      <c r="A129" s="5"/>
      <c r="B129" s="9" t="s">
        <v>18</v>
      </c>
      <c r="C129" s="26"/>
      <c r="D129" s="5" t="s">
        <v>17</v>
      </c>
      <c r="F129" s="17">
        <v>21.3</v>
      </c>
      <c r="G129" s="5"/>
      <c r="H129" s="44" t="s">
        <v>198</v>
      </c>
      <c r="I129" s="26"/>
      <c r="J129" s="30" t="s">
        <v>24</v>
      </c>
      <c r="L129" s="17">
        <v>17.600000000000001</v>
      </c>
      <c r="N129" s="44" t="s">
        <v>198</v>
      </c>
      <c r="O129" s="25"/>
      <c r="P129" s="5" t="s">
        <v>17</v>
      </c>
      <c r="R129" s="17">
        <v>12.3</v>
      </c>
      <c r="T129" s="44" t="s">
        <v>198</v>
      </c>
      <c r="U129" s="21"/>
      <c r="AD129" s="25"/>
    </row>
    <row r="130" spans="1:30" x14ac:dyDescent="0.25">
      <c r="A130" s="5"/>
      <c r="B130" s="14"/>
      <c r="C130" s="26"/>
      <c r="D130" s="5"/>
      <c r="F130" s="5"/>
      <c r="G130" s="5"/>
      <c r="H130" s="16">
        <f>250*21.3*20</f>
        <v>106500</v>
      </c>
      <c r="I130" s="26"/>
      <c r="J130" s="16"/>
      <c r="N130" s="15">
        <f>345*17.6*20</f>
        <v>121440.00000000001</v>
      </c>
      <c r="O130" s="25"/>
      <c r="P130" s="5"/>
      <c r="T130" s="15">
        <f>280*12.3*20</f>
        <v>68880</v>
      </c>
      <c r="U130" s="21"/>
      <c r="AD130" s="25"/>
    </row>
    <row r="131" spans="1:30" x14ac:dyDescent="0.25">
      <c r="B131" s="14"/>
      <c r="C131" s="26"/>
      <c r="F131" s="5"/>
      <c r="G131" s="5"/>
      <c r="H131" s="5"/>
      <c r="I131" s="26"/>
      <c r="J131" s="5"/>
      <c r="O131" s="25"/>
      <c r="U131" s="21"/>
      <c r="AD131" s="25"/>
    </row>
    <row r="132" spans="1:30" x14ac:dyDescent="0.25">
      <c r="A132" s="5">
        <v>2016</v>
      </c>
      <c r="B132" s="9" t="s">
        <v>15</v>
      </c>
      <c r="C132" s="26"/>
      <c r="D132" s="5" t="s">
        <v>223</v>
      </c>
      <c r="F132" s="5" t="s">
        <v>32</v>
      </c>
      <c r="G132" s="5"/>
      <c r="H132" s="5"/>
      <c r="I132" s="26"/>
      <c r="J132" s="5" t="s">
        <v>223</v>
      </c>
      <c r="L132" s="5" t="s">
        <v>50</v>
      </c>
      <c r="O132" s="25"/>
      <c r="P132" s="5" t="s">
        <v>17</v>
      </c>
      <c r="R132" s="5" t="s">
        <v>143</v>
      </c>
      <c r="U132" s="21"/>
      <c r="AD132" s="25"/>
    </row>
    <row r="133" spans="1:30" x14ac:dyDescent="0.25">
      <c r="B133" s="9" t="s">
        <v>18</v>
      </c>
      <c r="C133" s="26"/>
      <c r="D133" s="5" t="s">
        <v>223</v>
      </c>
      <c r="F133" s="17">
        <v>17.399999999999999</v>
      </c>
      <c r="G133" s="5"/>
      <c r="H133" s="44" t="s">
        <v>198</v>
      </c>
      <c r="I133" s="26"/>
      <c r="J133" s="5" t="s">
        <v>223</v>
      </c>
      <c r="L133" s="17">
        <v>19.5</v>
      </c>
      <c r="N133" s="44" t="s">
        <v>198</v>
      </c>
      <c r="O133" s="25"/>
      <c r="P133" s="5" t="s">
        <v>17</v>
      </c>
      <c r="R133" s="5" t="s">
        <v>143</v>
      </c>
      <c r="T133" s="44" t="s">
        <v>198</v>
      </c>
      <c r="U133" s="21"/>
      <c r="AD133" s="25"/>
    </row>
    <row r="134" spans="1:30" x14ac:dyDescent="0.25">
      <c r="B134" s="14"/>
      <c r="C134" s="26"/>
      <c r="D134" s="64" t="s">
        <v>222</v>
      </c>
      <c r="G134" s="5"/>
      <c r="H134" s="16">
        <f>380*17.4*20</f>
        <v>132239.99999999997</v>
      </c>
      <c r="I134" s="26"/>
      <c r="J134" s="64" t="s">
        <v>222</v>
      </c>
      <c r="L134" s="70" t="s">
        <v>2</v>
      </c>
      <c r="N134" s="15">
        <f>310*19.5*20</f>
        <v>120900</v>
      </c>
      <c r="O134" s="25"/>
      <c r="R134" s="64" t="s">
        <v>144</v>
      </c>
      <c r="U134" s="21"/>
      <c r="AD134" s="25"/>
    </row>
    <row r="135" spans="1:30" x14ac:dyDescent="0.25">
      <c r="B135" s="14"/>
      <c r="C135" s="26"/>
      <c r="F135" s="5"/>
      <c r="G135" s="5"/>
      <c r="H135" s="37" t="s">
        <v>59</v>
      </c>
      <c r="I135" s="26"/>
      <c r="J135" s="5"/>
      <c r="O135" s="25"/>
      <c r="U135" s="21"/>
      <c r="AD135" s="25"/>
    </row>
    <row r="136" spans="1:30" x14ac:dyDescent="0.25">
      <c r="B136" s="14"/>
      <c r="C136" s="26"/>
      <c r="F136" s="5"/>
      <c r="G136" s="5"/>
      <c r="H136" s="5"/>
      <c r="I136" s="26"/>
      <c r="J136" s="5"/>
      <c r="O136" s="25"/>
      <c r="U136" s="21"/>
      <c r="AD136" s="25"/>
    </row>
    <row r="137" spans="1:30" x14ac:dyDescent="0.25">
      <c r="B137" s="14"/>
      <c r="C137" s="26"/>
      <c r="D137" s="10" t="s">
        <v>55</v>
      </c>
      <c r="F137" s="5"/>
      <c r="G137" s="5"/>
      <c r="H137" s="38">
        <f>+H23+H27+H31+H40+H44+H48+H58+H62+H66+H75+H79+H83+H92+H96+H100+H109+H113+H117+H126+H130+H134</f>
        <v>1477944</v>
      </c>
      <c r="I137" s="26"/>
      <c r="J137" s="10" t="s">
        <v>55</v>
      </c>
      <c r="N137" s="38">
        <f>+N23+N27+N31+N40+N44+N48+N58+N62+N66+N75+N79+N83+N92+N96+N100+N109+N113+N117+N126+N130+N134</f>
        <v>2043340</v>
      </c>
      <c r="O137" s="25"/>
      <c r="P137" s="10" t="s">
        <v>55</v>
      </c>
      <c r="T137" s="38">
        <f>+T23+T27+T31+T40+T44+T48+T58+T62+T66+T75+T79+T83+T92+T96+T100+T109+T113+T117+T126+T130</f>
        <v>832645</v>
      </c>
      <c r="U137" s="21"/>
      <c r="AD137" s="25"/>
    </row>
    <row r="138" spans="1:30" x14ac:dyDescent="0.25">
      <c r="A138" s="10" t="s">
        <v>100</v>
      </c>
      <c r="B138" s="14"/>
      <c r="C138" s="26"/>
      <c r="D138" s="10" t="s">
        <v>61</v>
      </c>
      <c r="F138" s="5"/>
      <c r="G138" s="5"/>
      <c r="H138" s="39" t="s">
        <v>56</v>
      </c>
      <c r="I138" s="26"/>
      <c r="J138" s="10" t="s">
        <v>98</v>
      </c>
      <c r="N138" s="39" t="s">
        <v>56</v>
      </c>
      <c r="O138" s="25"/>
      <c r="P138" s="10" t="s">
        <v>142</v>
      </c>
      <c r="T138" s="39" t="s">
        <v>56</v>
      </c>
      <c r="U138" s="21"/>
      <c r="AD138" s="25"/>
    </row>
    <row r="139" spans="1:30" x14ac:dyDescent="0.25">
      <c r="A139" s="10" t="s">
        <v>101</v>
      </c>
      <c r="B139" s="14"/>
      <c r="C139" s="26"/>
      <c r="D139" s="10" t="s">
        <v>199</v>
      </c>
      <c r="F139" s="5"/>
      <c r="G139" s="5"/>
      <c r="H139" s="5"/>
      <c r="I139" s="26"/>
      <c r="J139" s="10" t="s">
        <v>199</v>
      </c>
      <c r="O139" s="25"/>
      <c r="P139" s="10" t="s">
        <v>199</v>
      </c>
      <c r="U139" s="21"/>
      <c r="AD139" s="25"/>
    </row>
    <row r="140" spans="1:30" x14ac:dyDescent="0.25">
      <c r="A140" s="10" t="s">
        <v>158</v>
      </c>
      <c r="B140" s="14"/>
      <c r="C140" s="26"/>
      <c r="D140" s="10" t="s">
        <v>2</v>
      </c>
      <c r="F140" s="5"/>
      <c r="G140" s="5"/>
      <c r="H140" s="18" t="s">
        <v>197</v>
      </c>
      <c r="I140" s="26"/>
      <c r="J140" s="10" t="s">
        <v>2</v>
      </c>
      <c r="N140" s="18" t="s">
        <v>197</v>
      </c>
      <c r="O140" s="25"/>
      <c r="P140" s="10" t="s">
        <v>2</v>
      </c>
      <c r="T140" s="18" t="s">
        <v>197</v>
      </c>
      <c r="U140" s="21"/>
      <c r="AD140" s="25"/>
    </row>
    <row r="141" spans="1:30" x14ac:dyDescent="0.25">
      <c r="A141" s="10" t="s">
        <v>166</v>
      </c>
      <c r="B141" s="14"/>
      <c r="C141" s="26"/>
      <c r="D141" s="10"/>
      <c r="F141" s="5"/>
      <c r="G141" s="5"/>
      <c r="I141" s="26"/>
      <c r="J141" s="10"/>
      <c r="O141" s="25"/>
      <c r="P141" s="10"/>
      <c r="U141" s="21"/>
      <c r="AD141" s="25"/>
    </row>
    <row r="142" spans="1:30" x14ac:dyDescent="0.25">
      <c r="A142" s="10" t="s">
        <v>165</v>
      </c>
      <c r="B142" s="14"/>
      <c r="C142" s="26"/>
      <c r="F142" s="5"/>
      <c r="G142" s="5"/>
      <c r="I142" s="26"/>
      <c r="J142" s="5"/>
      <c r="O142" s="25"/>
      <c r="P142" s="5"/>
      <c r="U142" s="21"/>
      <c r="AD142" s="25"/>
    </row>
    <row r="143" spans="1:30" x14ac:dyDescent="0.25">
      <c r="A143" s="10" t="s">
        <v>167</v>
      </c>
      <c r="B143" s="14"/>
      <c r="C143" s="26"/>
      <c r="D143" s="10" t="s">
        <v>169</v>
      </c>
      <c r="F143" s="5"/>
      <c r="G143" s="5"/>
      <c r="H143" s="38">
        <f>+H137</f>
        <v>1477944</v>
      </c>
      <c r="I143" s="26"/>
      <c r="J143" s="10" t="s">
        <v>169</v>
      </c>
      <c r="N143" s="38">
        <f>+N137</f>
        <v>2043340</v>
      </c>
      <c r="O143" s="25"/>
      <c r="P143" s="10" t="s">
        <v>169</v>
      </c>
      <c r="T143" s="38">
        <f>+T137</f>
        <v>832645</v>
      </c>
      <c r="U143" s="21"/>
      <c r="AD143" s="25"/>
    </row>
    <row r="144" spans="1:30" x14ac:dyDescent="0.25">
      <c r="A144" s="10" t="s">
        <v>162</v>
      </c>
      <c r="B144" s="14"/>
      <c r="C144" s="26"/>
      <c r="D144" s="10" t="s">
        <v>61</v>
      </c>
      <c r="F144" s="5"/>
      <c r="G144" s="5"/>
      <c r="H144" s="37" t="s">
        <v>225</v>
      </c>
      <c r="I144" s="26"/>
      <c r="J144" s="10" t="s">
        <v>98</v>
      </c>
      <c r="N144" s="39" t="s">
        <v>56</v>
      </c>
      <c r="O144" s="25"/>
      <c r="P144" s="10" t="s">
        <v>142</v>
      </c>
      <c r="T144" s="39" t="s">
        <v>56</v>
      </c>
      <c r="U144" s="21"/>
      <c r="AD144" s="25"/>
    </row>
    <row r="145" spans="1:30" x14ac:dyDescent="0.25">
      <c r="A145" s="10" t="s">
        <v>2</v>
      </c>
      <c r="B145" s="14"/>
      <c r="C145" s="26"/>
      <c r="F145" s="5"/>
      <c r="G145" s="5"/>
      <c r="H145" s="5"/>
      <c r="I145" s="26"/>
      <c r="J145" s="5"/>
      <c r="O145" s="25"/>
      <c r="U145" s="21"/>
      <c r="AD145" s="25"/>
    </row>
    <row r="146" spans="1:30" x14ac:dyDescent="0.25">
      <c r="B146" s="14"/>
      <c r="F146" s="5"/>
      <c r="G146" s="5"/>
      <c r="H146" s="5"/>
      <c r="I146" s="24"/>
      <c r="J146" s="5"/>
      <c r="O146" s="23"/>
      <c r="U146" s="21"/>
    </row>
    <row r="147" spans="1:30" x14ac:dyDescent="0.25">
      <c r="B147" s="14"/>
      <c r="F147" s="10" t="s">
        <v>2</v>
      </c>
      <c r="G147" s="5" t="s">
        <v>2</v>
      </c>
      <c r="H147" s="5" t="s">
        <v>2</v>
      </c>
      <c r="I147" s="24" t="s">
        <v>2</v>
      </c>
      <c r="J147" s="5" t="s">
        <v>2</v>
      </c>
      <c r="O147" s="23"/>
      <c r="U147" s="21"/>
    </row>
    <row r="148" spans="1:30" x14ac:dyDescent="0.25">
      <c r="B148" s="14"/>
      <c r="I148" s="23"/>
      <c r="O148" s="23"/>
      <c r="U148" s="21"/>
    </row>
    <row r="149" spans="1:30" ht="15.75" x14ac:dyDescent="0.25">
      <c r="B149" s="14"/>
      <c r="D149" s="43" t="s">
        <v>288</v>
      </c>
      <c r="I149" s="23"/>
      <c r="O149" s="23"/>
      <c r="U149" s="23"/>
    </row>
    <row r="150" spans="1:30" x14ac:dyDescent="0.25">
      <c r="B150" s="14"/>
      <c r="I150" s="23"/>
      <c r="O150" s="23"/>
      <c r="U150" s="2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185"/>
  <sheetViews>
    <sheetView topLeftCell="D106" zoomScaleNormal="100" workbookViewId="0">
      <selection activeCell="H153" sqref="H153"/>
    </sheetView>
  </sheetViews>
  <sheetFormatPr defaultRowHeight="15" x14ac:dyDescent="0.25"/>
  <cols>
    <col min="1" max="1" width="25.28515625" customWidth="1"/>
    <col min="2" max="2" width="29" customWidth="1"/>
    <col min="3" max="3" width="2.85546875" customWidth="1"/>
    <col min="4" max="4" width="30" customWidth="1"/>
    <col min="5" max="5" width="2.42578125" customWidth="1"/>
    <col min="6" max="6" width="15.42578125" customWidth="1"/>
    <col min="7" max="7" width="1.7109375" customWidth="1"/>
    <col min="8" max="8" width="24.42578125" customWidth="1"/>
    <col min="9" max="9" width="2.42578125" customWidth="1"/>
    <col min="10" max="10" width="20.5703125" customWidth="1"/>
    <col min="11" max="11" width="2.85546875" customWidth="1"/>
    <col min="12" max="12" width="29.85546875" customWidth="1"/>
    <col min="13" max="13" width="2" customWidth="1"/>
    <col min="14" max="14" width="14" customWidth="1"/>
    <col min="15" max="15" width="2" customWidth="1"/>
    <col min="16" max="16" width="23.5703125" customWidth="1"/>
    <col min="17" max="17" width="2.5703125" customWidth="1"/>
    <col min="18" max="18" width="19.140625" customWidth="1"/>
    <col min="19" max="19" width="3" customWidth="1"/>
    <col min="20" max="20" width="29.5703125" customWidth="1"/>
    <col min="21" max="21" width="2.140625" customWidth="1"/>
    <col min="22" max="22" width="13.140625" customWidth="1"/>
    <col min="23" max="23" width="2" customWidth="1"/>
    <col min="24" max="24" width="24" customWidth="1"/>
    <col min="25" max="25" width="2" customWidth="1"/>
    <col min="26" max="26" width="19.7109375" customWidth="1"/>
    <col min="27" max="27" width="6.140625" customWidth="1"/>
    <col min="28" max="28" width="21" customWidth="1"/>
    <col min="29" max="29" width="31.42578125" customWidth="1"/>
    <col min="30" max="30" width="2.5703125" customWidth="1"/>
    <col min="31" max="31" width="20.28515625" customWidth="1"/>
    <col min="32" max="32" width="2.28515625" customWidth="1"/>
    <col min="33" max="33" width="13.42578125" customWidth="1"/>
    <col min="34" max="34" width="2" customWidth="1"/>
    <col min="35" max="35" width="20.5703125" customWidth="1"/>
    <col min="36" max="36" width="3" customWidth="1"/>
    <col min="37" max="37" width="19.5703125" customWidth="1"/>
    <col min="38" max="38" width="2.7109375" customWidth="1"/>
    <col min="39" max="39" width="18.85546875" customWidth="1"/>
    <col min="40" max="40" width="2.28515625" customWidth="1"/>
    <col min="41" max="41" width="17.140625" customWidth="1"/>
    <col min="42" max="42" width="11.28515625" customWidth="1"/>
    <col min="43" max="43" width="1.85546875" customWidth="1"/>
    <col min="44" max="44" width="11.7109375" customWidth="1"/>
    <col min="45" max="45" width="2" customWidth="1"/>
    <col min="46" max="46" width="11.7109375" customWidth="1"/>
    <col min="47" max="47" width="1.85546875" customWidth="1"/>
    <col min="48" max="48" width="11.140625" customWidth="1"/>
    <col min="49" max="49" width="2.140625" customWidth="1"/>
    <col min="50" max="50" width="11.85546875" customWidth="1"/>
    <col min="51" max="51" width="2.42578125" customWidth="1"/>
    <col min="52" max="52" width="12.7109375" customWidth="1"/>
    <col min="53" max="53" width="2.5703125" customWidth="1"/>
    <col min="54" max="54" width="11.42578125" customWidth="1"/>
    <col min="55" max="55" width="2.28515625" customWidth="1"/>
    <col min="56" max="56" width="12.140625" customWidth="1"/>
    <col min="57" max="57" width="2.140625" customWidth="1"/>
    <col min="58" max="58" width="12.42578125" customWidth="1"/>
    <col min="59" max="59" width="2.140625" customWidth="1"/>
  </cols>
  <sheetData>
    <row r="1" spans="1:41" ht="21" x14ac:dyDescent="0.35">
      <c r="F1" s="12" t="s">
        <v>2</v>
      </c>
      <c r="G1" s="12"/>
      <c r="H1" s="40" t="s">
        <v>2</v>
      </c>
      <c r="I1" s="12"/>
      <c r="K1" s="12"/>
      <c r="L1" s="12"/>
      <c r="M1" s="8"/>
      <c r="N1" s="41" t="s">
        <v>58</v>
      </c>
      <c r="S1" s="29" t="s">
        <v>2</v>
      </c>
      <c r="AA1" s="21"/>
      <c r="AB1" s="12" t="s">
        <v>2</v>
      </c>
      <c r="AC1" t="s">
        <v>2</v>
      </c>
      <c r="AD1" t="s">
        <v>2</v>
      </c>
    </row>
    <row r="2" spans="1:41" ht="21" x14ac:dyDescent="0.35">
      <c r="F2" s="12"/>
      <c r="G2" s="12"/>
      <c r="H2" s="40"/>
      <c r="I2" s="12"/>
      <c r="J2" s="41"/>
      <c r="K2" s="12"/>
      <c r="L2" s="12"/>
      <c r="M2" s="8"/>
      <c r="S2" s="29"/>
      <c r="AA2" s="21"/>
      <c r="AB2" s="12" t="s">
        <v>2</v>
      </c>
    </row>
    <row r="3" spans="1:41" ht="15.75" x14ac:dyDescent="0.25">
      <c r="F3" s="3" t="s">
        <v>6</v>
      </c>
      <c r="G3" s="36"/>
      <c r="H3" t="s">
        <v>2</v>
      </c>
      <c r="I3" s="36"/>
      <c r="K3" s="36"/>
      <c r="L3" s="43" t="s">
        <v>146</v>
      </c>
      <c r="M3" s="3"/>
      <c r="S3" s="29" t="s">
        <v>2</v>
      </c>
      <c r="T3" s="43" t="s">
        <v>146</v>
      </c>
      <c r="AA3" s="21"/>
      <c r="AB3" s="13" t="s">
        <v>2</v>
      </c>
      <c r="AC3" t="s">
        <v>2</v>
      </c>
      <c r="AD3" t="s">
        <v>2</v>
      </c>
      <c r="AH3" s="43" t="s">
        <v>147</v>
      </c>
    </row>
    <row r="4" spans="1:41" x14ac:dyDescent="0.25">
      <c r="F4" s="3"/>
      <c r="G4" s="36"/>
      <c r="H4" s="36"/>
      <c r="I4" s="36"/>
      <c r="J4" s="36"/>
      <c r="K4" s="36"/>
      <c r="L4" s="36"/>
      <c r="M4" s="3"/>
      <c r="S4" s="29" t="s">
        <v>2</v>
      </c>
      <c r="AA4" s="21"/>
      <c r="AB4" s="13"/>
    </row>
    <row r="5" spans="1:41" x14ac:dyDescent="0.25">
      <c r="F5" s="3"/>
      <c r="G5" s="3"/>
      <c r="H5" s="18" t="s">
        <v>191</v>
      </c>
      <c r="I5" s="3"/>
      <c r="J5" s="18" t="s">
        <v>194</v>
      </c>
      <c r="K5" s="3"/>
      <c r="L5" s="3"/>
      <c r="M5" s="3"/>
      <c r="P5" s="18" t="s">
        <v>191</v>
      </c>
      <c r="Q5" s="3"/>
      <c r="R5" s="18" t="s">
        <v>194</v>
      </c>
      <c r="S5" s="29" t="s">
        <v>2</v>
      </c>
      <c r="X5" s="18" t="s">
        <v>191</v>
      </c>
      <c r="Y5" s="3"/>
      <c r="Z5" s="18" t="s">
        <v>194</v>
      </c>
      <c r="AA5" s="21"/>
      <c r="AG5" s="3"/>
      <c r="AH5" s="3"/>
      <c r="AI5" s="18" t="s">
        <v>191</v>
      </c>
      <c r="AJ5" s="3"/>
      <c r="AK5" s="18" t="s">
        <v>194</v>
      </c>
      <c r="AL5" s="3"/>
    </row>
    <row r="6" spans="1:41" x14ac:dyDescent="0.25">
      <c r="F6" s="11" t="s">
        <v>2</v>
      </c>
      <c r="H6" s="18" t="s">
        <v>192</v>
      </c>
      <c r="J6" s="18" t="s">
        <v>154</v>
      </c>
      <c r="K6" s="29"/>
      <c r="P6" s="18" t="s">
        <v>192</v>
      </c>
      <c r="R6" s="18" t="s">
        <v>154</v>
      </c>
      <c r="S6" s="29"/>
      <c r="X6" s="18" t="s">
        <v>192</v>
      </c>
      <c r="Z6" s="18" t="s">
        <v>154</v>
      </c>
      <c r="AA6" s="21"/>
      <c r="AG6" s="11" t="s">
        <v>2</v>
      </c>
      <c r="AI6" s="18" t="s">
        <v>192</v>
      </c>
      <c r="AK6" s="18" t="s">
        <v>154</v>
      </c>
    </row>
    <row r="7" spans="1:41" x14ac:dyDescent="0.25">
      <c r="F7" s="11"/>
      <c r="J7" s="18"/>
      <c r="K7" s="29"/>
      <c r="S7" s="29"/>
      <c r="AA7" s="21"/>
      <c r="AG7" s="11"/>
    </row>
    <row r="8" spans="1:41" x14ac:dyDescent="0.25">
      <c r="A8" s="11" t="s">
        <v>11</v>
      </c>
      <c r="B8" s="11" t="s">
        <v>8</v>
      </c>
      <c r="D8" s="11" t="s">
        <v>16</v>
      </c>
      <c r="F8" s="11" t="s">
        <v>103</v>
      </c>
      <c r="G8" s="5"/>
      <c r="H8" s="11" t="s">
        <v>3</v>
      </c>
      <c r="I8" s="35"/>
      <c r="J8" s="11" t="s">
        <v>3</v>
      </c>
      <c r="K8" s="26"/>
      <c r="L8" s="11" t="s">
        <v>16</v>
      </c>
      <c r="M8" s="5"/>
      <c r="N8" s="11" t="s">
        <v>103</v>
      </c>
      <c r="O8" s="5"/>
      <c r="P8" s="11" t="s">
        <v>36</v>
      </c>
      <c r="Q8" s="35"/>
      <c r="R8" s="11" t="s">
        <v>36</v>
      </c>
      <c r="S8" s="26" t="s">
        <v>2</v>
      </c>
      <c r="T8" s="11" t="s">
        <v>16</v>
      </c>
      <c r="U8" s="5"/>
      <c r="V8" s="11" t="s">
        <v>103</v>
      </c>
      <c r="W8" s="5"/>
      <c r="X8" s="11" t="s">
        <v>4</v>
      </c>
      <c r="Y8" s="5"/>
      <c r="Z8" s="11" t="s">
        <v>4</v>
      </c>
      <c r="AA8" s="22"/>
      <c r="AB8" s="11" t="s">
        <v>11</v>
      </c>
      <c r="AC8" s="11" t="s">
        <v>8</v>
      </c>
      <c r="AE8" s="11" t="s">
        <v>16</v>
      </c>
      <c r="AG8" s="11" t="s">
        <v>103</v>
      </c>
      <c r="AH8" s="5"/>
      <c r="AI8" s="11" t="s">
        <v>5</v>
      </c>
      <c r="AJ8" s="35"/>
      <c r="AK8" s="11" t="s">
        <v>5</v>
      </c>
      <c r="AL8" s="26" t="s">
        <v>2</v>
      </c>
      <c r="AM8" s="11" t="s">
        <v>7</v>
      </c>
      <c r="AO8" s="11" t="s">
        <v>7</v>
      </c>
    </row>
    <row r="9" spans="1:41" x14ac:dyDescent="0.25">
      <c r="A9" s="11"/>
      <c r="B9" s="11"/>
      <c r="C9" s="11"/>
      <c r="D9" s="11"/>
      <c r="F9" s="5"/>
      <c r="G9" s="5"/>
      <c r="H9" s="5"/>
      <c r="I9" s="5"/>
      <c r="J9" s="5"/>
      <c r="K9" s="26"/>
      <c r="L9" s="5"/>
      <c r="M9" s="5"/>
      <c r="N9" s="5"/>
      <c r="O9" s="5"/>
      <c r="P9" s="5"/>
      <c r="Q9" s="5"/>
      <c r="R9" s="5"/>
      <c r="S9" s="26"/>
      <c r="T9" s="5"/>
      <c r="U9" s="5"/>
      <c r="V9" s="5"/>
      <c r="W9" s="5"/>
      <c r="X9" s="5"/>
      <c r="Y9" s="5"/>
      <c r="Z9" s="5"/>
      <c r="AA9" s="22"/>
      <c r="AB9" s="11"/>
      <c r="AC9" s="11"/>
      <c r="AD9" s="11"/>
      <c r="AE9" s="11"/>
      <c r="AG9" s="5"/>
      <c r="AH9" s="5"/>
      <c r="AI9" s="5"/>
      <c r="AJ9" s="5"/>
      <c r="AK9" s="5"/>
      <c r="AL9" s="26"/>
    </row>
    <row r="10" spans="1:41" x14ac:dyDescent="0.25">
      <c r="A10" s="9" t="s">
        <v>10</v>
      </c>
      <c r="B10" s="9" t="s">
        <v>9</v>
      </c>
      <c r="C10" s="11"/>
      <c r="D10" s="11"/>
      <c r="F10" s="5" t="s">
        <v>2</v>
      </c>
      <c r="G10" s="5"/>
      <c r="H10" s="5" t="s">
        <v>2</v>
      </c>
      <c r="I10" s="5"/>
      <c r="J10" s="5"/>
      <c r="K10" s="26"/>
      <c r="L10" s="5"/>
      <c r="M10" s="5"/>
      <c r="N10" s="5" t="s">
        <v>2</v>
      </c>
      <c r="O10" s="5"/>
      <c r="P10" s="5" t="s">
        <v>2</v>
      </c>
      <c r="Q10" s="5"/>
      <c r="R10" s="5"/>
      <c r="S10" s="26"/>
      <c r="T10" s="5"/>
      <c r="U10" s="5"/>
      <c r="V10" s="5"/>
      <c r="W10" s="5"/>
      <c r="X10" s="5"/>
      <c r="Y10" s="5"/>
      <c r="Z10" s="5"/>
      <c r="AA10" s="22"/>
      <c r="AB10" s="9" t="s">
        <v>10</v>
      </c>
      <c r="AC10" s="9" t="s">
        <v>9</v>
      </c>
      <c r="AD10" s="11"/>
      <c r="AE10" s="11"/>
      <c r="AG10" s="5" t="s">
        <v>2</v>
      </c>
      <c r="AH10" s="5"/>
      <c r="AI10" s="5" t="s">
        <v>2</v>
      </c>
      <c r="AJ10" s="5"/>
      <c r="AK10" s="5"/>
      <c r="AL10" s="26"/>
    </row>
    <row r="11" spans="1:41" x14ac:dyDescent="0.25">
      <c r="A11" s="9" t="s">
        <v>13</v>
      </c>
      <c r="B11" s="9" t="s">
        <v>22</v>
      </c>
      <c r="C11" s="11"/>
      <c r="D11" s="11"/>
      <c r="F11" s="5"/>
      <c r="G11" s="5"/>
      <c r="H11" s="5" t="s">
        <v>2</v>
      </c>
      <c r="I11" s="5"/>
      <c r="J11" s="5"/>
      <c r="K11" s="26"/>
      <c r="L11" s="5"/>
      <c r="M11" s="5"/>
      <c r="N11" s="5"/>
      <c r="O11" s="5"/>
      <c r="P11" s="5" t="s">
        <v>2</v>
      </c>
      <c r="Q11" s="5"/>
      <c r="R11" s="5"/>
      <c r="S11" s="26"/>
      <c r="T11" s="5"/>
      <c r="U11" s="5"/>
      <c r="V11" s="5"/>
      <c r="W11" s="5"/>
      <c r="X11" s="5"/>
      <c r="Y11" s="5"/>
      <c r="Z11" s="5"/>
      <c r="AA11" s="22"/>
      <c r="AB11" s="9" t="s">
        <v>13</v>
      </c>
      <c r="AC11" s="9" t="s">
        <v>22</v>
      </c>
      <c r="AD11" s="11"/>
      <c r="AE11" s="11"/>
      <c r="AG11" s="5"/>
      <c r="AH11" s="5"/>
      <c r="AI11" s="5" t="s">
        <v>2</v>
      </c>
      <c r="AJ11" s="5"/>
      <c r="AK11" s="5"/>
      <c r="AL11" s="26"/>
    </row>
    <row r="12" spans="1:41" x14ac:dyDescent="0.25">
      <c r="A12" s="9"/>
      <c r="B12" s="9"/>
      <c r="C12" s="11"/>
      <c r="D12" s="11"/>
      <c r="F12" s="5"/>
      <c r="G12" s="5"/>
      <c r="H12" s="5"/>
      <c r="I12" s="5"/>
      <c r="J12" s="5"/>
      <c r="K12" s="26"/>
      <c r="L12" s="5"/>
      <c r="M12" s="5"/>
      <c r="N12" s="5"/>
      <c r="O12" s="5"/>
      <c r="P12" s="5"/>
      <c r="Q12" s="5"/>
      <c r="R12" s="5"/>
      <c r="S12" s="26"/>
      <c r="T12" s="5"/>
      <c r="U12" s="5"/>
      <c r="V12" s="5"/>
      <c r="W12" s="5"/>
      <c r="X12" s="5"/>
      <c r="Y12" s="5"/>
      <c r="Z12" s="5"/>
      <c r="AA12" s="22"/>
      <c r="AB12" s="9"/>
      <c r="AC12" s="9"/>
      <c r="AD12" s="11"/>
      <c r="AE12" s="11"/>
      <c r="AG12" s="5"/>
      <c r="AH12" s="5"/>
      <c r="AI12" s="5"/>
      <c r="AJ12" s="5"/>
      <c r="AK12" s="5"/>
      <c r="AL12" s="26"/>
    </row>
    <row r="13" spans="1:41" x14ac:dyDescent="0.25">
      <c r="A13" s="9" t="s">
        <v>12</v>
      </c>
      <c r="B13" s="9" t="s">
        <v>14</v>
      </c>
      <c r="C13" s="11"/>
      <c r="D13" s="11"/>
      <c r="F13" s="5"/>
      <c r="G13" s="5"/>
      <c r="H13" s="5"/>
      <c r="I13" s="5"/>
      <c r="J13" s="5"/>
      <c r="K13" s="26"/>
      <c r="L13" s="5"/>
      <c r="M13" s="5"/>
      <c r="N13" s="5"/>
      <c r="O13" s="5"/>
      <c r="P13" s="5"/>
      <c r="Q13" s="5"/>
      <c r="R13" s="5"/>
      <c r="S13" s="26"/>
      <c r="T13" s="5"/>
      <c r="U13" s="5"/>
      <c r="V13" s="5"/>
      <c r="W13" s="5"/>
      <c r="X13" s="5"/>
      <c r="Y13" s="5"/>
      <c r="Z13" s="5"/>
      <c r="AA13" s="22"/>
      <c r="AB13" s="9" t="s">
        <v>12</v>
      </c>
      <c r="AC13" s="9" t="s">
        <v>14</v>
      </c>
      <c r="AD13" s="11"/>
      <c r="AE13" s="11"/>
      <c r="AG13" s="5"/>
      <c r="AH13" s="5"/>
      <c r="AI13" s="5"/>
      <c r="AJ13" s="5"/>
      <c r="AK13" s="5"/>
      <c r="AL13" s="26"/>
    </row>
    <row r="14" spans="1:41" x14ac:dyDescent="0.25">
      <c r="A14" s="9"/>
      <c r="B14" s="9" t="s">
        <v>23</v>
      </c>
      <c r="C14" s="11"/>
      <c r="G14" s="5"/>
      <c r="H14" s="5"/>
      <c r="I14" s="5"/>
      <c r="J14" s="5"/>
      <c r="K14" s="26"/>
      <c r="O14" s="5"/>
      <c r="P14" s="5"/>
      <c r="Q14" s="5"/>
      <c r="R14" s="5"/>
      <c r="S14" s="26"/>
      <c r="T14" s="5"/>
      <c r="U14" s="5"/>
      <c r="V14" s="5"/>
      <c r="W14" s="5"/>
      <c r="X14" s="5"/>
      <c r="Y14" s="5"/>
      <c r="Z14" s="5"/>
      <c r="AA14" s="22"/>
      <c r="AB14" s="9"/>
      <c r="AC14" s="9" t="s">
        <v>23</v>
      </c>
      <c r="AD14" s="11"/>
      <c r="AH14" s="5"/>
      <c r="AI14" s="5"/>
      <c r="AJ14" s="5"/>
      <c r="AK14" s="5"/>
      <c r="AL14" s="26"/>
    </row>
    <row r="15" spans="1:41" x14ac:dyDescent="0.25">
      <c r="A15" s="9"/>
      <c r="B15" s="9"/>
      <c r="C15" s="11"/>
      <c r="G15" s="5"/>
      <c r="H15" s="5"/>
      <c r="I15" s="5"/>
      <c r="J15" s="5"/>
      <c r="K15" s="26"/>
      <c r="L15" s="4"/>
      <c r="N15" s="8"/>
      <c r="O15" s="5"/>
      <c r="P15" s="5"/>
      <c r="Q15" s="5"/>
      <c r="R15" s="5"/>
      <c r="S15" s="26"/>
      <c r="T15" s="5"/>
      <c r="U15" s="5"/>
      <c r="V15" s="5"/>
      <c r="W15" s="5"/>
      <c r="X15" s="5"/>
      <c r="Y15" s="5"/>
      <c r="Z15" s="5"/>
      <c r="AA15" s="22"/>
      <c r="AB15" s="5"/>
      <c r="AC15" s="5"/>
      <c r="AD15" s="5"/>
      <c r="AE15" s="5"/>
      <c r="AF15" s="5"/>
      <c r="AG15" s="5"/>
      <c r="AH15" s="5"/>
      <c r="AI15" s="5"/>
      <c r="AJ15" s="5"/>
      <c r="AL15" s="26"/>
    </row>
    <row r="16" spans="1:41" x14ac:dyDescent="0.25">
      <c r="A16" s="11" t="s">
        <v>1</v>
      </c>
      <c r="B16" s="9"/>
      <c r="C16" s="11"/>
      <c r="D16" s="7" t="s">
        <v>2</v>
      </c>
      <c r="E16" t="s">
        <v>2</v>
      </c>
      <c r="F16" s="5" t="s">
        <v>65</v>
      </c>
      <c r="G16" s="5"/>
      <c r="H16" s="5"/>
      <c r="I16" s="5"/>
      <c r="J16" s="5"/>
      <c r="K16" s="26"/>
      <c r="L16" s="7" t="s">
        <v>2</v>
      </c>
      <c r="M16" t="s">
        <v>2</v>
      </c>
      <c r="N16" s="5" t="s">
        <v>65</v>
      </c>
      <c r="O16" s="5"/>
      <c r="P16" s="5"/>
      <c r="Q16" s="5"/>
      <c r="R16" s="5"/>
      <c r="S16" s="26"/>
      <c r="T16" s="5"/>
      <c r="U16" s="5"/>
      <c r="V16" s="5" t="s">
        <v>65</v>
      </c>
      <c r="W16" s="5"/>
      <c r="X16" s="5"/>
      <c r="Y16" s="5"/>
      <c r="Z16" s="5"/>
      <c r="AA16" s="22"/>
      <c r="AB16" s="5"/>
      <c r="AC16" s="5"/>
      <c r="AD16" s="5"/>
      <c r="AE16" s="5"/>
      <c r="AF16" s="5"/>
      <c r="AG16" s="5"/>
      <c r="AH16" s="5"/>
      <c r="AI16" s="5"/>
      <c r="AJ16" s="5"/>
      <c r="AL16" s="26"/>
    </row>
    <row r="17" spans="1:59" x14ac:dyDescent="0.25">
      <c r="A17" s="11"/>
      <c r="D17" s="11"/>
      <c r="E17" s="32" t="s">
        <v>81</v>
      </c>
      <c r="F17" s="5"/>
      <c r="G17" s="5"/>
      <c r="H17" s="5"/>
      <c r="I17" s="5"/>
      <c r="J17" s="5"/>
      <c r="K17" s="26"/>
      <c r="L17" s="11"/>
      <c r="M17" s="32" t="s">
        <v>81</v>
      </c>
      <c r="N17" s="5"/>
      <c r="O17" s="5"/>
      <c r="P17" s="5"/>
      <c r="Q17" s="5"/>
      <c r="R17" s="5"/>
      <c r="S17" s="26"/>
      <c r="T17" s="5"/>
      <c r="U17" s="5"/>
      <c r="V17" s="5" t="s">
        <v>108</v>
      </c>
      <c r="W17" s="5"/>
      <c r="X17" s="5"/>
      <c r="Y17" s="5"/>
      <c r="Z17" s="5"/>
      <c r="AA17" s="22"/>
      <c r="AB17" s="5"/>
      <c r="AC17" s="5"/>
      <c r="AD17" s="5"/>
      <c r="AE17" s="5"/>
      <c r="AF17" s="5"/>
      <c r="AG17" s="5"/>
      <c r="AH17" s="5"/>
      <c r="AI17" s="5"/>
      <c r="AJ17" s="5"/>
      <c r="AL17" s="26"/>
    </row>
    <row r="18" spans="1:59" x14ac:dyDescent="0.25">
      <c r="B18" s="2"/>
      <c r="E18" s="9" t="s">
        <v>82</v>
      </c>
      <c r="F18" s="5"/>
      <c r="G18" s="5"/>
      <c r="H18" s="5"/>
      <c r="I18" s="5"/>
      <c r="J18" s="5"/>
      <c r="K18" s="26"/>
      <c r="M18" s="9" t="s">
        <v>83</v>
      </c>
      <c r="N18" s="5"/>
      <c r="S18" s="25"/>
      <c r="T18" t="s">
        <v>109</v>
      </c>
      <c r="AA18" s="21"/>
      <c r="AL18" s="25"/>
    </row>
    <row r="19" spans="1:59" x14ac:dyDescent="0.25">
      <c r="B19" s="2"/>
      <c r="E19" s="9"/>
      <c r="F19" s="5"/>
      <c r="G19" s="5"/>
      <c r="H19" s="5"/>
      <c r="I19" s="5"/>
      <c r="J19" s="5"/>
      <c r="K19" s="26"/>
      <c r="M19" s="9"/>
      <c r="N19" s="5"/>
      <c r="S19" s="25"/>
      <c r="T19" t="s">
        <v>110</v>
      </c>
      <c r="AA19" s="21"/>
      <c r="AL19" s="25"/>
    </row>
    <row r="20" spans="1:59" x14ac:dyDescent="0.25">
      <c r="B20" s="2"/>
      <c r="C20" s="2"/>
      <c r="D20" s="2"/>
      <c r="F20" s="5"/>
      <c r="G20" s="5"/>
      <c r="H20" s="5"/>
      <c r="I20" s="5"/>
      <c r="J20" s="5"/>
      <c r="K20" s="26"/>
      <c r="L20" s="5"/>
      <c r="M20" s="5"/>
      <c r="S20" s="25"/>
      <c r="AA20" s="21"/>
      <c r="AL20" s="25"/>
    </row>
    <row r="21" spans="1:59" x14ac:dyDescent="0.25">
      <c r="A21" s="5">
        <v>1996</v>
      </c>
      <c r="B21" s="9" t="s">
        <v>15</v>
      </c>
      <c r="D21" s="5" t="s">
        <v>17</v>
      </c>
      <c r="F21" s="5" t="s">
        <v>19</v>
      </c>
      <c r="G21" s="5"/>
      <c r="H21" s="5"/>
      <c r="I21" s="5"/>
      <c r="J21" s="5"/>
      <c r="K21" s="26"/>
      <c r="L21" s="5" t="s">
        <v>24</v>
      </c>
      <c r="N21" s="5" t="s">
        <v>25</v>
      </c>
      <c r="O21" s="6"/>
      <c r="P21" s="6"/>
      <c r="Q21" s="6"/>
      <c r="R21" s="6"/>
      <c r="S21" s="33"/>
      <c r="T21" s="5" t="s">
        <v>17</v>
      </c>
      <c r="V21" s="5" t="s">
        <v>105</v>
      </c>
      <c r="W21" s="5"/>
      <c r="Y21" s="5"/>
      <c r="AA21" s="22"/>
      <c r="AC21" s="5"/>
      <c r="AE21" s="5"/>
      <c r="AG21" s="5"/>
      <c r="AI21" s="5"/>
      <c r="AK21" s="5"/>
      <c r="AL21" s="33"/>
      <c r="AS21" s="6"/>
      <c r="AU21" s="6"/>
      <c r="AW21" s="5"/>
      <c r="AY21" s="5"/>
      <c r="BG21" s="5"/>
    </row>
    <row r="22" spans="1:59" x14ac:dyDescent="0.25">
      <c r="A22" s="5"/>
      <c r="B22" s="9" t="s">
        <v>18</v>
      </c>
      <c r="D22" s="5" t="s">
        <v>17</v>
      </c>
      <c r="F22" s="17">
        <v>10.5</v>
      </c>
      <c r="G22" s="17"/>
      <c r="H22" s="44" t="s">
        <v>190</v>
      </c>
      <c r="I22" s="17"/>
      <c r="J22" s="44" t="s">
        <v>2</v>
      </c>
      <c r="K22" s="27"/>
      <c r="L22" s="19" t="s">
        <v>24</v>
      </c>
      <c r="N22" s="17">
        <v>9.8000000000000007</v>
      </c>
      <c r="O22" s="6"/>
      <c r="P22" s="44" t="s">
        <v>190</v>
      </c>
      <c r="Q22" s="20"/>
      <c r="R22" s="66" t="s">
        <v>2</v>
      </c>
      <c r="S22" s="33"/>
      <c r="T22" s="5" t="s">
        <v>17</v>
      </c>
      <c r="V22" s="17">
        <v>6.95</v>
      </c>
      <c r="W22" s="5"/>
      <c r="X22" s="44" t="s">
        <v>190</v>
      </c>
      <c r="Y22" s="20"/>
      <c r="Z22" s="66" t="s">
        <v>2</v>
      </c>
      <c r="AA22" s="22"/>
      <c r="AC22" s="5"/>
      <c r="AE22" s="5"/>
      <c r="AG22" s="5"/>
      <c r="AI22" s="5"/>
      <c r="AK22" s="5"/>
      <c r="AL22" s="33"/>
      <c r="AS22" s="6"/>
      <c r="AU22" s="6"/>
      <c r="AW22" s="5"/>
      <c r="AY22" s="5"/>
      <c r="BG22" s="5"/>
    </row>
    <row r="23" spans="1:59" x14ac:dyDescent="0.25">
      <c r="A23" s="5"/>
      <c r="B23" s="9"/>
      <c r="F23" s="5"/>
      <c r="G23" s="5"/>
      <c r="H23" s="31">
        <f>160*10.5*32.5</f>
        <v>54600</v>
      </c>
      <c r="I23" s="31"/>
      <c r="J23" s="31" t="s">
        <v>2</v>
      </c>
      <c r="K23" s="28"/>
      <c r="L23" s="16"/>
      <c r="O23" s="6"/>
      <c r="P23" s="46">
        <f>240*9.8*32.5</f>
        <v>76440</v>
      </c>
      <c r="Q23" s="16"/>
      <c r="R23" s="31" t="s">
        <v>2</v>
      </c>
      <c r="S23" s="33"/>
      <c r="V23" s="5"/>
      <c r="W23" s="5"/>
      <c r="X23" s="15">
        <f>260*6.95*32.5</f>
        <v>58727.5</v>
      </c>
      <c r="Y23" s="5"/>
      <c r="Z23" s="15" t="s">
        <v>2</v>
      </c>
      <c r="AA23" s="22"/>
      <c r="AC23" s="5"/>
      <c r="AE23" s="5"/>
      <c r="AG23" s="5"/>
      <c r="AI23" s="5"/>
      <c r="AK23" s="5"/>
      <c r="AL23" s="33"/>
      <c r="AS23" s="6"/>
      <c r="AU23" s="6"/>
      <c r="AW23" s="5"/>
      <c r="AY23" s="5"/>
      <c r="BG23" s="5"/>
    </row>
    <row r="24" spans="1:59" x14ac:dyDescent="0.25">
      <c r="B24" s="14"/>
      <c r="F24" s="5"/>
      <c r="G24" s="5"/>
      <c r="H24" s="5"/>
      <c r="I24" s="5"/>
      <c r="J24" s="5"/>
      <c r="K24" s="26"/>
      <c r="L24" s="5"/>
      <c r="R24" s="5"/>
      <c r="S24" s="25"/>
      <c r="AA24" s="21"/>
      <c r="AL24" s="25"/>
    </row>
    <row r="25" spans="1:59" x14ac:dyDescent="0.25">
      <c r="A25" s="5">
        <v>1997</v>
      </c>
      <c r="B25" s="9" t="s">
        <v>15</v>
      </c>
      <c r="C25" s="5"/>
      <c r="D25" s="5" t="s">
        <v>17</v>
      </c>
      <c r="F25" s="5" t="s">
        <v>20</v>
      </c>
      <c r="G25" s="5"/>
      <c r="H25" s="5"/>
      <c r="I25" s="5"/>
      <c r="J25" s="5"/>
      <c r="K25" s="26"/>
      <c r="L25" s="5" t="s">
        <v>24</v>
      </c>
      <c r="N25" s="5" t="s">
        <v>26</v>
      </c>
      <c r="R25" s="5"/>
      <c r="S25" s="25"/>
      <c r="T25" s="5" t="s">
        <v>17</v>
      </c>
      <c r="V25" s="5" t="s">
        <v>106</v>
      </c>
      <c r="AA25" s="21"/>
      <c r="AL25" s="25"/>
    </row>
    <row r="26" spans="1:59" x14ac:dyDescent="0.25">
      <c r="A26" s="5"/>
      <c r="B26" s="9" t="s">
        <v>18</v>
      </c>
      <c r="C26" s="5"/>
      <c r="D26" s="5" t="s">
        <v>17</v>
      </c>
      <c r="F26" s="17">
        <v>13</v>
      </c>
      <c r="G26" s="17"/>
      <c r="H26" s="44" t="s">
        <v>190</v>
      </c>
      <c r="I26" s="17"/>
      <c r="J26" s="66" t="s">
        <v>2</v>
      </c>
      <c r="K26" s="27"/>
      <c r="L26" s="30" t="s">
        <v>24</v>
      </c>
      <c r="N26" s="17">
        <v>12.7</v>
      </c>
      <c r="P26" s="44" t="s">
        <v>190</v>
      </c>
      <c r="Q26" s="20"/>
      <c r="R26" s="66" t="s">
        <v>2</v>
      </c>
      <c r="S26" s="25"/>
      <c r="T26" s="5" t="s">
        <v>17</v>
      </c>
      <c r="V26" s="17">
        <v>8.1999999999999993</v>
      </c>
      <c r="X26" s="44" t="s">
        <v>190</v>
      </c>
      <c r="Y26" s="20"/>
      <c r="Z26" s="66" t="s">
        <v>2</v>
      </c>
      <c r="AA26" s="21"/>
      <c r="AL26" s="25"/>
    </row>
    <row r="27" spans="1:59" x14ac:dyDescent="0.25">
      <c r="A27" s="5"/>
      <c r="B27" s="9"/>
      <c r="C27" s="5"/>
      <c r="D27" s="5"/>
      <c r="F27" s="5"/>
      <c r="G27" s="5"/>
      <c r="H27" s="16">
        <f>210*13*32.5</f>
        <v>88725</v>
      </c>
      <c r="I27" s="16"/>
      <c r="J27" s="16" t="s">
        <v>2</v>
      </c>
      <c r="K27" s="28"/>
      <c r="L27" s="16"/>
      <c r="P27" s="15">
        <f>300*12.7*32.5</f>
        <v>123825</v>
      </c>
      <c r="Q27" s="15"/>
      <c r="R27" s="16" t="s">
        <v>2</v>
      </c>
      <c r="S27" s="25"/>
      <c r="T27" s="5"/>
      <c r="X27" s="15">
        <f>235*8.2*32.5</f>
        <v>62627.499999999993</v>
      </c>
      <c r="Z27" s="15" t="s">
        <v>2</v>
      </c>
      <c r="AA27" s="21"/>
      <c r="AL27" s="25"/>
    </row>
    <row r="28" spans="1:59" x14ac:dyDescent="0.25">
      <c r="B28" s="14"/>
      <c r="F28" s="5"/>
      <c r="G28" s="5"/>
      <c r="H28" s="5"/>
      <c r="I28" s="5"/>
      <c r="J28" s="5"/>
      <c r="K28" s="26"/>
      <c r="L28" s="5"/>
      <c r="R28" s="5"/>
      <c r="S28" s="25"/>
      <c r="AA28" s="21"/>
      <c r="AL28" s="25"/>
    </row>
    <row r="29" spans="1:59" x14ac:dyDescent="0.25">
      <c r="A29" s="5">
        <v>1998</v>
      </c>
      <c r="B29" s="9" t="s">
        <v>15</v>
      </c>
      <c r="C29" s="5"/>
      <c r="D29" s="5" t="s">
        <v>17</v>
      </c>
      <c r="F29" s="5" t="s">
        <v>21</v>
      </c>
      <c r="G29" s="5"/>
      <c r="H29" s="5"/>
      <c r="I29" s="5"/>
      <c r="J29" s="5"/>
      <c r="K29" s="26"/>
      <c r="L29" s="5" t="s">
        <v>24</v>
      </c>
      <c r="N29" s="5" t="s">
        <v>26</v>
      </c>
      <c r="R29" s="5"/>
      <c r="S29" s="25"/>
      <c r="T29" s="5" t="s">
        <v>17</v>
      </c>
      <c r="V29" s="5" t="s">
        <v>112</v>
      </c>
      <c r="AA29" s="21"/>
      <c r="AL29" s="25"/>
    </row>
    <row r="30" spans="1:59" x14ac:dyDescent="0.25">
      <c r="A30" s="5"/>
      <c r="B30" s="9" t="s">
        <v>18</v>
      </c>
      <c r="C30" s="5"/>
      <c r="D30" s="5" t="s">
        <v>17</v>
      </c>
      <c r="F30" s="17">
        <v>14</v>
      </c>
      <c r="G30" s="17"/>
      <c r="H30" s="44" t="s">
        <v>190</v>
      </c>
      <c r="I30" s="17"/>
      <c r="J30" s="66" t="s">
        <v>2</v>
      </c>
      <c r="K30" s="27"/>
      <c r="L30" s="19" t="s">
        <v>24</v>
      </c>
      <c r="N30" s="17">
        <v>16.3</v>
      </c>
      <c r="P30" s="44" t="s">
        <v>190</v>
      </c>
      <c r="Q30" s="20"/>
      <c r="R30" s="66" t="s">
        <v>2</v>
      </c>
      <c r="S30" s="25"/>
      <c r="T30" s="5" t="s">
        <v>17</v>
      </c>
      <c r="V30" s="17">
        <v>7.35</v>
      </c>
      <c r="X30" s="44" t="s">
        <v>190</v>
      </c>
      <c r="Y30" s="20"/>
      <c r="Z30" s="66" t="s">
        <v>2</v>
      </c>
      <c r="AA30" s="21"/>
      <c r="AL30" s="25"/>
    </row>
    <row r="31" spans="1:59" x14ac:dyDescent="0.25">
      <c r="A31" s="5"/>
      <c r="B31" s="9"/>
      <c r="C31" s="5"/>
      <c r="D31" s="5"/>
      <c r="F31" s="5"/>
      <c r="G31" s="5"/>
      <c r="H31" s="16">
        <f>215*14*32.5</f>
        <v>97825</v>
      </c>
      <c r="I31" s="16"/>
      <c r="J31" s="16" t="s">
        <v>2</v>
      </c>
      <c r="K31" s="26"/>
      <c r="L31" s="5"/>
      <c r="P31" s="15">
        <f>300*16.3*32.5</f>
        <v>158925</v>
      </c>
      <c r="Q31" s="15"/>
      <c r="R31" s="16" t="s">
        <v>2</v>
      </c>
      <c r="S31" s="25"/>
      <c r="X31" s="15">
        <f>243*7.35*32.5</f>
        <v>58046.625</v>
      </c>
      <c r="Z31" s="15" t="s">
        <v>2</v>
      </c>
      <c r="AA31" s="21"/>
      <c r="AL31" s="25"/>
    </row>
    <row r="32" spans="1:59" x14ac:dyDescent="0.25">
      <c r="A32" s="5"/>
      <c r="B32" s="9"/>
      <c r="C32" s="5"/>
      <c r="D32" s="5"/>
      <c r="F32" s="5"/>
      <c r="G32" s="5"/>
      <c r="H32" s="16"/>
      <c r="I32" s="16"/>
      <c r="J32" s="16"/>
      <c r="K32" s="26"/>
      <c r="L32" s="5"/>
      <c r="P32" s="15"/>
      <c r="Q32" s="15"/>
      <c r="R32" s="16"/>
      <c r="S32" s="25"/>
      <c r="AA32" s="21"/>
      <c r="AL32" s="25"/>
    </row>
    <row r="33" spans="1:38" x14ac:dyDescent="0.25">
      <c r="A33" s="5"/>
      <c r="B33" s="9"/>
      <c r="C33" s="5"/>
      <c r="D33" s="7" t="s">
        <v>2</v>
      </c>
      <c r="E33" t="s">
        <v>2</v>
      </c>
      <c r="F33" s="5" t="s">
        <v>65</v>
      </c>
      <c r="G33" s="5"/>
      <c r="H33" s="16"/>
      <c r="I33" s="16"/>
      <c r="J33" s="16"/>
      <c r="K33" s="26"/>
      <c r="L33" s="7" t="s">
        <v>2</v>
      </c>
      <c r="M33" t="s">
        <v>2</v>
      </c>
      <c r="N33" s="5" t="s">
        <v>65</v>
      </c>
      <c r="O33" s="5"/>
      <c r="P33" s="15"/>
      <c r="Q33" s="15"/>
      <c r="R33" s="16"/>
      <c r="S33" s="25"/>
      <c r="T33" s="5"/>
      <c r="U33" s="5"/>
      <c r="V33" s="5" t="s">
        <v>65</v>
      </c>
      <c r="W33" s="5"/>
      <c r="X33" s="5"/>
      <c r="Y33" s="5"/>
      <c r="Z33" s="5"/>
      <c r="AA33" s="21"/>
      <c r="AL33" s="25"/>
    </row>
    <row r="34" spans="1:38" x14ac:dyDescent="0.25">
      <c r="A34" s="5"/>
      <c r="B34" s="9"/>
      <c r="C34" s="5"/>
      <c r="D34" s="11"/>
      <c r="E34" s="32" t="s">
        <v>68</v>
      </c>
      <c r="F34" s="5"/>
      <c r="G34" s="5"/>
      <c r="H34" s="16"/>
      <c r="I34" s="16"/>
      <c r="J34" s="16"/>
      <c r="K34" s="26"/>
      <c r="L34" s="11"/>
      <c r="M34" s="32" t="s">
        <v>84</v>
      </c>
      <c r="N34" s="5"/>
      <c r="O34" s="5"/>
      <c r="P34" s="15"/>
      <c r="Q34" s="15"/>
      <c r="R34" s="16"/>
      <c r="S34" s="25"/>
      <c r="T34" s="5"/>
      <c r="U34" s="5"/>
      <c r="V34" s="5" t="s">
        <v>107</v>
      </c>
      <c r="W34" s="5"/>
      <c r="X34" s="5"/>
      <c r="Y34" s="5"/>
      <c r="Z34" s="5"/>
      <c r="AA34" s="21"/>
      <c r="AL34" s="25"/>
    </row>
    <row r="35" spans="1:38" x14ac:dyDescent="0.25">
      <c r="B35" s="14"/>
      <c r="E35" s="9" t="s">
        <v>79</v>
      </c>
      <c r="F35" s="5"/>
      <c r="G35" s="5"/>
      <c r="H35" s="5"/>
      <c r="I35" s="5"/>
      <c r="J35" s="5"/>
      <c r="K35" s="26"/>
      <c r="M35" s="9" t="s">
        <v>85</v>
      </c>
      <c r="N35" s="5"/>
      <c r="O35" s="5"/>
      <c r="R35" s="5"/>
      <c r="S35" s="25"/>
      <c r="U35" t="s">
        <v>104</v>
      </c>
      <c r="AA35" s="21"/>
      <c r="AL35" s="25"/>
    </row>
    <row r="36" spans="1:38" x14ac:dyDescent="0.25">
      <c r="B36" s="14"/>
      <c r="E36" s="9" t="s">
        <v>80</v>
      </c>
      <c r="F36" s="5"/>
      <c r="G36" s="5"/>
      <c r="H36" s="5"/>
      <c r="I36" s="5"/>
      <c r="J36" s="5"/>
      <c r="K36" s="26"/>
      <c r="M36" s="9" t="s">
        <v>86</v>
      </c>
      <c r="N36" s="5"/>
      <c r="O36" s="5"/>
      <c r="R36" s="5"/>
      <c r="S36" s="25"/>
      <c r="T36" t="s">
        <v>114</v>
      </c>
      <c r="AA36" s="21"/>
      <c r="AL36" s="25"/>
    </row>
    <row r="37" spans="1:38" x14ac:dyDescent="0.25">
      <c r="B37" s="14"/>
      <c r="E37" s="9"/>
      <c r="F37" s="5"/>
      <c r="G37" s="5"/>
      <c r="H37" s="5"/>
      <c r="I37" s="5"/>
      <c r="J37" s="5"/>
      <c r="K37" s="26"/>
      <c r="L37" s="5"/>
      <c r="R37" s="5"/>
      <c r="S37" s="25"/>
      <c r="AA37" s="21"/>
      <c r="AL37" s="25"/>
    </row>
    <row r="38" spans="1:38" x14ac:dyDescent="0.25">
      <c r="A38" s="5">
        <v>1999</v>
      </c>
      <c r="B38" s="9" t="s">
        <v>15</v>
      </c>
      <c r="C38" s="5"/>
      <c r="D38" s="5" t="s">
        <v>17</v>
      </c>
      <c r="F38" s="5" t="s">
        <v>28</v>
      </c>
      <c r="G38" s="5"/>
      <c r="H38" s="5"/>
      <c r="I38" s="5"/>
      <c r="J38" s="5"/>
      <c r="K38" s="26"/>
      <c r="L38" s="5" t="s">
        <v>24</v>
      </c>
      <c r="N38" s="5" t="s">
        <v>29</v>
      </c>
      <c r="R38" s="5"/>
      <c r="S38" s="25"/>
      <c r="T38" s="5" t="s">
        <v>111</v>
      </c>
      <c r="V38" s="5" t="s">
        <v>113</v>
      </c>
      <c r="AA38" s="21"/>
      <c r="AL38" s="25"/>
    </row>
    <row r="39" spans="1:38" x14ac:dyDescent="0.25">
      <c r="A39" s="5"/>
      <c r="B39" s="9" t="s">
        <v>18</v>
      </c>
      <c r="C39" s="5"/>
      <c r="D39" s="5" t="s">
        <v>17</v>
      </c>
      <c r="F39" s="17">
        <v>13.3</v>
      </c>
      <c r="G39" s="5"/>
      <c r="H39" s="44" t="s">
        <v>190</v>
      </c>
      <c r="I39" s="17"/>
      <c r="J39" s="66" t="s">
        <v>2</v>
      </c>
      <c r="K39" s="26"/>
      <c r="L39" s="19" t="s">
        <v>24</v>
      </c>
      <c r="N39" s="17">
        <v>12.2</v>
      </c>
      <c r="P39" s="44" t="s">
        <v>190</v>
      </c>
      <c r="Q39" s="20"/>
      <c r="R39" s="66" t="s">
        <v>2</v>
      </c>
      <c r="S39" s="25"/>
      <c r="T39" s="5" t="s">
        <v>111</v>
      </c>
      <c r="V39" s="17">
        <v>7.55</v>
      </c>
      <c r="X39" s="44" t="s">
        <v>190</v>
      </c>
      <c r="Y39" s="20"/>
      <c r="Z39" s="66" t="s">
        <v>2</v>
      </c>
      <c r="AA39" s="21"/>
      <c r="AL39" s="25"/>
    </row>
    <row r="40" spans="1:38" x14ac:dyDescent="0.25">
      <c r="A40" s="5"/>
      <c r="B40" s="9"/>
      <c r="C40" s="5"/>
      <c r="F40" s="5"/>
      <c r="G40" s="5"/>
      <c r="H40" s="16">
        <f>165*13.3*32.5</f>
        <v>71321.25</v>
      </c>
      <c r="I40" s="16"/>
      <c r="J40" s="16" t="s">
        <v>2</v>
      </c>
      <c r="K40" s="26"/>
      <c r="L40" s="16"/>
      <c r="P40" s="15">
        <f>280*12.2*32.5</f>
        <v>111020</v>
      </c>
      <c r="Q40" s="15"/>
      <c r="R40" s="16" t="s">
        <v>2</v>
      </c>
      <c r="S40" s="25"/>
      <c r="X40" s="15">
        <f>225*7.55*32.5</f>
        <v>55209.375</v>
      </c>
      <c r="Y40" s="5"/>
      <c r="Z40" s="15" t="s">
        <v>2</v>
      </c>
      <c r="AA40" s="21"/>
      <c r="AL40" s="25"/>
    </row>
    <row r="41" spans="1:38" x14ac:dyDescent="0.25">
      <c r="A41" s="5"/>
      <c r="B41" s="14"/>
      <c r="C41" s="5"/>
      <c r="F41" s="5"/>
      <c r="G41" s="5"/>
      <c r="H41" s="5"/>
      <c r="I41" s="5"/>
      <c r="J41" s="5"/>
      <c r="K41" s="26"/>
      <c r="L41" s="5"/>
      <c r="R41" s="5"/>
      <c r="S41" s="25"/>
      <c r="AA41" s="21"/>
      <c r="AL41" s="25"/>
    </row>
    <row r="42" spans="1:38" x14ac:dyDescent="0.25">
      <c r="A42" s="5">
        <v>2000</v>
      </c>
      <c r="B42" s="9" t="s">
        <v>15</v>
      </c>
      <c r="C42" s="5"/>
      <c r="D42" s="5" t="s">
        <v>17</v>
      </c>
      <c r="F42" s="5" t="s">
        <v>30</v>
      </c>
      <c r="G42" s="5"/>
      <c r="H42" s="5"/>
      <c r="I42" s="5"/>
      <c r="J42" s="5"/>
      <c r="K42" s="26"/>
      <c r="L42" s="5" t="s">
        <v>24</v>
      </c>
      <c r="N42" s="5" t="s">
        <v>32</v>
      </c>
      <c r="R42" s="5"/>
      <c r="S42" s="25"/>
      <c r="T42" s="5" t="s">
        <v>111</v>
      </c>
      <c r="V42" s="5" t="s">
        <v>115</v>
      </c>
      <c r="AA42" s="21"/>
      <c r="AL42" s="25"/>
    </row>
    <row r="43" spans="1:38" x14ac:dyDescent="0.25">
      <c r="A43" s="5"/>
      <c r="B43" s="9" t="s">
        <v>18</v>
      </c>
      <c r="C43" s="5"/>
      <c r="D43" s="5" t="s">
        <v>17</v>
      </c>
      <c r="F43" s="17">
        <v>17</v>
      </c>
      <c r="G43" s="5"/>
      <c r="H43" s="44" t="s">
        <v>190</v>
      </c>
      <c r="I43" s="17"/>
      <c r="J43" s="66" t="s">
        <v>2</v>
      </c>
      <c r="K43" s="26"/>
      <c r="L43" s="30" t="s">
        <v>24</v>
      </c>
      <c r="N43" s="17">
        <v>13.5</v>
      </c>
      <c r="P43" s="44" t="s">
        <v>190</v>
      </c>
      <c r="Q43" s="20"/>
      <c r="R43" s="66" t="s">
        <v>2</v>
      </c>
      <c r="S43" s="25"/>
      <c r="T43" s="5" t="s">
        <v>111</v>
      </c>
      <c r="V43" s="17">
        <v>7.75</v>
      </c>
      <c r="X43" s="44" t="s">
        <v>190</v>
      </c>
      <c r="Y43" s="20"/>
      <c r="Z43" s="66" t="s">
        <v>2</v>
      </c>
      <c r="AA43" s="21"/>
      <c r="AL43" s="25"/>
    </row>
    <row r="44" spans="1:38" x14ac:dyDescent="0.25">
      <c r="A44" s="5"/>
      <c r="B44" s="9"/>
      <c r="C44" s="5"/>
      <c r="D44" s="5"/>
      <c r="F44" s="5"/>
      <c r="G44" s="5"/>
      <c r="H44" s="16">
        <f>170*17*32.5</f>
        <v>93925</v>
      </c>
      <c r="I44" s="16"/>
      <c r="J44" s="16" t="s">
        <v>2</v>
      </c>
      <c r="K44" s="26"/>
      <c r="L44" s="16"/>
      <c r="P44" s="15">
        <f>380*13.5*32.5</f>
        <v>166725</v>
      </c>
      <c r="Q44" s="15"/>
      <c r="R44" s="16" t="s">
        <v>2</v>
      </c>
      <c r="S44" s="25"/>
      <c r="T44" s="5"/>
      <c r="X44" s="15">
        <f>277*7.75*32.5</f>
        <v>69769.375</v>
      </c>
      <c r="Z44" s="15" t="s">
        <v>2</v>
      </c>
      <c r="AA44" s="21"/>
      <c r="AL44" s="25"/>
    </row>
    <row r="45" spans="1:38" x14ac:dyDescent="0.25">
      <c r="B45" s="14"/>
      <c r="F45" s="5"/>
      <c r="G45" s="5"/>
      <c r="H45" s="5"/>
      <c r="I45" s="5"/>
      <c r="J45" s="5"/>
      <c r="K45" s="26"/>
      <c r="L45" s="5"/>
      <c r="R45" s="5"/>
      <c r="S45" s="25"/>
      <c r="AA45" s="21"/>
      <c r="AL45" s="25"/>
    </row>
    <row r="46" spans="1:38" x14ac:dyDescent="0.25">
      <c r="A46" s="5">
        <v>2001</v>
      </c>
      <c r="B46" s="9" t="s">
        <v>15</v>
      </c>
      <c r="C46" s="5"/>
      <c r="D46" s="5" t="s">
        <v>17</v>
      </c>
      <c r="F46" s="5" t="s">
        <v>31</v>
      </c>
      <c r="G46" s="5"/>
      <c r="K46" s="26"/>
      <c r="L46" s="5" t="s">
        <v>24</v>
      </c>
      <c r="N46" s="5" t="s">
        <v>33</v>
      </c>
      <c r="S46" s="25"/>
      <c r="T46" s="5" t="s">
        <v>111</v>
      </c>
      <c r="V46" s="5" t="s">
        <v>116</v>
      </c>
      <c r="AA46" s="21"/>
      <c r="AL46" s="25"/>
    </row>
    <row r="47" spans="1:38" x14ac:dyDescent="0.25">
      <c r="A47" s="5"/>
      <c r="B47" s="9" t="s">
        <v>18</v>
      </c>
      <c r="C47" s="5"/>
      <c r="D47" s="5" t="s">
        <v>17</v>
      </c>
      <c r="F47" s="17">
        <v>19</v>
      </c>
      <c r="G47" s="5"/>
      <c r="H47" s="44" t="s">
        <v>190</v>
      </c>
      <c r="I47" s="17"/>
      <c r="J47" s="66" t="s">
        <v>2</v>
      </c>
      <c r="K47" s="26"/>
      <c r="L47" s="19" t="s">
        <v>24</v>
      </c>
      <c r="N47" s="17">
        <v>9.6999999999999993</v>
      </c>
      <c r="P47" s="44" t="s">
        <v>190</v>
      </c>
      <c r="Q47" s="20"/>
      <c r="R47" s="66" t="s">
        <v>2</v>
      </c>
      <c r="S47" s="25"/>
      <c r="T47" s="5" t="s">
        <v>111</v>
      </c>
      <c r="V47" s="17">
        <v>8.0500000000000007</v>
      </c>
      <c r="X47" s="44" t="s">
        <v>190</v>
      </c>
      <c r="Y47" s="20"/>
      <c r="Z47" s="66" t="s">
        <v>2</v>
      </c>
      <c r="AA47" s="21"/>
      <c r="AL47" s="25"/>
    </row>
    <row r="48" spans="1:38" x14ac:dyDescent="0.25">
      <c r="F48" s="5"/>
      <c r="G48" s="5"/>
      <c r="H48" s="16">
        <f>90*19*32.5</f>
        <v>55575</v>
      </c>
      <c r="I48" s="16"/>
      <c r="J48" s="16" t="s">
        <v>2</v>
      </c>
      <c r="K48" s="26"/>
      <c r="L48" s="5"/>
      <c r="P48" s="15">
        <f>330*9.7*32.5</f>
        <v>104032.49999999999</v>
      </c>
      <c r="Q48" s="15"/>
      <c r="R48" s="16" t="s">
        <v>2</v>
      </c>
      <c r="S48" s="25"/>
      <c r="X48" s="15">
        <f>242*8.05*32.5</f>
        <v>63313.250000000007</v>
      </c>
      <c r="Z48" s="15" t="s">
        <v>2</v>
      </c>
      <c r="AA48" s="21"/>
      <c r="AL48" s="25"/>
    </row>
    <row r="49" spans="1:41" x14ac:dyDescent="0.25">
      <c r="F49" s="5"/>
      <c r="G49" s="5"/>
      <c r="H49" s="16"/>
      <c r="I49" s="16"/>
      <c r="J49" s="16"/>
      <c r="K49" s="26"/>
      <c r="L49" s="5"/>
      <c r="P49" s="15"/>
      <c r="Q49" s="15"/>
      <c r="R49" s="16"/>
      <c r="S49" s="25"/>
      <c r="AA49" s="21"/>
      <c r="AL49" s="25"/>
    </row>
    <row r="50" spans="1:41" x14ac:dyDescent="0.25">
      <c r="D50" s="7" t="s">
        <v>2</v>
      </c>
      <c r="E50" t="s">
        <v>2</v>
      </c>
      <c r="F50" s="5" t="s">
        <v>65</v>
      </c>
      <c r="G50" s="5"/>
      <c r="H50" s="16"/>
      <c r="I50" s="16"/>
      <c r="J50" s="16"/>
      <c r="K50" s="26"/>
      <c r="L50" s="7" t="s">
        <v>2</v>
      </c>
      <c r="M50" t="s">
        <v>2</v>
      </c>
      <c r="N50" s="5" t="s">
        <v>65</v>
      </c>
      <c r="P50" s="15"/>
      <c r="Q50" s="15"/>
      <c r="R50" s="16"/>
      <c r="S50" s="25"/>
      <c r="V50" s="5" t="s">
        <v>65</v>
      </c>
      <c r="AA50" s="21"/>
      <c r="AL50" s="25"/>
    </row>
    <row r="51" spans="1:41" x14ac:dyDescent="0.25">
      <c r="D51" s="11"/>
      <c r="E51" s="32" t="s">
        <v>76</v>
      </c>
      <c r="F51" s="5"/>
      <c r="G51" s="5"/>
      <c r="H51" s="16"/>
      <c r="I51" s="16"/>
      <c r="J51" s="16"/>
      <c r="K51" s="26"/>
      <c r="L51" s="11"/>
      <c r="M51" s="32" t="s">
        <v>87</v>
      </c>
      <c r="N51" s="5"/>
      <c r="P51" s="15"/>
      <c r="Q51" s="15"/>
      <c r="R51" s="16"/>
      <c r="S51" s="25"/>
      <c r="T51" t="s">
        <v>114</v>
      </c>
      <c r="AA51" s="21"/>
      <c r="AL51" s="25"/>
    </row>
    <row r="52" spans="1:41" x14ac:dyDescent="0.25">
      <c r="D52" t="s">
        <v>77</v>
      </c>
      <c r="F52" s="5"/>
      <c r="G52" s="5"/>
      <c r="H52" s="16"/>
      <c r="I52" s="16"/>
      <c r="J52" s="16"/>
      <c r="K52" s="26"/>
      <c r="L52" s="34" t="s">
        <v>88</v>
      </c>
      <c r="N52" s="5"/>
      <c r="O52" s="5"/>
      <c r="P52" s="16"/>
      <c r="Q52" s="16"/>
      <c r="R52" s="16"/>
      <c r="S52" s="25"/>
      <c r="T52" s="5"/>
      <c r="V52" s="5" t="s">
        <v>107</v>
      </c>
      <c r="AA52" s="21"/>
      <c r="AL52" s="25"/>
    </row>
    <row r="53" spans="1:41" x14ac:dyDescent="0.25">
      <c r="D53" s="34" t="s">
        <v>78</v>
      </c>
      <c r="F53" s="5"/>
      <c r="G53" s="5"/>
      <c r="H53" s="16"/>
      <c r="I53" s="16"/>
      <c r="J53" s="16"/>
      <c r="K53" s="26"/>
      <c r="L53" s="5" t="s">
        <v>89</v>
      </c>
      <c r="P53" s="15"/>
      <c r="Q53" s="15"/>
      <c r="R53" s="16"/>
      <c r="S53" s="25"/>
      <c r="T53" t="s">
        <v>117</v>
      </c>
      <c r="AA53" s="21"/>
      <c r="AL53" s="25"/>
    </row>
    <row r="54" spans="1:41" x14ac:dyDescent="0.25">
      <c r="D54" s="34"/>
      <c r="F54" s="5"/>
      <c r="G54" s="5"/>
      <c r="H54" s="16"/>
      <c r="I54" s="16"/>
      <c r="J54" s="16"/>
      <c r="K54" s="26"/>
      <c r="L54" s="5"/>
      <c r="P54" s="15"/>
      <c r="Q54" s="15"/>
      <c r="R54" s="16"/>
      <c r="S54" s="25"/>
      <c r="T54" t="s">
        <v>120</v>
      </c>
      <c r="AA54" s="21"/>
      <c r="AL54" s="25"/>
    </row>
    <row r="55" spans="1:41" x14ac:dyDescent="0.25">
      <c r="F55" s="5"/>
      <c r="G55" s="5"/>
      <c r="H55" s="16"/>
      <c r="I55" s="16"/>
      <c r="J55" s="16"/>
      <c r="K55" s="26"/>
      <c r="L55" s="5"/>
      <c r="P55" s="15"/>
      <c r="Q55" s="15"/>
      <c r="R55" s="16"/>
      <c r="S55" s="25"/>
      <c r="AA55" s="21"/>
      <c r="AL55" s="25"/>
    </row>
    <row r="56" spans="1:41" x14ac:dyDescent="0.25">
      <c r="A56" s="5">
        <v>2002</v>
      </c>
      <c r="B56" s="9" t="s">
        <v>15</v>
      </c>
      <c r="C56" s="5"/>
      <c r="D56" s="5" t="s">
        <v>17</v>
      </c>
      <c r="F56" s="5" t="s">
        <v>34</v>
      </c>
      <c r="G56" s="5"/>
      <c r="H56" s="5"/>
      <c r="I56" s="5"/>
      <c r="J56" s="5"/>
      <c r="K56" s="26"/>
      <c r="L56" s="5" t="s">
        <v>24</v>
      </c>
      <c r="N56" s="5" t="s">
        <v>37</v>
      </c>
      <c r="R56" s="5"/>
      <c r="S56" s="25"/>
      <c r="T56" s="5" t="s">
        <v>111</v>
      </c>
      <c r="V56" s="5" t="s">
        <v>21</v>
      </c>
      <c r="AA56" s="21"/>
      <c r="AL56" s="25"/>
      <c r="AO56" s="4"/>
    </row>
    <row r="57" spans="1:41" x14ac:dyDescent="0.25">
      <c r="A57" s="5"/>
      <c r="B57" s="9" t="s">
        <v>18</v>
      </c>
      <c r="C57" s="5"/>
      <c r="D57" s="5" t="s">
        <v>17</v>
      </c>
      <c r="F57" s="17">
        <v>13.3</v>
      </c>
      <c r="G57" s="5"/>
      <c r="H57" s="44" t="s">
        <v>190</v>
      </c>
      <c r="I57" s="17"/>
      <c r="J57" s="66" t="s">
        <v>2</v>
      </c>
      <c r="K57" s="26"/>
      <c r="L57" s="19" t="s">
        <v>24</v>
      </c>
      <c r="N57" s="17">
        <v>12.4</v>
      </c>
      <c r="P57" s="44" t="s">
        <v>190</v>
      </c>
      <c r="Q57" s="20"/>
      <c r="R57" s="66" t="s">
        <v>2</v>
      </c>
      <c r="S57" s="25"/>
      <c r="T57" s="5" t="s">
        <v>17</v>
      </c>
      <c r="V57" s="17">
        <v>9.15</v>
      </c>
      <c r="X57" s="44" t="s">
        <v>190</v>
      </c>
      <c r="Y57" s="20"/>
      <c r="Z57" s="66" t="s">
        <v>2</v>
      </c>
      <c r="AA57" s="21"/>
      <c r="AL57" s="25"/>
      <c r="AO57" s="4"/>
    </row>
    <row r="58" spans="1:41" x14ac:dyDescent="0.25">
      <c r="A58" s="5"/>
      <c r="B58" s="9"/>
      <c r="C58" s="5"/>
      <c r="F58" s="5"/>
      <c r="G58" s="5"/>
      <c r="H58" s="16">
        <f>190*13.3*32.5</f>
        <v>82127.5</v>
      </c>
      <c r="I58" s="16"/>
      <c r="J58" s="16" t="s">
        <v>2</v>
      </c>
      <c r="K58" s="26"/>
      <c r="L58" s="16"/>
      <c r="P58" s="15">
        <f>230*12.4*32.5</f>
        <v>92690</v>
      </c>
      <c r="Q58" s="15"/>
      <c r="R58" s="16" t="s">
        <v>2</v>
      </c>
      <c r="S58" s="25"/>
      <c r="X58" s="15">
        <f>215*9.15*32.5</f>
        <v>63935.625</v>
      </c>
      <c r="Y58" s="5"/>
      <c r="Z58" s="15" t="s">
        <v>2</v>
      </c>
      <c r="AA58" s="21"/>
      <c r="AL58" s="25"/>
      <c r="AO58" s="4"/>
    </row>
    <row r="59" spans="1:41" x14ac:dyDescent="0.25">
      <c r="A59" s="5"/>
      <c r="B59" s="9"/>
      <c r="C59" s="5"/>
      <c r="F59" s="5"/>
      <c r="G59" s="5"/>
      <c r="H59" s="5"/>
      <c r="I59" s="5"/>
      <c r="J59" s="5"/>
      <c r="K59" s="26"/>
      <c r="L59" s="5"/>
      <c r="R59" s="5"/>
      <c r="S59" s="25"/>
      <c r="AA59" s="21"/>
      <c r="AL59" s="25"/>
      <c r="AO59" s="4"/>
    </row>
    <row r="60" spans="1:41" x14ac:dyDescent="0.25">
      <c r="A60" s="5">
        <v>2003</v>
      </c>
      <c r="B60" s="9" t="s">
        <v>15</v>
      </c>
      <c r="C60" s="5"/>
      <c r="D60" s="5" t="s">
        <v>17</v>
      </c>
      <c r="F60" s="5" t="s">
        <v>35</v>
      </c>
      <c r="G60" s="5"/>
      <c r="H60" s="5"/>
      <c r="I60" s="5"/>
      <c r="J60" s="5"/>
      <c r="K60" s="26"/>
      <c r="L60" s="5" t="s">
        <v>24</v>
      </c>
      <c r="N60" s="5" t="s">
        <v>38</v>
      </c>
      <c r="R60" s="5"/>
      <c r="S60" s="25"/>
      <c r="T60" s="5" t="s">
        <v>111</v>
      </c>
      <c r="V60" s="5" t="s">
        <v>118</v>
      </c>
      <c r="AA60" s="21"/>
      <c r="AL60" s="25"/>
    </row>
    <row r="61" spans="1:41" x14ac:dyDescent="0.25">
      <c r="A61" s="5"/>
      <c r="B61" s="9" t="s">
        <v>18</v>
      </c>
      <c r="C61" s="5"/>
      <c r="D61" s="5" t="s">
        <v>17</v>
      </c>
      <c r="F61" s="17">
        <v>10.7</v>
      </c>
      <c r="G61" s="5"/>
      <c r="H61" s="44" t="s">
        <v>190</v>
      </c>
      <c r="I61" s="17"/>
      <c r="J61" s="66" t="s">
        <v>2</v>
      </c>
      <c r="K61" s="26"/>
      <c r="L61" s="30" t="s">
        <v>24</v>
      </c>
      <c r="N61" s="17">
        <v>13.3</v>
      </c>
      <c r="P61" s="44" t="s">
        <v>190</v>
      </c>
      <c r="Q61" s="20"/>
      <c r="R61" s="66" t="s">
        <v>2</v>
      </c>
      <c r="S61" s="25"/>
      <c r="T61" s="5" t="s">
        <v>119</v>
      </c>
      <c r="V61" s="17">
        <v>7.05</v>
      </c>
      <c r="X61" s="44" t="s">
        <v>190</v>
      </c>
      <c r="Y61" s="20"/>
      <c r="Z61" s="66" t="s">
        <v>2</v>
      </c>
      <c r="AA61" s="21"/>
      <c r="AL61" s="25"/>
    </row>
    <row r="62" spans="1:41" x14ac:dyDescent="0.25">
      <c r="A62" s="5"/>
      <c r="B62" s="9"/>
      <c r="C62" s="5"/>
      <c r="D62" s="5"/>
      <c r="F62" s="5"/>
      <c r="G62" s="5"/>
      <c r="H62" s="16">
        <f>195*10.7*32.5</f>
        <v>67811.25</v>
      </c>
      <c r="I62" s="16"/>
      <c r="J62" s="16" t="s">
        <v>2</v>
      </c>
      <c r="K62" s="26"/>
      <c r="L62" s="16"/>
      <c r="P62" s="15">
        <f>320*13.3*32.5</f>
        <v>138320</v>
      </c>
      <c r="Q62" s="15"/>
      <c r="R62" s="16" t="s">
        <v>2</v>
      </c>
      <c r="S62" s="25"/>
      <c r="T62" s="5"/>
      <c r="X62" s="15">
        <f>292*7.05*32.5</f>
        <v>66904.5</v>
      </c>
      <c r="Z62" s="15" t="s">
        <v>2</v>
      </c>
      <c r="AA62" s="21"/>
      <c r="AL62" s="25"/>
    </row>
    <row r="63" spans="1:41" x14ac:dyDescent="0.25">
      <c r="A63" s="5"/>
      <c r="B63" s="9"/>
      <c r="C63" s="5"/>
      <c r="F63" s="5"/>
      <c r="G63" s="5"/>
      <c r="H63" s="5"/>
      <c r="I63" s="5"/>
      <c r="J63" s="5"/>
      <c r="K63" s="26"/>
      <c r="L63" s="5"/>
      <c r="R63" s="5"/>
      <c r="S63" s="25"/>
      <c r="AA63" s="21"/>
      <c r="AL63" s="25"/>
    </row>
    <row r="64" spans="1:41" x14ac:dyDescent="0.25">
      <c r="A64" s="5">
        <v>2004</v>
      </c>
      <c r="B64" s="9" t="s">
        <v>15</v>
      </c>
      <c r="C64" s="5"/>
      <c r="D64" s="5" t="s">
        <v>17</v>
      </c>
      <c r="F64" s="5" t="s">
        <v>20</v>
      </c>
      <c r="G64" s="5"/>
      <c r="H64" s="5"/>
      <c r="I64" s="5"/>
      <c r="J64" s="5"/>
      <c r="K64" s="26"/>
      <c r="L64" s="5" t="s">
        <v>24</v>
      </c>
      <c r="N64" s="5" t="s">
        <v>39</v>
      </c>
      <c r="R64" s="5"/>
      <c r="S64" s="25"/>
      <c r="T64" s="5" t="s">
        <v>111</v>
      </c>
      <c r="V64" s="5" t="s">
        <v>21</v>
      </c>
      <c r="AA64" s="21"/>
      <c r="AL64" s="25"/>
    </row>
    <row r="65" spans="1:38" x14ac:dyDescent="0.25">
      <c r="A65" s="5"/>
      <c r="B65" s="9" t="s">
        <v>18</v>
      </c>
      <c r="C65" s="5"/>
      <c r="D65" s="5" t="s">
        <v>17</v>
      </c>
      <c r="F65" s="17">
        <v>11.9</v>
      </c>
      <c r="G65" s="5"/>
      <c r="H65" s="44" t="s">
        <v>190</v>
      </c>
      <c r="I65" s="17"/>
      <c r="J65" s="66" t="s">
        <v>2</v>
      </c>
      <c r="K65" s="26"/>
      <c r="L65" s="19" t="s">
        <v>24</v>
      </c>
      <c r="N65" s="17">
        <v>12.1</v>
      </c>
      <c r="P65" s="44" t="s">
        <v>190</v>
      </c>
      <c r="Q65" s="20"/>
      <c r="R65" s="66" t="s">
        <v>2</v>
      </c>
      <c r="S65" s="25"/>
      <c r="T65" s="5" t="s">
        <v>119</v>
      </c>
      <c r="V65" s="17">
        <v>7.45</v>
      </c>
      <c r="X65" s="44" t="s">
        <v>190</v>
      </c>
      <c r="Y65" s="20"/>
      <c r="Z65" s="66" t="s">
        <v>2</v>
      </c>
      <c r="AA65" s="21"/>
      <c r="AL65" s="25"/>
    </row>
    <row r="66" spans="1:38" x14ac:dyDescent="0.25">
      <c r="A66" s="5"/>
      <c r="B66" s="14"/>
      <c r="F66" s="5"/>
      <c r="G66" s="5"/>
      <c r="H66" s="16">
        <f>210*11.9*32.5</f>
        <v>81217.5</v>
      </c>
      <c r="I66" s="16"/>
      <c r="J66" s="16" t="s">
        <v>2</v>
      </c>
      <c r="K66" s="26"/>
      <c r="L66" s="5"/>
      <c r="P66" s="15">
        <f>400*12.1*32.5</f>
        <v>157300</v>
      </c>
      <c r="Q66" s="15"/>
      <c r="R66" s="16" t="s">
        <v>2</v>
      </c>
      <c r="S66" s="25"/>
      <c r="X66" s="15">
        <f>215*7.45*32.5</f>
        <v>52056.875</v>
      </c>
      <c r="Z66" s="15" t="s">
        <v>2</v>
      </c>
      <c r="AA66" s="21"/>
      <c r="AL66" s="25"/>
    </row>
    <row r="67" spans="1:38" x14ac:dyDescent="0.25">
      <c r="A67" s="5"/>
      <c r="B67" s="14"/>
      <c r="F67" s="5"/>
      <c r="G67" s="5"/>
      <c r="H67" s="16"/>
      <c r="I67" s="16"/>
      <c r="J67" s="16"/>
      <c r="K67" s="26"/>
      <c r="L67" s="5"/>
      <c r="P67" s="15"/>
      <c r="Q67" s="15"/>
      <c r="R67" s="16"/>
      <c r="S67" s="25"/>
      <c r="AA67" s="21"/>
      <c r="AL67" s="25"/>
    </row>
    <row r="68" spans="1:38" x14ac:dyDescent="0.25">
      <c r="A68" s="5"/>
      <c r="B68" s="14"/>
      <c r="D68" s="7" t="s">
        <v>2</v>
      </c>
      <c r="E68" t="s">
        <v>2</v>
      </c>
      <c r="F68" s="5" t="s">
        <v>65</v>
      </c>
      <c r="G68" s="5"/>
      <c r="H68" s="16"/>
      <c r="I68" s="16"/>
      <c r="J68" s="16"/>
      <c r="K68" s="26"/>
      <c r="L68" s="7" t="s">
        <v>2</v>
      </c>
      <c r="M68" t="s">
        <v>2</v>
      </c>
      <c r="N68" s="5" t="s">
        <v>65</v>
      </c>
      <c r="O68" s="5"/>
      <c r="P68" s="16"/>
      <c r="Q68" s="16"/>
      <c r="R68" s="16"/>
      <c r="S68" s="25"/>
      <c r="V68" s="5" t="s">
        <v>65</v>
      </c>
      <c r="AA68" s="21"/>
      <c r="AL68" s="25"/>
    </row>
    <row r="69" spans="1:38" x14ac:dyDescent="0.25">
      <c r="A69" s="5"/>
      <c r="B69" s="14"/>
      <c r="D69" s="11"/>
      <c r="E69" s="32" t="s">
        <v>73</v>
      </c>
      <c r="F69" s="5"/>
      <c r="G69" s="5"/>
      <c r="H69" s="16"/>
      <c r="I69" s="16"/>
      <c r="J69" s="16"/>
      <c r="K69" s="26"/>
      <c r="L69" s="11"/>
      <c r="M69" s="32" t="s">
        <v>81</v>
      </c>
      <c r="N69" s="5"/>
      <c r="O69" s="5"/>
      <c r="P69" s="16"/>
      <c r="Q69" s="16"/>
      <c r="R69" s="16"/>
      <c r="S69" s="25"/>
      <c r="T69" t="s">
        <v>125</v>
      </c>
      <c r="AA69" s="21"/>
      <c r="AL69" s="25"/>
    </row>
    <row r="70" spans="1:38" x14ac:dyDescent="0.25">
      <c r="A70" s="5"/>
      <c r="B70" s="14"/>
      <c r="D70" s="34" t="s">
        <v>74</v>
      </c>
      <c r="F70" s="5"/>
      <c r="G70" s="5"/>
      <c r="H70" s="16"/>
      <c r="I70" s="16"/>
      <c r="J70" s="16"/>
      <c r="K70" s="26"/>
      <c r="L70" s="34" t="s">
        <v>90</v>
      </c>
      <c r="N70" s="5"/>
      <c r="O70" s="5"/>
      <c r="P70" s="16"/>
      <c r="Q70" s="16"/>
      <c r="R70" s="16"/>
      <c r="S70" s="25"/>
      <c r="T70" t="s">
        <v>124</v>
      </c>
      <c r="AA70" s="21"/>
      <c r="AL70" s="25"/>
    </row>
    <row r="71" spans="1:38" x14ac:dyDescent="0.25">
      <c r="A71" s="5"/>
      <c r="B71" s="14"/>
      <c r="D71" t="s">
        <v>75</v>
      </c>
      <c r="F71" s="5"/>
      <c r="G71" s="5"/>
      <c r="H71" s="16"/>
      <c r="I71" s="16"/>
      <c r="J71" s="16"/>
      <c r="K71" s="26"/>
      <c r="L71" t="s">
        <v>91</v>
      </c>
      <c r="N71" s="5"/>
      <c r="O71" s="5"/>
      <c r="P71" s="16"/>
      <c r="Q71" s="16"/>
      <c r="R71" s="16"/>
      <c r="S71" s="25"/>
      <c r="AA71" s="21"/>
      <c r="AL71" s="25"/>
    </row>
    <row r="72" spans="1:38" x14ac:dyDescent="0.25">
      <c r="A72" s="5"/>
      <c r="B72" s="14"/>
      <c r="F72" s="5"/>
      <c r="G72" s="5"/>
      <c r="H72" s="5"/>
      <c r="I72" s="5"/>
      <c r="J72" s="5"/>
      <c r="K72" s="26"/>
      <c r="L72" s="5"/>
      <c r="R72" s="5"/>
      <c r="S72" s="25"/>
      <c r="AA72" s="21"/>
      <c r="AL72" s="25"/>
    </row>
    <row r="73" spans="1:38" x14ac:dyDescent="0.25">
      <c r="A73" s="5">
        <v>2005</v>
      </c>
      <c r="B73" s="9" t="s">
        <v>15</v>
      </c>
      <c r="D73" s="5" t="s">
        <v>17</v>
      </c>
      <c r="F73" s="5" t="s">
        <v>30</v>
      </c>
      <c r="G73" s="5"/>
      <c r="H73" s="5"/>
      <c r="I73" s="5"/>
      <c r="J73" s="5"/>
      <c r="K73" s="26"/>
      <c r="L73" s="5" t="s">
        <v>24</v>
      </c>
      <c r="N73" s="5" t="s">
        <v>29</v>
      </c>
      <c r="R73" s="5"/>
      <c r="S73" s="25"/>
      <c r="T73" s="5" t="s">
        <v>111</v>
      </c>
      <c r="V73" s="5" t="s">
        <v>121</v>
      </c>
      <c r="AA73" s="21"/>
      <c r="AL73" s="25"/>
    </row>
    <row r="74" spans="1:38" x14ac:dyDescent="0.25">
      <c r="A74" s="5"/>
      <c r="B74" s="9" t="s">
        <v>18</v>
      </c>
      <c r="D74" s="5" t="s">
        <v>17</v>
      </c>
      <c r="F74" s="17">
        <v>18.2</v>
      </c>
      <c r="G74" s="5"/>
      <c r="H74" s="44" t="s">
        <v>190</v>
      </c>
      <c r="I74" s="17"/>
      <c r="J74" s="66" t="s">
        <v>2</v>
      </c>
      <c r="K74" s="26"/>
      <c r="L74" s="19" t="s">
        <v>24</v>
      </c>
      <c r="N74" s="17">
        <v>15.2</v>
      </c>
      <c r="P74" s="44" t="s">
        <v>190</v>
      </c>
      <c r="Q74" s="20"/>
      <c r="R74" s="66" t="s">
        <v>2</v>
      </c>
      <c r="S74" s="25"/>
      <c r="T74" s="5" t="s">
        <v>17</v>
      </c>
      <c r="V74" s="17">
        <v>11.4</v>
      </c>
      <c r="X74" s="44" t="s">
        <v>190</v>
      </c>
      <c r="Y74" s="20"/>
      <c r="Z74" s="66" t="s">
        <v>2</v>
      </c>
      <c r="AA74" s="21"/>
      <c r="AL74" s="25"/>
    </row>
    <row r="75" spans="1:38" x14ac:dyDescent="0.25">
      <c r="A75" s="5"/>
      <c r="B75" s="14"/>
      <c r="F75" s="5"/>
      <c r="G75" s="5"/>
      <c r="H75" s="16">
        <f>170*18.2*32.5</f>
        <v>100555</v>
      </c>
      <c r="I75" s="16"/>
      <c r="J75" s="16" t="s">
        <v>2</v>
      </c>
      <c r="K75" s="26"/>
      <c r="L75" s="16"/>
      <c r="P75" s="15">
        <f>280*15.2*32.5</f>
        <v>138320</v>
      </c>
      <c r="Q75" s="15"/>
      <c r="R75" s="16" t="s">
        <v>2</v>
      </c>
      <c r="S75" s="25"/>
      <c r="X75" s="15">
        <f>246*11.4*32.5</f>
        <v>91143</v>
      </c>
      <c r="Y75" s="5"/>
      <c r="Z75" s="15" t="s">
        <v>2</v>
      </c>
      <c r="AA75" s="21"/>
      <c r="AL75" s="25"/>
    </row>
    <row r="76" spans="1:38" x14ac:dyDescent="0.25">
      <c r="B76" s="14"/>
      <c r="F76" s="5"/>
      <c r="G76" s="5"/>
      <c r="H76" s="5"/>
      <c r="I76" s="5"/>
      <c r="J76" s="5"/>
      <c r="K76" s="26"/>
      <c r="L76" s="5"/>
      <c r="R76" s="5"/>
      <c r="S76" s="25"/>
      <c r="AA76" s="21"/>
      <c r="AL76" s="25"/>
    </row>
    <row r="77" spans="1:38" x14ac:dyDescent="0.25">
      <c r="A77" s="5">
        <v>2006</v>
      </c>
      <c r="B77" s="9" t="s">
        <v>15</v>
      </c>
      <c r="D77" s="5" t="s">
        <v>17</v>
      </c>
      <c r="F77" s="5" t="s">
        <v>37</v>
      </c>
      <c r="G77" s="5"/>
      <c r="H77" s="5"/>
      <c r="I77" s="5"/>
      <c r="J77" s="5"/>
      <c r="K77" s="26"/>
      <c r="L77" s="5" t="s">
        <v>24</v>
      </c>
      <c r="N77" s="5" t="s">
        <v>33</v>
      </c>
      <c r="R77" s="5"/>
      <c r="S77" s="25"/>
      <c r="T77" s="5" t="s">
        <v>111</v>
      </c>
      <c r="V77" s="5" t="s">
        <v>122</v>
      </c>
      <c r="AA77" s="21"/>
      <c r="AL77" s="25"/>
    </row>
    <row r="78" spans="1:38" x14ac:dyDescent="0.25">
      <c r="B78" s="9" t="s">
        <v>18</v>
      </c>
      <c r="D78" s="5" t="s">
        <v>17</v>
      </c>
      <c r="F78" s="17">
        <v>20</v>
      </c>
      <c r="G78" s="5"/>
      <c r="H78" s="44" t="s">
        <v>190</v>
      </c>
      <c r="I78" s="17"/>
      <c r="J78" s="44" t="s">
        <v>193</v>
      </c>
      <c r="K78" s="26"/>
      <c r="L78" s="30" t="s">
        <v>24</v>
      </c>
      <c r="N78" s="17">
        <v>19.399999999999999</v>
      </c>
      <c r="P78" s="44" t="s">
        <v>190</v>
      </c>
      <c r="Q78" s="20"/>
      <c r="R78" s="44" t="s">
        <v>195</v>
      </c>
      <c r="S78" s="25"/>
      <c r="T78" s="5" t="s">
        <v>119</v>
      </c>
      <c r="V78" s="17">
        <v>10.4</v>
      </c>
      <c r="X78" s="44" t="s">
        <v>190</v>
      </c>
      <c r="Y78" s="20"/>
      <c r="Z78" s="44" t="s">
        <v>195</v>
      </c>
      <c r="AA78" s="21"/>
      <c r="AL78" s="25"/>
    </row>
    <row r="79" spans="1:38" x14ac:dyDescent="0.25">
      <c r="B79" s="14"/>
      <c r="D79" s="5"/>
      <c r="F79" s="5"/>
      <c r="G79" s="5"/>
      <c r="H79" s="16">
        <f>230*20*32.5</f>
        <v>149500</v>
      </c>
      <c r="I79" s="16"/>
      <c r="J79" s="16">
        <f>230*20*25.5</f>
        <v>117300</v>
      </c>
      <c r="K79" s="26"/>
      <c r="L79" s="16"/>
      <c r="P79" s="15">
        <f>330*19.4*32.5</f>
        <v>208064.99999999997</v>
      </c>
      <c r="Q79" s="15"/>
      <c r="R79" s="16">
        <f>330*19.4*25.5</f>
        <v>163250.99999999997</v>
      </c>
      <c r="S79" s="25"/>
      <c r="T79" s="5"/>
      <c r="X79" s="15">
        <f>253*10.4*32.5</f>
        <v>85514.000000000015</v>
      </c>
      <c r="Z79" s="15">
        <f>253*10.4*25.5</f>
        <v>67095.600000000006</v>
      </c>
      <c r="AA79" s="21"/>
      <c r="AL79" s="25"/>
    </row>
    <row r="80" spans="1:38" x14ac:dyDescent="0.25">
      <c r="B80" s="14"/>
      <c r="F80" s="5"/>
      <c r="G80" s="5"/>
      <c r="H80" s="5"/>
      <c r="I80" s="5"/>
      <c r="J80" s="5"/>
      <c r="K80" s="26"/>
      <c r="L80" s="5"/>
      <c r="R80" s="5"/>
      <c r="S80" s="25"/>
      <c r="AA80" s="21"/>
      <c r="AL80" s="25"/>
    </row>
    <row r="81" spans="1:38" x14ac:dyDescent="0.25">
      <c r="A81" s="5">
        <v>2007</v>
      </c>
      <c r="B81" s="9" t="s">
        <v>15</v>
      </c>
      <c r="D81" s="5" t="s">
        <v>17</v>
      </c>
      <c r="F81" s="5" t="s">
        <v>40</v>
      </c>
      <c r="G81" s="5"/>
      <c r="H81" s="5"/>
      <c r="I81" s="5"/>
      <c r="J81" s="5"/>
      <c r="K81" s="26"/>
      <c r="L81" s="5" t="s">
        <v>24</v>
      </c>
      <c r="N81" s="5" t="s">
        <v>41</v>
      </c>
      <c r="R81" s="5"/>
      <c r="S81" s="25"/>
      <c r="T81" s="5" t="s">
        <v>111</v>
      </c>
      <c r="V81" s="5" t="s">
        <v>123</v>
      </c>
      <c r="AA81" s="21"/>
      <c r="AL81" s="25"/>
    </row>
    <row r="82" spans="1:38" x14ac:dyDescent="0.25">
      <c r="A82" s="5"/>
      <c r="B82" s="9" t="s">
        <v>18</v>
      </c>
      <c r="D82" s="5" t="s">
        <v>17</v>
      </c>
      <c r="F82" s="17">
        <v>14.2</v>
      </c>
      <c r="G82" s="5"/>
      <c r="H82" s="44" t="s">
        <v>190</v>
      </c>
      <c r="I82" s="17"/>
      <c r="J82" s="44" t="s">
        <v>193</v>
      </c>
      <c r="K82" s="26"/>
      <c r="L82" s="19" t="s">
        <v>24</v>
      </c>
      <c r="N82" s="17">
        <v>11.1</v>
      </c>
      <c r="P82" s="44" t="s">
        <v>190</v>
      </c>
      <c r="Q82" s="20"/>
      <c r="R82" s="44" t="s">
        <v>195</v>
      </c>
      <c r="S82" s="25"/>
      <c r="T82" s="5" t="s">
        <v>119</v>
      </c>
      <c r="V82" s="17">
        <v>10.1</v>
      </c>
      <c r="X82" s="44" t="s">
        <v>190</v>
      </c>
      <c r="Y82" s="20"/>
      <c r="Z82" s="44" t="s">
        <v>195</v>
      </c>
      <c r="AA82" s="21"/>
      <c r="AL82" s="25"/>
    </row>
    <row r="83" spans="1:38" x14ac:dyDescent="0.25">
      <c r="A83" s="5"/>
      <c r="B83" s="14"/>
      <c r="F83" s="5"/>
      <c r="G83" s="5"/>
      <c r="H83" s="16">
        <f>270*14.2*32.5</f>
        <v>124605</v>
      </c>
      <c r="I83" s="16"/>
      <c r="J83" s="16">
        <f>270*14.2*25.5</f>
        <v>97767</v>
      </c>
      <c r="K83" s="26"/>
      <c r="L83" s="5"/>
      <c r="P83" s="15">
        <f>360*11.1*32.5</f>
        <v>129870</v>
      </c>
      <c r="Q83" s="15"/>
      <c r="R83" s="16">
        <f>360*11.1*25.5</f>
        <v>101898</v>
      </c>
      <c r="S83" s="25"/>
      <c r="X83" s="15">
        <f>209*10.1*32.5</f>
        <v>68604.25</v>
      </c>
      <c r="Z83" s="15">
        <f>209*10.1*25.5</f>
        <v>53827.950000000004</v>
      </c>
      <c r="AA83" s="21"/>
      <c r="AL83" s="25"/>
    </row>
    <row r="84" spans="1:38" x14ac:dyDescent="0.25">
      <c r="A84" s="5"/>
      <c r="B84" s="14"/>
      <c r="F84" s="5"/>
      <c r="G84" s="5"/>
      <c r="H84" s="16"/>
      <c r="I84" s="16"/>
      <c r="J84" s="16"/>
      <c r="K84" s="26"/>
      <c r="L84" s="5"/>
      <c r="P84" s="15"/>
      <c r="Q84" s="15"/>
      <c r="R84" s="16"/>
      <c r="S84" s="25"/>
      <c r="AA84" s="21"/>
      <c r="AL84" s="25"/>
    </row>
    <row r="85" spans="1:38" x14ac:dyDescent="0.25">
      <c r="A85" s="5"/>
      <c r="B85" s="14"/>
      <c r="D85" s="7" t="s">
        <v>2</v>
      </c>
      <c r="E85" t="s">
        <v>2</v>
      </c>
      <c r="F85" s="5" t="s">
        <v>65</v>
      </c>
      <c r="G85" s="5"/>
      <c r="H85" s="16"/>
      <c r="I85" s="16"/>
      <c r="J85" s="16"/>
      <c r="K85" s="26"/>
      <c r="L85" s="7" t="s">
        <v>2</v>
      </c>
      <c r="M85" t="s">
        <v>2</v>
      </c>
      <c r="N85" s="5" t="s">
        <v>65</v>
      </c>
      <c r="O85" s="5"/>
      <c r="P85" s="16"/>
      <c r="Q85" s="16"/>
      <c r="R85" s="16"/>
      <c r="S85" s="25"/>
      <c r="V85" s="5" t="s">
        <v>65</v>
      </c>
      <c r="AA85" s="21"/>
      <c r="AL85" s="25"/>
    </row>
    <row r="86" spans="1:38" x14ac:dyDescent="0.25">
      <c r="A86" s="5"/>
      <c r="B86" s="14"/>
      <c r="D86" s="11"/>
      <c r="E86" s="32" t="s">
        <v>68</v>
      </c>
      <c r="F86" s="5"/>
      <c r="G86" s="5"/>
      <c r="H86" s="16"/>
      <c r="I86" s="16"/>
      <c r="J86" s="16"/>
      <c r="K86" s="26"/>
      <c r="L86" s="11"/>
      <c r="M86" s="32" t="s">
        <v>76</v>
      </c>
      <c r="N86" s="5"/>
      <c r="O86" s="5"/>
      <c r="P86" s="16"/>
      <c r="Q86" s="16"/>
      <c r="R86" s="16"/>
      <c r="S86" s="25"/>
      <c r="T86" t="s">
        <v>129</v>
      </c>
      <c r="AA86" s="21"/>
      <c r="AL86" s="25"/>
    </row>
    <row r="87" spans="1:38" x14ac:dyDescent="0.25">
      <c r="A87" s="5"/>
      <c r="B87" s="14"/>
      <c r="D87" s="34" t="s">
        <v>69</v>
      </c>
      <c r="F87" s="5"/>
      <c r="G87" s="5"/>
      <c r="H87" s="16"/>
      <c r="I87" s="16"/>
      <c r="J87" s="16"/>
      <c r="K87" s="26"/>
      <c r="L87" s="34" t="s">
        <v>92</v>
      </c>
      <c r="N87" s="5"/>
      <c r="O87" s="5"/>
      <c r="P87" s="16"/>
      <c r="Q87" s="16"/>
      <c r="R87" s="16"/>
      <c r="S87" s="25"/>
      <c r="T87" t="s">
        <v>128</v>
      </c>
      <c r="AA87" s="21"/>
      <c r="AL87" s="25"/>
    </row>
    <row r="88" spans="1:38" x14ac:dyDescent="0.25">
      <c r="A88" s="5"/>
      <c r="B88" s="14"/>
      <c r="D88" t="s">
        <v>70</v>
      </c>
      <c r="F88" s="5"/>
      <c r="G88" s="5"/>
      <c r="H88" s="16"/>
      <c r="I88" s="16"/>
      <c r="J88" s="16"/>
      <c r="K88" s="26"/>
      <c r="L88" t="s">
        <v>93</v>
      </c>
      <c r="N88" s="5"/>
      <c r="O88" s="5"/>
      <c r="P88" s="16"/>
      <c r="Q88" s="16"/>
      <c r="R88" s="16"/>
      <c r="S88" s="25"/>
      <c r="T88" t="s">
        <v>127</v>
      </c>
      <c r="AA88" s="21"/>
      <c r="AL88" s="25"/>
    </row>
    <row r="89" spans="1:38" x14ac:dyDescent="0.25">
      <c r="B89" s="14"/>
      <c r="F89" s="5"/>
      <c r="G89" s="5"/>
      <c r="H89" s="5"/>
      <c r="I89" s="5"/>
      <c r="J89" s="5"/>
      <c r="K89" s="26"/>
      <c r="L89" s="5"/>
      <c r="R89" s="5"/>
      <c r="S89" s="25"/>
      <c r="AA89" s="21"/>
      <c r="AL89" s="25"/>
    </row>
    <row r="90" spans="1:38" x14ac:dyDescent="0.25">
      <c r="A90" s="5">
        <v>2008</v>
      </c>
      <c r="B90" s="9" t="s">
        <v>15</v>
      </c>
      <c r="D90" s="5" t="s">
        <v>17</v>
      </c>
      <c r="F90" s="5" t="s">
        <v>25</v>
      </c>
      <c r="G90" s="5"/>
      <c r="H90" s="5"/>
      <c r="I90" s="5"/>
      <c r="J90" s="5"/>
      <c r="K90" s="26"/>
      <c r="L90" s="5" t="s">
        <v>24</v>
      </c>
      <c r="N90" s="5" t="s">
        <v>43</v>
      </c>
      <c r="R90" s="5"/>
      <c r="S90" s="25"/>
      <c r="T90" s="5" t="s">
        <v>126</v>
      </c>
      <c r="V90" s="5" t="s">
        <v>130</v>
      </c>
      <c r="AA90" s="21"/>
      <c r="AL90" s="25"/>
    </row>
    <row r="91" spans="1:38" x14ac:dyDescent="0.25">
      <c r="A91" s="5"/>
      <c r="B91" s="9" t="s">
        <v>18</v>
      </c>
      <c r="D91" s="5" t="s">
        <v>17</v>
      </c>
      <c r="F91" s="17">
        <v>14.7</v>
      </c>
      <c r="G91" s="5"/>
      <c r="H91" s="44" t="s">
        <v>190</v>
      </c>
      <c r="I91" s="17"/>
      <c r="J91" s="44" t="s">
        <v>193</v>
      </c>
      <c r="K91" s="26"/>
      <c r="L91" s="19" t="s">
        <v>24</v>
      </c>
      <c r="N91" s="17">
        <v>16.8</v>
      </c>
      <c r="P91" s="44" t="s">
        <v>190</v>
      </c>
      <c r="Q91" s="20"/>
      <c r="R91" s="44" t="s">
        <v>195</v>
      </c>
      <c r="S91" s="25"/>
      <c r="T91" s="5" t="s">
        <v>17</v>
      </c>
      <c r="V91" s="17">
        <v>13.3</v>
      </c>
      <c r="X91" s="44" t="s">
        <v>190</v>
      </c>
      <c r="Y91" s="20"/>
      <c r="Z91" s="44" t="s">
        <v>195</v>
      </c>
      <c r="AA91" s="21"/>
      <c r="AL91" s="25"/>
    </row>
    <row r="92" spans="1:38" x14ac:dyDescent="0.25">
      <c r="A92" s="5"/>
      <c r="B92" s="14"/>
      <c r="F92" s="5"/>
      <c r="G92" s="5"/>
      <c r="H92" s="16">
        <f>240*14.7*32.5</f>
        <v>114660</v>
      </c>
      <c r="I92" s="16"/>
      <c r="J92" s="16">
        <f>240*14.7*25.5</f>
        <v>89964</v>
      </c>
      <c r="K92" s="26"/>
      <c r="L92" s="16"/>
      <c r="P92" s="15">
        <f>410*16.8*32.5</f>
        <v>223860</v>
      </c>
      <c r="Q92" s="15"/>
      <c r="R92" s="16">
        <f>410*16.8*25.5</f>
        <v>175644</v>
      </c>
      <c r="S92" s="25"/>
      <c r="X92" s="15">
        <f>216*13.3*32.5</f>
        <v>93366</v>
      </c>
      <c r="Y92" s="5"/>
      <c r="Z92" s="15">
        <f>216*13.3*25.5</f>
        <v>73256.400000000009</v>
      </c>
      <c r="AA92" s="21"/>
      <c r="AL92" s="25"/>
    </row>
    <row r="93" spans="1:38" x14ac:dyDescent="0.25">
      <c r="B93" s="14"/>
      <c r="F93" s="5"/>
      <c r="G93" s="5"/>
      <c r="H93" s="5"/>
      <c r="I93" s="5"/>
      <c r="J93" s="5"/>
      <c r="K93" s="26"/>
      <c r="L93" s="5"/>
      <c r="R93" s="5"/>
      <c r="S93" s="25"/>
      <c r="AA93" s="21"/>
      <c r="AL93" s="25"/>
    </row>
    <row r="94" spans="1:38" x14ac:dyDescent="0.25">
      <c r="A94" s="5">
        <v>2009</v>
      </c>
      <c r="B94" s="9" t="s">
        <v>15</v>
      </c>
      <c r="D94" s="5" t="s">
        <v>17</v>
      </c>
      <c r="F94" s="5" t="s">
        <v>42</v>
      </c>
      <c r="G94" s="5"/>
      <c r="H94" s="5"/>
      <c r="I94" s="5"/>
      <c r="J94" s="5"/>
      <c r="K94" s="26"/>
      <c r="L94" s="5" t="s">
        <v>24</v>
      </c>
      <c r="N94" s="5" t="s">
        <v>44</v>
      </c>
      <c r="R94" s="5"/>
      <c r="S94" s="25"/>
      <c r="T94" s="5" t="s">
        <v>126</v>
      </c>
      <c r="V94" s="5" t="s">
        <v>131</v>
      </c>
      <c r="AA94" s="21"/>
      <c r="AL94" s="25"/>
    </row>
    <row r="95" spans="1:38" x14ac:dyDescent="0.25">
      <c r="A95" s="5"/>
      <c r="B95" s="9" t="s">
        <v>18</v>
      </c>
      <c r="D95" s="5" t="s">
        <v>17</v>
      </c>
      <c r="F95" s="17">
        <v>18.899999999999999</v>
      </c>
      <c r="G95" s="5"/>
      <c r="H95" s="44" t="s">
        <v>190</v>
      </c>
      <c r="I95" s="17"/>
      <c r="J95" s="44" t="s">
        <v>193</v>
      </c>
      <c r="K95" s="26"/>
      <c r="L95" s="30" t="s">
        <v>24</v>
      </c>
      <c r="N95" s="17">
        <v>18.600000000000001</v>
      </c>
      <c r="P95" s="44" t="s">
        <v>190</v>
      </c>
      <c r="Q95" s="20"/>
      <c r="R95" s="44" t="s">
        <v>195</v>
      </c>
      <c r="S95" s="25"/>
      <c r="T95" s="5" t="s">
        <v>119</v>
      </c>
      <c r="V95" s="17">
        <v>12.7</v>
      </c>
      <c r="X95" s="44" t="s">
        <v>190</v>
      </c>
      <c r="Y95" s="20"/>
      <c r="Z95" s="44" t="s">
        <v>195</v>
      </c>
      <c r="AA95" s="21"/>
      <c r="AL95" s="25"/>
    </row>
    <row r="96" spans="1:38" x14ac:dyDescent="0.25">
      <c r="A96" s="5"/>
      <c r="B96" s="14"/>
      <c r="D96" s="5"/>
      <c r="F96" s="5"/>
      <c r="G96" s="5"/>
      <c r="H96" s="16">
        <f>220*18.9*32.5</f>
        <v>135135</v>
      </c>
      <c r="I96" s="16"/>
      <c r="J96" s="16">
        <f>220*18.9*25.5</f>
        <v>106029</v>
      </c>
      <c r="K96" s="26"/>
      <c r="L96" s="16"/>
      <c r="P96" s="15">
        <f>415*18.6*32.5</f>
        <v>250867.50000000003</v>
      </c>
      <c r="Q96" s="15"/>
      <c r="R96" s="16">
        <f>415*18.6*25.5</f>
        <v>196834.50000000003</v>
      </c>
      <c r="S96" s="25"/>
      <c r="T96" s="5"/>
      <c r="X96" s="15">
        <f>294*12.7*32.5</f>
        <v>121348.49999999999</v>
      </c>
      <c r="Z96" s="15">
        <f>294*12.7*25.5</f>
        <v>95211.9</v>
      </c>
      <c r="AA96" s="21"/>
      <c r="AL96" s="25"/>
    </row>
    <row r="97" spans="1:38" x14ac:dyDescent="0.25">
      <c r="B97" s="14"/>
      <c r="F97" s="5"/>
      <c r="G97" s="5"/>
      <c r="H97" s="5"/>
      <c r="I97" s="5"/>
      <c r="J97" s="5"/>
      <c r="K97" s="26"/>
      <c r="L97" s="5"/>
      <c r="R97" s="5"/>
      <c r="S97" s="25"/>
      <c r="AA97" s="21"/>
      <c r="AL97" s="25"/>
    </row>
    <row r="98" spans="1:38" x14ac:dyDescent="0.25">
      <c r="A98" s="5">
        <v>2010</v>
      </c>
      <c r="B98" s="9" t="s">
        <v>15</v>
      </c>
      <c r="D98" s="5" t="s">
        <v>17</v>
      </c>
      <c r="F98" s="5" t="s">
        <v>33</v>
      </c>
      <c r="G98" s="5"/>
      <c r="H98" s="5"/>
      <c r="I98" s="5"/>
      <c r="J98" s="5"/>
      <c r="K98" s="26"/>
      <c r="L98" s="5" t="s">
        <v>24</v>
      </c>
      <c r="N98" s="5" t="s">
        <v>45</v>
      </c>
      <c r="R98" s="5"/>
      <c r="S98" s="25"/>
      <c r="T98" s="5" t="s">
        <v>126</v>
      </c>
      <c r="V98" s="5" t="s">
        <v>132</v>
      </c>
      <c r="AA98" s="21"/>
      <c r="AL98" s="25"/>
    </row>
    <row r="99" spans="1:38" x14ac:dyDescent="0.25">
      <c r="A99" s="5"/>
      <c r="B99" s="9" t="s">
        <v>18</v>
      </c>
      <c r="D99" s="5" t="s">
        <v>17</v>
      </c>
      <c r="F99" s="17">
        <v>15</v>
      </c>
      <c r="G99" s="5"/>
      <c r="H99" s="44" t="s">
        <v>190</v>
      </c>
      <c r="I99" s="17"/>
      <c r="J99" s="44" t="s">
        <v>193</v>
      </c>
      <c r="K99" s="26"/>
      <c r="L99" s="19" t="s">
        <v>24</v>
      </c>
      <c r="N99" s="17">
        <v>19.7</v>
      </c>
      <c r="P99" s="44" t="s">
        <v>190</v>
      </c>
      <c r="Q99" s="20"/>
      <c r="R99" s="44" t="s">
        <v>195</v>
      </c>
      <c r="S99" s="25"/>
      <c r="T99" s="5" t="s">
        <v>119</v>
      </c>
      <c r="V99" s="17">
        <v>12.1</v>
      </c>
      <c r="X99" s="44" t="s">
        <v>190</v>
      </c>
      <c r="Y99" s="20"/>
      <c r="Z99" s="44" t="s">
        <v>195</v>
      </c>
      <c r="AA99" s="21"/>
      <c r="AL99" s="25"/>
    </row>
    <row r="100" spans="1:38" x14ac:dyDescent="0.25">
      <c r="A100" s="5"/>
      <c r="B100" s="14"/>
      <c r="F100" s="5"/>
      <c r="G100" s="5"/>
      <c r="H100" s="16">
        <f>330*15*32.5</f>
        <v>160875</v>
      </c>
      <c r="I100" s="16"/>
      <c r="J100" s="16">
        <f>330*15*25.5</f>
        <v>126225</v>
      </c>
      <c r="K100" s="26"/>
      <c r="L100" s="5"/>
      <c r="P100" s="15">
        <f>315*19.7*32.5</f>
        <v>201678.75</v>
      </c>
      <c r="Q100" s="15"/>
      <c r="R100" s="16">
        <f>315*19.7*25.5</f>
        <v>158240.25</v>
      </c>
      <c r="S100" s="25"/>
      <c r="X100" s="15">
        <f>284*12.1*32.5</f>
        <v>111683</v>
      </c>
      <c r="Z100" s="15">
        <f>284*12.1*25.5</f>
        <v>87628.2</v>
      </c>
      <c r="AA100" s="21"/>
      <c r="AL100" s="25"/>
    </row>
    <row r="101" spans="1:38" x14ac:dyDescent="0.25">
      <c r="A101" s="5"/>
      <c r="B101" s="14"/>
      <c r="F101" s="5"/>
      <c r="G101" s="5"/>
      <c r="H101" s="16"/>
      <c r="I101" s="16"/>
      <c r="J101" s="16"/>
      <c r="K101" s="26"/>
      <c r="L101" s="5"/>
      <c r="P101" s="15"/>
      <c r="Q101" s="15"/>
      <c r="R101" s="16"/>
      <c r="S101" s="25"/>
      <c r="AA101" s="21"/>
      <c r="AL101" s="25"/>
    </row>
    <row r="102" spans="1:38" x14ac:dyDescent="0.25">
      <c r="A102" s="5"/>
      <c r="B102" s="14"/>
      <c r="E102" s="7" t="s">
        <v>64</v>
      </c>
      <c r="F102" t="s">
        <v>65</v>
      </c>
      <c r="G102" s="5"/>
      <c r="H102" s="5"/>
      <c r="I102" s="16"/>
      <c r="K102" s="26"/>
      <c r="L102" s="7" t="s">
        <v>2</v>
      </c>
      <c r="M102" t="s">
        <v>2</v>
      </c>
      <c r="N102" s="5" t="s">
        <v>65</v>
      </c>
      <c r="O102" s="5"/>
      <c r="P102" s="16"/>
      <c r="Q102" s="16"/>
      <c r="R102" s="16"/>
      <c r="S102" s="25"/>
      <c r="V102" s="5" t="s">
        <v>65</v>
      </c>
      <c r="AA102" s="21"/>
      <c r="AL102" s="25"/>
    </row>
    <row r="103" spans="1:38" x14ac:dyDescent="0.25">
      <c r="A103" s="5"/>
      <c r="B103" s="14"/>
      <c r="E103" s="11"/>
      <c r="F103" s="32" t="s">
        <v>27</v>
      </c>
      <c r="G103" s="5"/>
      <c r="H103" s="5"/>
      <c r="I103" s="16"/>
      <c r="K103" s="26"/>
      <c r="L103" s="11"/>
      <c r="M103" s="32" t="s">
        <v>73</v>
      </c>
      <c r="N103" s="5"/>
      <c r="O103" s="5"/>
      <c r="P103" s="16"/>
      <c r="Q103" s="16"/>
      <c r="R103" s="16"/>
      <c r="S103" s="25"/>
      <c r="T103" t="s">
        <v>136</v>
      </c>
      <c r="AA103" s="21"/>
      <c r="AL103" s="25"/>
    </row>
    <row r="104" spans="1:38" x14ac:dyDescent="0.25">
      <c r="A104" s="5"/>
      <c r="B104" s="14"/>
      <c r="D104" s="34" t="s">
        <v>71</v>
      </c>
      <c r="G104" s="5"/>
      <c r="H104" s="5"/>
      <c r="I104" s="16"/>
      <c r="K104" s="26"/>
      <c r="L104" s="34" t="s">
        <v>94</v>
      </c>
      <c r="N104" s="5"/>
      <c r="O104" s="5"/>
      <c r="P104" s="16"/>
      <c r="Q104" s="16"/>
      <c r="R104" s="16"/>
      <c r="S104" s="25"/>
      <c r="T104" t="s">
        <v>137</v>
      </c>
      <c r="AA104" s="21"/>
      <c r="AL104" s="25"/>
    </row>
    <row r="105" spans="1:38" x14ac:dyDescent="0.25">
      <c r="A105" s="5"/>
      <c r="B105" s="14"/>
      <c r="D105" t="s">
        <v>72</v>
      </c>
      <c r="E105" t="s">
        <v>2</v>
      </c>
      <c r="F105" t="s">
        <v>63</v>
      </c>
      <c r="G105" s="5"/>
      <c r="H105" s="5"/>
      <c r="I105" s="16"/>
      <c r="K105" s="26"/>
      <c r="L105" t="s">
        <v>95</v>
      </c>
      <c r="N105" s="5"/>
      <c r="O105" s="5"/>
      <c r="P105" s="16"/>
      <c r="Q105" s="16"/>
      <c r="R105" s="16"/>
      <c r="S105" s="25"/>
      <c r="T105" t="s">
        <v>138</v>
      </c>
      <c r="AA105" s="21"/>
      <c r="AL105" s="25"/>
    </row>
    <row r="106" spans="1:38" x14ac:dyDescent="0.25">
      <c r="A106" s="5"/>
      <c r="B106" s="14"/>
      <c r="F106" s="5"/>
      <c r="G106" s="5"/>
      <c r="H106" s="16"/>
      <c r="I106" s="16"/>
      <c r="J106" s="16"/>
      <c r="K106" s="26"/>
      <c r="L106" s="5"/>
      <c r="P106" s="15"/>
      <c r="Q106" s="15"/>
      <c r="R106" s="16"/>
      <c r="S106" s="25"/>
      <c r="AA106" s="21"/>
      <c r="AL106" s="25"/>
    </row>
    <row r="107" spans="1:38" x14ac:dyDescent="0.25">
      <c r="A107" s="5">
        <v>2011</v>
      </c>
      <c r="B107" s="9" t="s">
        <v>15</v>
      </c>
      <c r="D107" s="5" t="s">
        <v>17</v>
      </c>
      <c r="F107" s="5" t="s">
        <v>46</v>
      </c>
      <c r="G107" s="5"/>
      <c r="H107" s="16"/>
      <c r="I107" s="16"/>
      <c r="J107" s="16"/>
      <c r="K107" s="26"/>
      <c r="L107" s="5" t="s">
        <v>24</v>
      </c>
      <c r="N107" s="5" t="s">
        <v>49</v>
      </c>
      <c r="P107" s="15"/>
      <c r="Q107" s="15"/>
      <c r="R107" s="16"/>
      <c r="S107" s="25"/>
      <c r="T107" s="5" t="s">
        <v>126</v>
      </c>
      <c r="V107" s="5" t="s">
        <v>133</v>
      </c>
      <c r="X107" s="44" t="s">
        <v>190</v>
      </c>
      <c r="Y107" s="20"/>
      <c r="Z107" s="44" t="s">
        <v>195</v>
      </c>
      <c r="AA107" s="21"/>
      <c r="AL107" s="25"/>
    </row>
    <row r="108" spans="1:38" x14ac:dyDescent="0.25">
      <c r="B108" s="9" t="s">
        <v>18</v>
      </c>
      <c r="D108" s="5" t="s">
        <v>17</v>
      </c>
      <c r="F108" s="17">
        <v>20.6</v>
      </c>
      <c r="G108" s="5"/>
      <c r="H108" s="44" t="s">
        <v>190</v>
      </c>
      <c r="I108" s="17"/>
      <c r="J108" s="44" t="s">
        <v>193</v>
      </c>
      <c r="K108" s="26"/>
      <c r="L108" s="19" t="s">
        <v>24</v>
      </c>
      <c r="N108" s="17">
        <v>16.8</v>
      </c>
      <c r="P108" s="44" t="s">
        <v>190</v>
      </c>
      <c r="Q108" s="20"/>
      <c r="R108" s="44" t="s">
        <v>195</v>
      </c>
      <c r="S108" s="25"/>
      <c r="T108" s="5" t="s">
        <v>17</v>
      </c>
      <c r="V108" s="17">
        <v>12.1</v>
      </c>
      <c r="X108" s="15">
        <f>286*12.1*32.5</f>
        <v>112469.5</v>
      </c>
      <c r="Y108" s="5"/>
      <c r="Z108" s="15">
        <f>286*12.1*25.5</f>
        <v>88245.3</v>
      </c>
      <c r="AA108" s="21"/>
      <c r="AL108" s="25"/>
    </row>
    <row r="109" spans="1:38" x14ac:dyDescent="0.25">
      <c r="B109" s="14"/>
      <c r="F109" s="5"/>
      <c r="G109" s="5"/>
      <c r="H109" s="16">
        <f>155*20.6*32.5</f>
        <v>103772.5</v>
      </c>
      <c r="I109" s="16"/>
      <c r="J109" s="16">
        <f>155*20.6*25.5</f>
        <v>81421.5</v>
      </c>
      <c r="K109" s="26"/>
      <c r="L109" s="16"/>
      <c r="P109" s="15">
        <f>305*16.8*32.5</f>
        <v>166530</v>
      </c>
      <c r="Q109" s="15"/>
      <c r="R109" s="16">
        <f>305*16.8*25.5</f>
        <v>130662</v>
      </c>
      <c r="S109" s="25"/>
      <c r="AA109" s="21"/>
      <c r="AL109" s="25"/>
    </row>
    <row r="110" spans="1:38" x14ac:dyDescent="0.25">
      <c r="B110" s="14"/>
      <c r="F110" s="5"/>
      <c r="G110" s="5"/>
      <c r="H110" s="5"/>
      <c r="I110" s="5"/>
      <c r="J110" s="5"/>
      <c r="K110" s="26"/>
      <c r="L110" s="5"/>
      <c r="M110" s="5"/>
      <c r="O110" s="5"/>
      <c r="P110" s="5"/>
      <c r="Q110" s="5"/>
      <c r="R110" s="5"/>
      <c r="S110" s="26"/>
      <c r="V110" s="5"/>
      <c r="W110" s="5"/>
      <c r="AA110" s="21"/>
      <c r="AL110" s="26"/>
    </row>
    <row r="111" spans="1:38" x14ac:dyDescent="0.25">
      <c r="A111" s="5">
        <v>2012</v>
      </c>
      <c r="B111" s="9" t="s">
        <v>15</v>
      </c>
      <c r="D111" s="5" t="s">
        <v>17</v>
      </c>
      <c r="F111" s="5" t="s">
        <v>47</v>
      </c>
      <c r="G111" s="5"/>
      <c r="H111" s="5"/>
      <c r="I111" s="5"/>
      <c r="J111" s="5"/>
      <c r="K111" s="26"/>
      <c r="L111" s="5" t="s">
        <v>24</v>
      </c>
      <c r="N111" s="5" t="s">
        <v>50</v>
      </c>
      <c r="R111" s="5"/>
      <c r="S111" s="25"/>
      <c r="T111" s="5" t="s">
        <v>126</v>
      </c>
      <c r="V111" s="5" t="s">
        <v>134</v>
      </c>
      <c r="X111" s="44" t="s">
        <v>190</v>
      </c>
      <c r="Y111" s="20"/>
      <c r="Z111" s="44" t="s">
        <v>195</v>
      </c>
      <c r="AA111" s="21"/>
      <c r="AL111" s="25"/>
    </row>
    <row r="112" spans="1:38" x14ac:dyDescent="0.25">
      <c r="A112" s="5"/>
      <c r="B112" s="9" t="s">
        <v>18</v>
      </c>
      <c r="D112" s="5" t="s">
        <v>17</v>
      </c>
      <c r="F112" s="17">
        <v>28.3</v>
      </c>
      <c r="G112" s="5"/>
      <c r="H112" s="44" t="s">
        <v>190</v>
      </c>
      <c r="I112" s="17"/>
      <c r="J112" s="44" t="s">
        <v>193</v>
      </c>
      <c r="K112" s="26"/>
      <c r="L112" s="30" t="s">
        <v>24</v>
      </c>
      <c r="N112" s="17">
        <v>16.899999999999999</v>
      </c>
      <c r="P112" s="44" t="s">
        <v>190</v>
      </c>
      <c r="Q112" s="20"/>
      <c r="R112" s="44" t="s">
        <v>195</v>
      </c>
      <c r="S112" s="25"/>
      <c r="T112" s="5" t="s">
        <v>119</v>
      </c>
      <c r="V112" s="17">
        <v>16.2</v>
      </c>
      <c r="X112" s="15">
        <f>233*16.2*32.5</f>
        <v>122674.5</v>
      </c>
      <c r="Z112" s="15">
        <f>233*16.2*25.5</f>
        <v>96252.3</v>
      </c>
      <c r="AA112" s="21"/>
      <c r="AL112" s="25"/>
    </row>
    <row r="113" spans="1:38" x14ac:dyDescent="0.25">
      <c r="A113" s="5"/>
      <c r="B113" s="14"/>
      <c r="D113" s="5"/>
      <c r="F113" s="5"/>
      <c r="G113" s="5"/>
      <c r="H113" s="16">
        <f>176*28.3*32.5</f>
        <v>161876</v>
      </c>
      <c r="I113" s="16"/>
      <c r="J113" s="16">
        <f>176*28.3*25.5</f>
        <v>127010.40000000001</v>
      </c>
      <c r="K113" s="26"/>
      <c r="L113" s="16"/>
      <c r="P113" s="15">
        <f>310*16.9*32.5</f>
        <v>170267.5</v>
      </c>
      <c r="Q113" s="15"/>
      <c r="R113" s="16">
        <f>310*16.9*25.5</f>
        <v>133594.5</v>
      </c>
      <c r="S113" s="25"/>
      <c r="T113" s="5"/>
      <c r="AA113" s="21"/>
      <c r="AL113" s="25"/>
    </row>
    <row r="114" spans="1:38" x14ac:dyDescent="0.25">
      <c r="B114" s="14"/>
      <c r="F114" s="5"/>
      <c r="G114" s="5"/>
      <c r="H114" s="5"/>
      <c r="I114" s="5"/>
      <c r="J114" s="5"/>
      <c r="K114" s="26"/>
      <c r="L114" s="5"/>
      <c r="R114" s="5"/>
      <c r="S114" s="25"/>
      <c r="AA114" s="21"/>
      <c r="AL114" s="25"/>
    </row>
    <row r="115" spans="1:38" x14ac:dyDescent="0.25">
      <c r="A115" s="5">
        <v>2013</v>
      </c>
      <c r="B115" s="9" t="s">
        <v>15</v>
      </c>
      <c r="D115" s="5" t="s">
        <v>17</v>
      </c>
      <c r="F115" s="5" t="s">
        <v>48</v>
      </c>
      <c r="G115" s="5"/>
      <c r="H115" s="5"/>
      <c r="I115" s="5"/>
      <c r="J115" s="5"/>
      <c r="K115" s="26"/>
      <c r="L115" s="5" t="s">
        <v>24</v>
      </c>
      <c r="N115" s="5" t="s">
        <v>50</v>
      </c>
      <c r="R115" s="5"/>
      <c r="S115" s="25"/>
      <c r="T115" s="5" t="s">
        <v>119</v>
      </c>
      <c r="V115" s="5" t="s">
        <v>135</v>
      </c>
      <c r="X115" s="44" t="s">
        <v>190</v>
      </c>
      <c r="Y115" s="20"/>
      <c r="Z115" s="66" t="s">
        <v>2</v>
      </c>
      <c r="AA115" s="21"/>
      <c r="AL115" s="25"/>
    </row>
    <row r="116" spans="1:38" x14ac:dyDescent="0.25">
      <c r="A116" s="5"/>
      <c r="B116" s="9" t="s">
        <v>18</v>
      </c>
      <c r="D116" s="5" t="s">
        <v>17</v>
      </c>
      <c r="F116" s="17">
        <v>16.399999999999999</v>
      </c>
      <c r="G116" s="5"/>
      <c r="H116" s="44" t="s">
        <v>190</v>
      </c>
      <c r="I116" s="17"/>
      <c r="J116" s="44" t="s">
        <v>2</v>
      </c>
      <c r="K116" s="26"/>
      <c r="L116" s="19" t="s">
        <v>24</v>
      </c>
      <c r="N116" s="17">
        <v>16</v>
      </c>
      <c r="P116" s="44" t="s">
        <v>190</v>
      </c>
      <c r="Q116" s="20"/>
      <c r="R116" s="66" t="s">
        <v>2</v>
      </c>
      <c r="S116" s="25"/>
      <c r="T116" s="5" t="s">
        <v>119</v>
      </c>
      <c r="V116" s="17">
        <v>16.899999999999999</v>
      </c>
      <c r="X116" s="15">
        <f>290*16.9*32.5</f>
        <v>159282.5</v>
      </c>
      <c r="Z116" s="15" t="s">
        <v>2</v>
      </c>
      <c r="AA116" s="21"/>
      <c r="AL116" s="25"/>
    </row>
    <row r="117" spans="1:38" x14ac:dyDescent="0.25">
      <c r="A117" s="5"/>
      <c r="B117" s="14"/>
      <c r="F117" s="5"/>
      <c r="G117" s="5"/>
      <c r="H117" s="16">
        <f>239*16.4*32.5</f>
        <v>127386.99999999999</v>
      </c>
      <c r="I117" s="16"/>
      <c r="J117" s="16" t="s">
        <v>2</v>
      </c>
      <c r="K117" s="26"/>
      <c r="L117" s="5"/>
      <c r="P117" s="15">
        <f>310*16*32.5</f>
        <v>161200</v>
      </c>
      <c r="Q117" s="15"/>
      <c r="R117" s="16" t="s">
        <v>2</v>
      </c>
      <c r="S117" s="25"/>
      <c r="AA117" s="21"/>
      <c r="AL117" s="25"/>
    </row>
    <row r="118" spans="1:38" x14ac:dyDescent="0.25">
      <c r="A118" s="5"/>
      <c r="B118" s="14"/>
      <c r="F118" s="5"/>
      <c r="G118" s="5"/>
      <c r="H118" s="16"/>
      <c r="I118" s="16"/>
      <c r="J118" s="16"/>
      <c r="K118" s="26"/>
      <c r="L118" s="5"/>
      <c r="P118" s="15"/>
      <c r="Q118" s="15"/>
      <c r="R118" s="16"/>
      <c r="S118" s="25"/>
      <c r="AA118" s="21"/>
      <c r="AL118" s="25"/>
    </row>
    <row r="119" spans="1:38" x14ac:dyDescent="0.25">
      <c r="A119" s="5"/>
      <c r="B119" s="14"/>
      <c r="D119" s="7"/>
      <c r="F119" s="5" t="s">
        <v>65</v>
      </c>
      <c r="G119" s="5"/>
      <c r="H119" s="16"/>
      <c r="I119" s="16"/>
      <c r="J119" s="16"/>
      <c r="K119" s="26"/>
      <c r="L119" s="7" t="s">
        <v>2</v>
      </c>
      <c r="M119" t="s">
        <v>2</v>
      </c>
      <c r="N119" s="5" t="s">
        <v>65</v>
      </c>
      <c r="O119" s="5"/>
      <c r="P119" s="16"/>
      <c r="Q119" s="16"/>
      <c r="R119" s="16"/>
      <c r="S119" s="25"/>
      <c r="V119" s="5" t="s">
        <v>65</v>
      </c>
      <c r="AA119" s="21"/>
      <c r="AL119" s="25"/>
    </row>
    <row r="120" spans="1:38" x14ac:dyDescent="0.25">
      <c r="A120" s="5"/>
      <c r="B120" s="14"/>
      <c r="D120" s="11"/>
      <c r="E120" s="32" t="s">
        <v>66</v>
      </c>
      <c r="F120" s="5"/>
      <c r="G120" s="5"/>
      <c r="H120" s="16"/>
      <c r="I120" s="16"/>
      <c r="J120" s="16"/>
      <c r="K120" s="26"/>
      <c r="L120" s="11"/>
      <c r="M120" s="32" t="s">
        <v>81</v>
      </c>
      <c r="N120" s="5"/>
      <c r="O120" s="5"/>
      <c r="P120" s="16"/>
      <c r="Q120" s="16"/>
      <c r="R120" s="16"/>
      <c r="S120" s="25"/>
      <c r="T120" t="s">
        <v>139</v>
      </c>
      <c r="AA120" s="21"/>
      <c r="AL120" s="25"/>
    </row>
    <row r="121" spans="1:38" x14ac:dyDescent="0.25">
      <c r="A121" s="5"/>
      <c r="B121" s="14"/>
      <c r="D121" s="34" t="s">
        <v>67</v>
      </c>
      <c r="F121" s="5"/>
      <c r="G121" s="5"/>
      <c r="H121" s="16"/>
      <c r="I121" s="16"/>
      <c r="J121" s="16"/>
      <c r="K121" s="26"/>
      <c r="L121" s="34" t="s">
        <v>96</v>
      </c>
      <c r="N121" s="5"/>
      <c r="O121" s="5"/>
      <c r="P121" s="16"/>
      <c r="Q121" s="16"/>
      <c r="R121" s="16"/>
      <c r="S121" s="25"/>
      <c r="T121" t="s">
        <v>140</v>
      </c>
      <c r="AA121" s="21"/>
      <c r="AL121" s="25"/>
    </row>
    <row r="122" spans="1:38" x14ac:dyDescent="0.25">
      <c r="A122" s="5"/>
      <c r="B122" s="14"/>
      <c r="F122" s="5"/>
      <c r="G122" s="5"/>
      <c r="H122" s="16"/>
      <c r="I122" s="16"/>
      <c r="J122" s="16"/>
      <c r="K122" s="26"/>
      <c r="L122" t="s">
        <v>97</v>
      </c>
      <c r="N122" s="5"/>
      <c r="O122" s="5"/>
      <c r="P122" s="16"/>
      <c r="Q122" s="16"/>
      <c r="R122" s="16"/>
      <c r="S122" s="25"/>
      <c r="AA122" s="21"/>
      <c r="AL122" s="25"/>
    </row>
    <row r="123" spans="1:38" x14ac:dyDescent="0.25">
      <c r="B123" s="14"/>
      <c r="F123" s="5"/>
      <c r="G123" s="5"/>
      <c r="H123" s="5"/>
      <c r="I123" s="5"/>
      <c r="J123" s="5"/>
      <c r="K123" s="26"/>
      <c r="L123" s="5"/>
      <c r="R123" s="5"/>
      <c r="S123" s="25"/>
      <c r="AA123" s="21"/>
      <c r="AL123" s="25"/>
    </row>
    <row r="124" spans="1:38" x14ac:dyDescent="0.25">
      <c r="A124" s="5">
        <v>2014</v>
      </c>
      <c r="B124" s="9" t="s">
        <v>15</v>
      </c>
      <c r="D124" s="5" t="s">
        <v>17</v>
      </c>
      <c r="F124" s="5" t="s">
        <v>51</v>
      </c>
      <c r="G124" s="5"/>
      <c r="H124" s="5"/>
      <c r="I124" s="5"/>
      <c r="J124" s="5"/>
      <c r="K124" s="26"/>
      <c r="L124" s="5" t="s">
        <v>24</v>
      </c>
      <c r="N124" s="5" t="s">
        <v>53</v>
      </c>
      <c r="R124" s="5"/>
      <c r="S124" s="25"/>
      <c r="T124" s="5" t="s">
        <v>17</v>
      </c>
      <c r="V124" s="5" t="s">
        <v>141</v>
      </c>
      <c r="AA124" s="21"/>
      <c r="AL124" s="25"/>
    </row>
    <row r="125" spans="1:38" x14ac:dyDescent="0.25">
      <c r="A125" s="5"/>
      <c r="B125" s="9" t="s">
        <v>18</v>
      </c>
      <c r="D125" s="5" t="s">
        <v>17</v>
      </c>
      <c r="F125" s="17">
        <v>19.8</v>
      </c>
      <c r="G125" s="5"/>
      <c r="H125" s="44" t="s">
        <v>190</v>
      </c>
      <c r="I125" s="17"/>
      <c r="J125" s="66" t="s">
        <v>2</v>
      </c>
      <c r="K125" s="26"/>
      <c r="L125" s="19" t="s">
        <v>24</v>
      </c>
      <c r="N125" s="17">
        <v>15.3</v>
      </c>
      <c r="P125" s="44" t="s">
        <v>190</v>
      </c>
      <c r="Q125" s="20"/>
      <c r="R125" s="66" t="s">
        <v>2</v>
      </c>
      <c r="S125" s="25"/>
      <c r="T125" s="5" t="s">
        <v>17</v>
      </c>
      <c r="V125" s="17">
        <v>13.3</v>
      </c>
      <c r="X125" s="44" t="s">
        <v>190</v>
      </c>
      <c r="Y125" s="20"/>
      <c r="Z125" s="66" t="s">
        <v>2</v>
      </c>
      <c r="AA125" s="21"/>
      <c r="AL125" s="25"/>
    </row>
    <row r="126" spans="1:38" x14ac:dyDescent="0.25">
      <c r="A126" s="5"/>
      <c r="B126" s="14"/>
      <c r="F126" s="5"/>
      <c r="G126" s="5"/>
      <c r="H126" s="16">
        <f>221*19.8*32.5</f>
        <v>142213.5</v>
      </c>
      <c r="I126" s="16"/>
      <c r="J126" s="16" t="s">
        <v>2</v>
      </c>
      <c r="K126" s="26"/>
      <c r="L126" s="16"/>
      <c r="P126" s="15">
        <f>295*15.3*32.5</f>
        <v>146688.75</v>
      </c>
      <c r="Q126" s="15"/>
      <c r="R126" s="16" t="s">
        <v>2</v>
      </c>
      <c r="S126" s="25"/>
      <c r="X126" s="15">
        <f>275*13.3*32.5</f>
        <v>118868.75</v>
      </c>
      <c r="Y126" s="5"/>
      <c r="Z126" s="15" t="s">
        <v>2</v>
      </c>
      <c r="AA126" s="21"/>
      <c r="AL126" s="25"/>
    </row>
    <row r="127" spans="1:38" x14ac:dyDescent="0.25">
      <c r="B127" s="14"/>
      <c r="F127" s="5"/>
      <c r="G127" s="5"/>
      <c r="H127" s="5"/>
      <c r="I127" s="5"/>
      <c r="J127" s="5" t="s">
        <v>2</v>
      </c>
      <c r="K127" s="26"/>
      <c r="L127" s="5"/>
      <c r="R127" s="5"/>
      <c r="S127" s="25"/>
      <c r="AA127" s="21"/>
      <c r="AL127" s="25"/>
    </row>
    <row r="128" spans="1:38" x14ac:dyDescent="0.25">
      <c r="A128" s="5">
        <v>2015</v>
      </c>
      <c r="B128" s="9" t="s">
        <v>15</v>
      </c>
      <c r="D128" s="5" t="s">
        <v>17</v>
      </c>
      <c r="F128" s="5" t="s">
        <v>52</v>
      </c>
      <c r="G128" s="5"/>
      <c r="H128" s="5"/>
      <c r="I128" s="5"/>
      <c r="J128" s="5" t="s">
        <v>2</v>
      </c>
      <c r="K128" s="26"/>
      <c r="L128" s="5" t="s">
        <v>24</v>
      </c>
      <c r="N128" s="5" t="s">
        <v>54</v>
      </c>
      <c r="R128" s="5"/>
      <c r="S128" s="25"/>
      <c r="T128" s="5" t="s">
        <v>17</v>
      </c>
      <c r="V128" s="5" t="s">
        <v>29</v>
      </c>
      <c r="AA128" s="21"/>
      <c r="AL128" s="25"/>
    </row>
    <row r="129" spans="1:38" x14ac:dyDescent="0.25">
      <c r="A129" s="5"/>
      <c r="B129" s="9" t="s">
        <v>18</v>
      </c>
      <c r="D129" s="5" t="s">
        <v>17</v>
      </c>
      <c r="F129" s="17">
        <v>21.3</v>
      </c>
      <c r="G129" s="5"/>
      <c r="H129" s="44" t="s">
        <v>190</v>
      </c>
      <c r="I129" s="17"/>
      <c r="J129" s="66" t="s">
        <v>2</v>
      </c>
      <c r="K129" s="26"/>
      <c r="L129" s="30" t="s">
        <v>24</v>
      </c>
      <c r="N129" s="17">
        <v>17.600000000000001</v>
      </c>
      <c r="P129" s="44" t="s">
        <v>190</v>
      </c>
      <c r="Q129" s="20"/>
      <c r="R129" s="66" t="s">
        <v>2</v>
      </c>
      <c r="S129" s="25"/>
      <c r="T129" s="5" t="s">
        <v>17</v>
      </c>
      <c r="V129" s="17">
        <v>12.3</v>
      </c>
      <c r="X129" s="44" t="s">
        <v>190</v>
      </c>
      <c r="Y129" s="20"/>
      <c r="Z129" s="66" t="s">
        <v>2</v>
      </c>
      <c r="AA129" s="21"/>
      <c r="AL129" s="25"/>
    </row>
    <row r="130" spans="1:38" x14ac:dyDescent="0.25">
      <c r="A130" s="5"/>
      <c r="B130" s="14"/>
      <c r="D130" s="5"/>
      <c r="F130" s="5"/>
      <c r="G130" s="5"/>
      <c r="H130" s="16">
        <f>250*21.3*32.5</f>
        <v>173062.5</v>
      </c>
      <c r="I130" s="16"/>
      <c r="J130" s="16" t="s">
        <v>2</v>
      </c>
      <c r="K130" s="26"/>
      <c r="L130" s="16"/>
      <c r="P130" s="15">
        <f>345*17.6*32.5</f>
        <v>197340.00000000003</v>
      </c>
      <c r="Q130" s="15"/>
      <c r="R130" s="16" t="s">
        <v>2</v>
      </c>
      <c r="S130" s="25"/>
      <c r="T130" s="5"/>
      <c r="X130" s="15">
        <f>280*12.3*32.5</f>
        <v>111930</v>
      </c>
      <c r="Z130" s="15" t="s">
        <v>2</v>
      </c>
      <c r="AA130" s="21"/>
      <c r="AL130" s="25"/>
    </row>
    <row r="131" spans="1:38" x14ac:dyDescent="0.25">
      <c r="B131" s="14"/>
      <c r="F131" s="5"/>
      <c r="G131" s="5"/>
      <c r="H131" s="5"/>
      <c r="I131" s="5"/>
      <c r="J131" s="5"/>
      <c r="K131" s="26"/>
      <c r="L131" s="5"/>
      <c r="R131" s="5"/>
      <c r="S131" s="25"/>
      <c r="AA131" s="21"/>
      <c r="AL131" s="25"/>
    </row>
    <row r="132" spans="1:38" x14ac:dyDescent="0.25">
      <c r="A132" s="5">
        <v>2016</v>
      </c>
      <c r="B132" s="9" t="s">
        <v>15</v>
      </c>
      <c r="D132" s="5" t="s">
        <v>223</v>
      </c>
      <c r="F132" s="5" t="s">
        <v>32</v>
      </c>
      <c r="G132" s="5"/>
      <c r="H132" s="5"/>
      <c r="I132" s="5"/>
      <c r="J132" s="5"/>
      <c r="K132" s="26"/>
      <c r="L132" s="5" t="s">
        <v>223</v>
      </c>
      <c r="N132" s="5" t="s">
        <v>50</v>
      </c>
      <c r="R132" s="5"/>
      <c r="S132" s="25"/>
      <c r="T132" s="5" t="s">
        <v>17</v>
      </c>
      <c r="V132" s="5" t="s">
        <v>143</v>
      </c>
      <c r="AA132" s="21"/>
      <c r="AL132" s="25"/>
    </row>
    <row r="133" spans="1:38" x14ac:dyDescent="0.25">
      <c r="B133" s="9" t="s">
        <v>18</v>
      </c>
      <c r="D133" s="5" t="s">
        <v>223</v>
      </c>
      <c r="F133" s="17">
        <v>17.399999999999999</v>
      </c>
      <c r="G133" s="5"/>
      <c r="H133" s="44" t="s">
        <v>190</v>
      </c>
      <c r="I133" s="17"/>
      <c r="J133" s="66" t="s">
        <v>2</v>
      </c>
      <c r="K133" s="26"/>
      <c r="L133" s="5" t="s">
        <v>223</v>
      </c>
      <c r="N133" s="17">
        <v>19.5</v>
      </c>
      <c r="P133" s="44" t="s">
        <v>190</v>
      </c>
      <c r="Q133" s="20"/>
      <c r="R133" s="66" t="s">
        <v>2</v>
      </c>
      <c r="S133" s="25"/>
      <c r="T133" s="5" t="s">
        <v>17</v>
      </c>
      <c r="V133" s="5" t="s">
        <v>143</v>
      </c>
      <c r="X133" s="44" t="s">
        <v>190</v>
      </c>
      <c r="Y133" s="20"/>
      <c r="Z133" s="66" t="s">
        <v>2</v>
      </c>
      <c r="AA133" s="21"/>
      <c r="AL133" s="25"/>
    </row>
    <row r="134" spans="1:38" x14ac:dyDescent="0.25">
      <c r="B134" s="14"/>
      <c r="D134" s="64" t="s">
        <v>222</v>
      </c>
      <c r="F134" s="5"/>
      <c r="G134" s="5"/>
      <c r="H134" s="16">
        <f>380*17.4*32.5</f>
        <v>214889.99999999997</v>
      </c>
      <c r="I134" s="5"/>
      <c r="J134" s="5"/>
      <c r="K134" s="26"/>
      <c r="L134" s="64" t="s">
        <v>222</v>
      </c>
      <c r="P134" s="15">
        <f>310*19.5*32.5</f>
        <v>196462.5</v>
      </c>
      <c r="S134" s="25"/>
      <c r="AA134" s="21"/>
      <c r="AL134" s="25"/>
    </row>
    <row r="135" spans="1:38" x14ac:dyDescent="0.25">
      <c r="B135" s="14"/>
      <c r="F135" s="5"/>
      <c r="G135" s="5"/>
      <c r="H135" s="37" t="s">
        <v>59</v>
      </c>
      <c r="I135" s="5"/>
      <c r="J135" s="37" t="s">
        <v>59</v>
      </c>
      <c r="K135" s="26"/>
      <c r="L135" s="5"/>
      <c r="S135" s="25"/>
      <c r="AA135" s="21"/>
      <c r="AL135" s="25"/>
    </row>
    <row r="136" spans="1:38" x14ac:dyDescent="0.25">
      <c r="B136" s="14"/>
      <c r="F136" s="5"/>
      <c r="G136" s="5"/>
      <c r="H136" s="5"/>
      <c r="I136" s="5"/>
      <c r="J136" s="5"/>
      <c r="K136" s="26"/>
      <c r="L136" s="5"/>
      <c r="S136" s="25"/>
      <c r="AA136" s="21"/>
      <c r="AL136" s="25"/>
    </row>
    <row r="137" spans="1:38" x14ac:dyDescent="0.25">
      <c r="B137" s="14"/>
      <c r="D137" s="10" t="s">
        <v>55</v>
      </c>
      <c r="F137" s="5"/>
      <c r="G137" s="5"/>
      <c r="H137" s="38">
        <f>+H23+H27+H31+H40+H44+H48+H58+H62+H66+H75+H79+H83+H92+H96+H100+H109+H113+H117+H126+H130+H134</f>
        <v>2401659</v>
      </c>
      <c r="I137" s="38"/>
      <c r="J137" s="38">
        <f>+J79+J83+J92+J96+J100+J109+J113</f>
        <v>745716.9</v>
      </c>
      <c r="K137" s="26"/>
      <c r="L137" s="10" t="s">
        <v>55</v>
      </c>
      <c r="P137" s="38">
        <f>+P23+P27+P31+P40+P44+P48+P58+P62+P66+P75+P79+P83+P92+P96+P100+P109+P113+P117+P126+P130+P134</f>
        <v>3320427.5</v>
      </c>
      <c r="Q137" s="38"/>
      <c r="R137" s="38">
        <f>+R79+R83+R92+R96+R100+R109+R113</f>
        <v>1060124.25</v>
      </c>
      <c r="S137" s="25"/>
      <c r="T137" s="10" t="s">
        <v>55</v>
      </c>
      <c r="X137" s="38">
        <f>+X23+X27+X31+X40+X44+X48+X58+X62+X66+X75+X79+X83+X92+X96+X100+X109+X113+X117+X126+X130</f>
        <v>1353048.125</v>
      </c>
      <c r="Z137" s="38">
        <f>+Z79+Z83+Z92+Z96+Z100+Z109+Z113</f>
        <v>377020.05</v>
      </c>
      <c r="AA137" s="21"/>
      <c r="AL137" s="25"/>
    </row>
    <row r="138" spans="1:38" x14ac:dyDescent="0.25">
      <c r="A138" s="10" t="s">
        <v>100</v>
      </c>
      <c r="B138" s="14"/>
      <c r="D138" s="10" t="s">
        <v>61</v>
      </c>
      <c r="F138" s="5"/>
      <c r="G138" s="5"/>
      <c r="H138" s="39" t="s">
        <v>56</v>
      </c>
      <c r="I138" s="39"/>
      <c r="J138" s="39" t="s">
        <v>56</v>
      </c>
      <c r="K138" s="26"/>
      <c r="L138" s="10" t="s">
        <v>98</v>
      </c>
      <c r="P138" s="39" t="s">
        <v>56</v>
      </c>
      <c r="Q138" s="39"/>
      <c r="R138" s="39" t="s">
        <v>56</v>
      </c>
      <c r="S138" s="25"/>
      <c r="T138" s="10" t="s">
        <v>142</v>
      </c>
      <c r="X138" s="39" t="s">
        <v>56</v>
      </c>
      <c r="Z138" s="39" t="s">
        <v>56</v>
      </c>
      <c r="AA138" s="21"/>
      <c r="AL138" s="25"/>
    </row>
    <row r="139" spans="1:38" x14ac:dyDescent="0.25">
      <c r="A139" s="10" t="s">
        <v>101</v>
      </c>
      <c r="B139" s="14"/>
      <c r="D139" s="10" t="s">
        <v>60</v>
      </c>
      <c r="F139" s="5"/>
      <c r="G139" s="5"/>
      <c r="H139" s="5"/>
      <c r="I139" s="5"/>
      <c r="J139" s="5"/>
      <c r="K139" s="26"/>
      <c r="L139" s="10" t="s">
        <v>60</v>
      </c>
      <c r="S139" s="25"/>
      <c r="T139" s="10" t="s">
        <v>60</v>
      </c>
      <c r="AA139" s="21"/>
      <c r="AL139" s="25"/>
    </row>
    <row r="140" spans="1:38" x14ac:dyDescent="0.25">
      <c r="A140" s="10" t="s">
        <v>102</v>
      </c>
      <c r="B140" s="14"/>
      <c r="D140" s="10" t="s">
        <v>0</v>
      </c>
      <c r="F140" s="5"/>
      <c r="G140" s="5"/>
      <c r="H140" s="18" t="s">
        <v>191</v>
      </c>
      <c r="I140" s="3"/>
      <c r="J140" s="18" t="s">
        <v>194</v>
      </c>
      <c r="K140" s="26"/>
      <c r="L140" s="10" t="s">
        <v>0</v>
      </c>
      <c r="P140" s="18" t="s">
        <v>191</v>
      </c>
      <c r="Q140" s="3"/>
      <c r="R140" s="18" t="s">
        <v>194</v>
      </c>
      <c r="S140" s="25"/>
      <c r="T140" s="10" t="s">
        <v>0</v>
      </c>
      <c r="X140" s="18" t="s">
        <v>57</v>
      </c>
      <c r="Y140" s="3"/>
      <c r="Z140" s="18" t="s">
        <v>151</v>
      </c>
      <c r="AA140" s="21"/>
      <c r="AL140" s="25"/>
    </row>
    <row r="141" spans="1:38" x14ac:dyDescent="0.25">
      <c r="A141" s="10" t="s">
        <v>164</v>
      </c>
      <c r="B141" s="14"/>
      <c r="D141" s="10"/>
      <c r="F141" s="5"/>
      <c r="G141" s="5"/>
      <c r="H141" s="18" t="s">
        <v>192</v>
      </c>
      <c r="J141" s="18" t="s">
        <v>154</v>
      </c>
      <c r="K141" s="26"/>
      <c r="L141" s="10"/>
      <c r="P141" s="18" t="s">
        <v>192</v>
      </c>
      <c r="R141" s="18" t="s">
        <v>154</v>
      </c>
      <c r="S141" s="25"/>
      <c r="T141" s="10"/>
      <c r="X141" s="18"/>
      <c r="Y141" s="3"/>
      <c r="Z141" s="18" t="s">
        <v>152</v>
      </c>
      <c r="AA141" s="21"/>
      <c r="AL141" s="25"/>
    </row>
    <row r="142" spans="1:38" x14ac:dyDescent="0.25">
      <c r="A142" s="10" t="s">
        <v>165</v>
      </c>
      <c r="B142" s="14"/>
      <c r="F142" s="5"/>
      <c r="G142" s="5"/>
      <c r="H142" s="5"/>
      <c r="I142" s="5"/>
      <c r="J142" s="5"/>
      <c r="K142" s="26"/>
      <c r="L142" s="5"/>
      <c r="S142" s="25"/>
      <c r="T142" s="5"/>
      <c r="AA142" s="21"/>
      <c r="AL142" s="25"/>
    </row>
    <row r="143" spans="1:38" x14ac:dyDescent="0.25">
      <c r="A143" s="10" t="s">
        <v>161</v>
      </c>
      <c r="B143" s="14"/>
      <c r="D143" s="10" t="s">
        <v>62</v>
      </c>
      <c r="F143" s="5"/>
      <c r="G143" s="5"/>
      <c r="H143" s="38" t="s">
        <v>2</v>
      </c>
      <c r="I143" s="5"/>
      <c r="J143" s="38">
        <f>+H137+J137</f>
        <v>3147375.9</v>
      </c>
      <c r="K143" s="26"/>
      <c r="L143" s="10" t="s">
        <v>62</v>
      </c>
      <c r="R143" s="38">
        <f>+P137+R137</f>
        <v>4380551.75</v>
      </c>
      <c r="S143" s="25"/>
      <c r="T143" s="10" t="s">
        <v>62</v>
      </c>
      <c r="Z143" s="45">
        <f>+X137+Z137</f>
        <v>1730068.175</v>
      </c>
      <c r="AA143" s="21"/>
      <c r="AL143" s="25"/>
    </row>
    <row r="144" spans="1:38" x14ac:dyDescent="0.25">
      <c r="A144" s="10" t="s">
        <v>162</v>
      </c>
      <c r="B144" s="14"/>
      <c r="D144" s="10" t="s">
        <v>61</v>
      </c>
      <c r="F144" s="5"/>
      <c r="G144" s="5"/>
      <c r="H144" s="39" t="s">
        <v>2</v>
      </c>
      <c r="I144" s="5"/>
      <c r="J144" s="39" t="s">
        <v>99</v>
      </c>
      <c r="K144" s="26"/>
      <c r="L144" s="10" t="s">
        <v>98</v>
      </c>
      <c r="P144" s="5" t="s">
        <v>2</v>
      </c>
      <c r="R144" s="39" t="s">
        <v>99</v>
      </c>
      <c r="S144" s="25"/>
      <c r="T144" s="10" t="s">
        <v>142</v>
      </c>
      <c r="X144" s="5" t="s">
        <v>144</v>
      </c>
      <c r="Z144" s="42" t="s">
        <v>145</v>
      </c>
      <c r="AA144" s="21"/>
      <c r="AL144" s="25"/>
    </row>
    <row r="145" spans="2:38" x14ac:dyDescent="0.25">
      <c r="B145" s="14"/>
      <c r="F145" s="5"/>
      <c r="G145" s="5"/>
      <c r="H145" s="5"/>
      <c r="I145" s="5"/>
      <c r="J145" s="5"/>
      <c r="K145" s="26"/>
      <c r="L145" s="5"/>
      <c r="S145" s="25"/>
      <c r="AA145" s="21"/>
      <c r="AL145" s="25"/>
    </row>
    <row r="146" spans="2:38" x14ac:dyDescent="0.25">
      <c r="B146" s="14"/>
      <c r="F146" s="5"/>
      <c r="G146" s="5"/>
      <c r="H146" s="5"/>
      <c r="I146" s="5"/>
      <c r="J146" s="5"/>
      <c r="K146" s="24"/>
      <c r="L146" s="5"/>
      <c r="S146" s="23"/>
      <c r="AA146" s="21"/>
    </row>
    <row r="147" spans="2:38" x14ac:dyDescent="0.25">
      <c r="B147" s="14"/>
      <c r="F147" s="10" t="s">
        <v>2</v>
      </c>
      <c r="G147" s="5" t="s">
        <v>2</v>
      </c>
      <c r="H147" s="5" t="s">
        <v>2</v>
      </c>
      <c r="I147" s="5" t="s">
        <v>2</v>
      </c>
      <c r="J147" s="5" t="s">
        <v>2</v>
      </c>
      <c r="K147" s="24" t="s">
        <v>2</v>
      </c>
      <c r="L147" s="5" t="s">
        <v>2</v>
      </c>
      <c r="S147" s="23"/>
      <c r="AA147" s="21"/>
    </row>
    <row r="148" spans="2:38" x14ac:dyDescent="0.25">
      <c r="B148" s="14"/>
      <c r="K148" s="23"/>
      <c r="S148" s="23"/>
      <c r="AA148" s="21"/>
    </row>
    <row r="149" spans="2:38" ht="15.75" x14ac:dyDescent="0.25">
      <c r="B149" s="14"/>
      <c r="F149" s="43" t="s">
        <v>289</v>
      </c>
      <c r="K149" s="23"/>
      <c r="S149" s="23"/>
      <c r="AA149" s="21"/>
    </row>
    <row r="150" spans="2:38" x14ac:dyDescent="0.25">
      <c r="B150" s="14"/>
      <c r="K150" s="23"/>
      <c r="S150" s="23"/>
      <c r="AA150" s="23"/>
    </row>
    <row r="151" spans="2:38" x14ac:dyDescent="0.25">
      <c r="K151" s="23"/>
      <c r="S151" s="23"/>
      <c r="AA151" s="23"/>
    </row>
    <row r="152" spans="2:38" x14ac:dyDescent="0.25">
      <c r="S152" s="23"/>
      <c r="AA152" s="23"/>
    </row>
    <row r="153" spans="2:38" x14ac:dyDescent="0.25">
      <c r="S153" s="23"/>
      <c r="AA153" s="23"/>
    </row>
    <row r="154" spans="2:38" x14ac:dyDescent="0.25">
      <c r="S154" s="23"/>
      <c r="AA154" s="23"/>
    </row>
    <row r="155" spans="2:38" x14ac:dyDescent="0.25">
      <c r="S155" s="23"/>
      <c r="AA155" s="23"/>
    </row>
    <row r="156" spans="2:38" x14ac:dyDescent="0.25">
      <c r="S156" s="23"/>
      <c r="AA156" s="23"/>
    </row>
    <row r="157" spans="2:38" x14ac:dyDescent="0.25">
      <c r="S157" s="23"/>
      <c r="AA157" s="23"/>
    </row>
    <row r="158" spans="2:38" x14ac:dyDescent="0.25">
      <c r="S158" s="23"/>
      <c r="AA158" s="23"/>
    </row>
    <row r="159" spans="2:38" x14ac:dyDescent="0.25">
      <c r="S159" s="23"/>
      <c r="AA159" s="23"/>
    </row>
    <row r="160" spans="2:38" x14ac:dyDescent="0.25">
      <c r="S160" s="23"/>
      <c r="AA160" s="23"/>
    </row>
    <row r="161" spans="19:27" x14ac:dyDescent="0.25">
      <c r="S161" s="23"/>
      <c r="AA161" s="23"/>
    </row>
    <row r="162" spans="19:27" x14ac:dyDescent="0.25">
      <c r="S162" s="23"/>
      <c r="AA162" s="23"/>
    </row>
    <row r="163" spans="19:27" x14ac:dyDescent="0.25">
      <c r="S163" s="23"/>
      <c r="AA163" s="23"/>
    </row>
    <row r="164" spans="19:27" x14ac:dyDescent="0.25">
      <c r="S164" s="23"/>
      <c r="AA164" s="23"/>
    </row>
    <row r="165" spans="19:27" x14ac:dyDescent="0.25">
      <c r="AA165" s="23"/>
    </row>
    <row r="166" spans="19:27" x14ac:dyDescent="0.25">
      <c r="AA166" s="23"/>
    </row>
    <row r="167" spans="19:27" x14ac:dyDescent="0.25">
      <c r="AA167" s="23"/>
    </row>
    <row r="168" spans="19:27" x14ac:dyDescent="0.25">
      <c r="AA168" s="23"/>
    </row>
    <row r="169" spans="19:27" x14ac:dyDescent="0.25">
      <c r="AA169" s="23"/>
    </row>
    <row r="170" spans="19:27" x14ac:dyDescent="0.25">
      <c r="AA170" s="23"/>
    </row>
    <row r="171" spans="19:27" x14ac:dyDescent="0.25">
      <c r="AA171" s="23"/>
    </row>
    <row r="172" spans="19:27" x14ac:dyDescent="0.25">
      <c r="AA172" s="23"/>
    </row>
    <row r="173" spans="19:27" x14ac:dyDescent="0.25">
      <c r="AA173" s="23"/>
    </row>
    <row r="174" spans="19:27" x14ac:dyDescent="0.25">
      <c r="AA174" s="23"/>
    </row>
    <row r="175" spans="19:27" x14ac:dyDescent="0.25">
      <c r="AA175" s="23"/>
    </row>
    <row r="176" spans="19:27" x14ac:dyDescent="0.25">
      <c r="AA176" s="23"/>
    </row>
    <row r="177" spans="27:27" x14ac:dyDescent="0.25">
      <c r="AA177" s="23"/>
    </row>
    <row r="178" spans="27:27" x14ac:dyDescent="0.25">
      <c r="AA178" s="23"/>
    </row>
    <row r="179" spans="27:27" x14ac:dyDescent="0.25">
      <c r="AA179" s="23"/>
    </row>
    <row r="180" spans="27:27" x14ac:dyDescent="0.25">
      <c r="AA180" s="23"/>
    </row>
    <row r="181" spans="27:27" x14ac:dyDescent="0.25">
      <c r="AA181" s="23"/>
    </row>
    <row r="182" spans="27:27" x14ac:dyDescent="0.25">
      <c r="AA182" s="23"/>
    </row>
    <row r="183" spans="27:27" x14ac:dyDescent="0.25">
      <c r="AA183" s="23"/>
    </row>
    <row r="184" spans="27:27" x14ac:dyDescent="0.25">
      <c r="AA184" s="23"/>
    </row>
    <row r="185" spans="27:27" x14ac:dyDescent="0.25">
      <c r="AA185" s="23"/>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1:AF46"/>
  <sheetViews>
    <sheetView tabSelected="1" workbookViewId="0">
      <selection activeCell="C2" sqref="C2"/>
    </sheetView>
  </sheetViews>
  <sheetFormatPr defaultRowHeight="15" x14ac:dyDescent="0.25"/>
  <cols>
    <col min="8" max="8" width="15" customWidth="1"/>
    <col min="9" max="10" width="19" customWidth="1"/>
    <col min="11" max="11" width="9.5703125" customWidth="1"/>
    <col min="12" max="12" width="2.42578125" customWidth="1"/>
    <col min="13" max="13" width="19.42578125" customWidth="1"/>
    <col min="14" max="14" width="3.140625" customWidth="1"/>
    <col min="15" max="15" width="21.7109375" customWidth="1"/>
    <col min="16" max="16" width="2.7109375" customWidth="1"/>
    <col min="17" max="17" width="20.28515625" customWidth="1"/>
  </cols>
  <sheetData>
    <row r="1" spans="6:32" ht="21" x14ac:dyDescent="0.35">
      <c r="M1" s="47" t="s">
        <v>173</v>
      </c>
    </row>
    <row r="2" spans="6:32" ht="21" x14ac:dyDescent="0.35">
      <c r="M2" s="47" t="s">
        <v>174</v>
      </c>
      <c r="V2" t="s">
        <v>221</v>
      </c>
    </row>
    <row r="3" spans="6:32" ht="21" x14ac:dyDescent="0.35">
      <c r="M3" s="47" t="s">
        <v>179</v>
      </c>
      <c r="V3" t="s">
        <v>175</v>
      </c>
    </row>
    <row r="4" spans="6:32" ht="21" x14ac:dyDescent="0.35">
      <c r="M4" s="47" t="s">
        <v>180</v>
      </c>
    </row>
    <row r="9" spans="6:32" ht="15.75" x14ac:dyDescent="0.25">
      <c r="F9" s="1" t="s">
        <v>188</v>
      </c>
      <c r="G9" s="1"/>
      <c r="H9" s="1" t="s">
        <v>217</v>
      </c>
      <c r="I9" s="1"/>
      <c r="J9" s="1"/>
      <c r="K9" s="1"/>
      <c r="L9" s="1"/>
      <c r="M9" s="1"/>
      <c r="N9" s="1"/>
      <c r="O9" s="1"/>
      <c r="P9" s="1"/>
      <c r="Q9" s="1"/>
      <c r="R9" s="1"/>
      <c r="S9" s="1"/>
      <c r="T9" s="1"/>
      <c r="U9" s="1"/>
      <c r="V9" s="1"/>
      <c r="W9" s="1"/>
      <c r="X9" s="1"/>
      <c r="Y9" s="1"/>
      <c r="Z9" s="1"/>
      <c r="AA9" s="1"/>
      <c r="AB9" s="1"/>
      <c r="AC9" s="1"/>
      <c r="AD9" s="1"/>
      <c r="AE9" s="1"/>
      <c r="AF9" s="1"/>
    </row>
    <row r="10" spans="6:32" ht="15.75" x14ac:dyDescent="0.25">
      <c r="F10" s="1"/>
      <c r="G10" s="1"/>
      <c r="H10" s="1"/>
      <c r="I10" s="1"/>
      <c r="J10" s="1"/>
      <c r="K10" s="1"/>
      <c r="L10" s="1"/>
      <c r="M10" s="1"/>
      <c r="N10" s="1"/>
      <c r="O10" s="1"/>
      <c r="P10" s="1"/>
      <c r="Q10" s="1"/>
      <c r="R10" s="1"/>
      <c r="S10" s="1"/>
      <c r="T10" s="1"/>
      <c r="U10" s="1"/>
      <c r="V10" s="1"/>
      <c r="W10" s="1"/>
      <c r="X10" s="1"/>
      <c r="Y10" s="1"/>
      <c r="Z10" s="1"/>
      <c r="AA10" s="1"/>
      <c r="AB10" s="1"/>
      <c r="AC10" s="1"/>
      <c r="AD10" s="1"/>
      <c r="AE10" s="1"/>
      <c r="AF10" s="1"/>
    </row>
    <row r="11" spans="6:32" ht="15.75" x14ac:dyDescent="0.25">
      <c r="F11" s="1" t="s">
        <v>189</v>
      </c>
      <c r="G11" s="1"/>
      <c r="H11" s="1" t="s">
        <v>220</v>
      </c>
      <c r="I11" s="1"/>
      <c r="J11" s="1"/>
      <c r="K11" s="1"/>
      <c r="L11" s="1"/>
      <c r="M11" s="1"/>
      <c r="N11" s="1"/>
      <c r="O11" s="1"/>
      <c r="P11" s="1"/>
      <c r="Q11" s="1"/>
      <c r="R11" s="1"/>
      <c r="S11" s="1"/>
      <c r="T11" s="1"/>
      <c r="U11" s="1"/>
      <c r="V11" s="1"/>
      <c r="W11" s="1"/>
      <c r="X11" s="1"/>
      <c r="Y11" s="1"/>
      <c r="Z11" s="1"/>
      <c r="AA11" s="1"/>
      <c r="AB11" s="1"/>
      <c r="AC11" s="1"/>
      <c r="AD11" s="1"/>
      <c r="AE11" s="1"/>
      <c r="AF11" s="1"/>
    </row>
    <row r="12" spans="6:32" ht="15.75" x14ac:dyDescent="0.25">
      <c r="F12" s="1"/>
      <c r="G12" s="1"/>
      <c r="H12" s="1" t="s">
        <v>212</v>
      </c>
      <c r="I12" s="1"/>
      <c r="J12" s="1"/>
      <c r="K12" s="1"/>
      <c r="L12" s="1"/>
      <c r="M12" s="1"/>
      <c r="N12" s="1"/>
      <c r="O12" s="1"/>
      <c r="P12" s="1"/>
      <c r="Q12" s="1"/>
      <c r="R12" s="1"/>
      <c r="S12" s="1"/>
      <c r="T12" s="1"/>
      <c r="U12" s="1"/>
      <c r="V12" s="1"/>
      <c r="W12" s="1"/>
      <c r="X12" s="1"/>
      <c r="Y12" s="1"/>
      <c r="Z12" s="1"/>
      <c r="AA12" s="1"/>
      <c r="AB12" s="1"/>
      <c r="AC12" s="1"/>
      <c r="AD12" s="1"/>
      <c r="AE12" s="1"/>
      <c r="AF12" s="1"/>
    </row>
    <row r="13" spans="6:32" ht="15.75" x14ac:dyDescent="0.25">
      <c r="F13" s="1"/>
      <c r="G13" s="1"/>
      <c r="H13" s="1" t="s">
        <v>213</v>
      </c>
      <c r="I13" s="1"/>
      <c r="J13" s="1"/>
      <c r="K13" s="1"/>
      <c r="L13" s="1"/>
      <c r="M13" s="1"/>
      <c r="N13" s="1"/>
      <c r="O13" s="1"/>
      <c r="P13" s="1"/>
      <c r="Q13" s="1"/>
      <c r="R13" s="1"/>
      <c r="S13" s="1"/>
      <c r="T13" s="1"/>
      <c r="U13" s="1"/>
      <c r="V13" s="1"/>
      <c r="W13" s="1"/>
      <c r="X13" s="1"/>
      <c r="Y13" s="1"/>
      <c r="Z13" s="1"/>
      <c r="AA13" s="1"/>
      <c r="AB13" s="1"/>
      <c r="AC13" s="1"/>
      <c r="AD13" s="1"/>
      <c r="AE13" s="1"/>
      <c r="AF13" s="1"/>
    </row>
    <row r="14" spans="6:32" ht="15.75" x14ac:dyDescent="0.25">
      <c r="F14" s="1"/>
      <c r="G14" s="1"/>
      <c r="H14" s="1"/>
      <c r="I14" s="1"/>
      <c r="J14" s="1"/>
      <c r="K14" s="1"/>
      <c r="L14" s="1"/>
      <c r="M14" s="1"/>
      <c r="N14" s="1"/>
      <c r="O14" s="1"/>
      <c r="P14" s="1"/>
      <c r="Q14" s="1"/>
      <c r="R14" s="1"/>
      <c r="S14" s="1"/>
      <c r="T14" s="1"/>
      <c r="U14" s="1"/>
      <c r="V14" s="1"/>
      <c r="W14" s="1"/>
      <c r="X14" s="1"/>
      <c r="Y14" s="1"/>
      <c r="Z14" s="1"/>
      <c r="AA14" s="1"/>
      <c r="AB14" s="1"/>
      <c r="AC14" s="1"/>
      <c r="AD14" s="1"/>
      <c r="AE14" s="1"/>
      <c r="AF14" s="1"/>
    </row>
    <row r="15" spans="6:32" ht="15.75" x14ac:dyDescent="0.25">
      <c r="F15" s="1"/>
      <c r="G15" s="1"/>
      <c r="H15" s="1"/>
      <c r="I15" s="1"/>
      <c r="J15" s="1"/>
      <c r="K15" s="48" t="s">
        <v>178</v>
      </c>
      <c r="L15" s="48"/>
      <c r="M15" s="65" t="s">
        <v>3</v>
      </c>
      <c r="N15" s="48"/>
      <c r="O15" s="55" t="s">
        <v>36</v>
      </c>
      <c r="P15" s="48"/>
      <c r="Q15" s="64" t="s">
        <v>4</v>
      </c>
      <c r="R15" s="1"/>
      <c r="S15" s="1"/>
      <c r="T15" s="1"/>
      <c r="U15" s="1"/>
      <c r="V15" s="1"/>
      <c r="W15" s="1"/>
      <c r="X15" s="1"/>
      <c r="Y15" s="1"/>
      <c r="Z15" s="1"/>
      <c r="AA15" s="1"/>
      <c r="AB15" s="1"/>
      <c r="AC15" s="1"/>
      <c r="AD15" s="1"/>
      <c r="AE15" s="1"/>
      <c r="AF15" s="1"/>
    </row>
    <row r="16" spans="6:32" ht="15.75" x14ac:dyDescent="0.25">
      <c r="F16" s="1"/>
      <c r="G16" s="1"/>
      <c r="H16" s="48" t="s">
        <v>177</v>
      </c>
      <c r="I16" s="48" t="s">
        <v>181</v>
      </c>
      <c r="J16" s="48" t="s">
        <v>206</v>
      </c>
      <c r="K16" s="1"/>
      <c r="L16" s="50"/>
      <c r="M16" s="56"/>
      <c r="N16" s="50"/>
      <c r="O16" s="49"/>
      <c r="P16" s="50"/>
      <c r="Q16" s="60"/>
      <c r="R16" s="1"/>
      <c r="S16" s="1"/>
      <c r="T16" s="1"/>
      <c r="U16" s="1"/>
      <c r="V16" s="1"/>
      <c r="W16" s="1"/>
      <c r="X16" s="1"/>
      <c r="Y16" s="1"/>
      <c r="Z16" s="1"/>
      <c r="AA16" s="1"/>
      <c r="AB16" s="1"/>
      <c r="AC16" s="1"/>
      <c r="AD16" s="1"/>
      <c r="AE16" s="1"/>
      <c r="AF16" s="1"/>
    </row>
    <row r="17" spans="6:32" ht="15.75" x14ac:dyDescent="0.25">
      <c r="F17" s="1"/>
      <c r="G17" s="1"/>
      <c r="H17" s="1"/>
      <c r="I17" s="48" t="s">
        <v>156</v>
      </c>
      <c r="J17" s="48"/>
      <c r="K17" s="1"/>
      <c r="L17" s="1"/>
      <c r="M17" s="57"/>
      <c r="N17" s="1"/>
      <c r="O17" s="51"/>
      <c r="P17" s="1"/>
      <c r="Q17" s="61"/>
      <c r="R17" s="1"/>
      <c r="S17" s="1"/>
      <c r="T17" s="1"/>
      <c r="U17" s="1"/>
      <c r="V17" s="1"/>
      <c r="W17" s="1"/>
      <c r="X17" s="1"/>
      <c r="Y17" s="1"/>
      <c r="Z17" s="1"/>
      <c r="AA17" s="1"/>
      <c r="AB17" s="1"/>
      <c r="AC17" s="1"/>
      <c r="AD17" s="1"/>
      <c r="AE17" s="1"/>
      <c r="AF17" s="1"/>
    </row>
    <row r="18" spans="6:32" ht="15.75" x14ac:dyDescent="0.25">
      <c r="F18" s="1"/>
      <c r="G18" s="1"/>
      <c r="H18" s="50" t="s">
        <v>176</v>
      </c>
      <c r="I18" s="50" t="s">
        <v>201</v>
      </c>
      <c r="J18" s="50" t="s">
        <v>207</v>
      </c>
      <c r="K18" s="1"/>
      <c r="L18" s="1"/>
      <c r="M18" s="58">
        <v>1034560.8</v>
      </c>
      <c r="N18" s="1"/>
      <c r="O18" s="53">
        <v>1430338</v>
      </c>
      <c r="P18" s="1"/>
      <c r="Q18" s="62">
        <v>582851.5</v>
      </c>
      <c r="R18" s="1"/>
      <c r="S18" s="1"/>
      <c r="T18" s="1"/>
      <c r="U18" s="1"/>
      <c r="V18" s="1"/>
      <c r="W18" s="1"/>
      <c r="X18" s="1"/>
      <c r="Y18" s="1"/>
      <c r="Z18" s="1"/>
      <c r="AA18" s="1"/>
      <c r="AB18" s="1"/>
      <c r="AC18" s="1"/>
      <c r="AD18" s="1"/>
      <c r="AE18" s="1"/>
      <c r="AF18" s="1"/>
    </row>
    <row r="19" spans="6:32" ht="15.75" x14ac:dyDescent="0.25">
      <c r="F19" s="1"/>
      <c r="G19" s="1"/>
      <c r="H19" s="50"/>
      <c r="I19" s="50"/>
      <c r="J19" s="50"/>
      <c r="K19" s="1"/>
      <c r="L19" s="1"/>
      <c r="M19" s="57"/>
      <c r="N19" s="1"/>
      <c r="O19" s="51"/>
      <c r="P19" s="1"/>
      <c r="Q19" s="61"/>
      <c r="R19" s="1"/>
      <c r="S19" s="1"/>
      <c r="T19" s="1"/>
      <c r="U19" s="1"/>
      <c r="V19" s="1"/>
      <c r="W19" s="1"/>
      <c r="X19" s="1"/>
      <c r="Y19" s="1"/>
      <c r="Z19" s="1"/>
      <c r="AA19" s="1"/>
      <c r="AB19" s="1"/>
      <c r="AC19" s="1"/>
      <c r="AD19" s="1"/>
      <c r="AE19" s="1"/>
      <c r="AF19" s="1"/>
    </row>
    <row r="20" spans="6:32" ht="15.75" x14ac:dyDescent="0.25">
      <c r="F20" s="1"/>
      <c r="G20" s="1"/>
      <c r="H20" s="50" t="s">
        <v>182</v>
      </c>
      <c r="I20" s="50" t="s">
        <v>202</v>
      </c>
      <c r="J20" s="50" t="s">
        <v>207</v>
      </c>
      <c r="K20" s="1"/>
      <c r="L20" s="1"/>
      <c r="M20" s="57"/>
      <c r="N20" s="1"/>
      <c r="O20" s="51"/>
      <c r="P20" s="1"/>
      <c r="Q20" s="61"/>
      <c r="R20" s="1"/>
      <c r="S20" s="1"/>
      <c r="T20" s="1"/>
      <c r="U20" s="1"/>
      <c r="V20" s="1"/>
      <c r="W20" s="1"/>
      <c r="X20" s="1"/>
      <c r="Y20" s="1"/>
      <c r="Z20" s="1"/>
      <c r="AA20" s="1"/>
      <c r="AB20" s="1"/>
      <c r="AC20" s="1"/>
      <c r="AD20" s="1"/>
      <c r="AE20" s="1"/>
      <c r="AF20" s="1"/>
    </row>
    <row r="21" spans="6:32" ht="15.75" x14ac:dyDescent="0.25">
      <c r="F21" s="1"/>
      <c r="G21" s="1"/>
      <c r="H21" s="50"/>
      <c r="I21" s="50" t="s">
        <v>203</v>
      </c>
      <c r="J21" s="50" t="s">
        <v>208</v>
      </c>
      <c r="K21" s="1"/>
      <c r="L21" s="1"/>
      <c r="M21" s="58">
        <v>3147375.9</v>
      </c>
      <c r="N21" s="1"/>
      <c r="O21" s="53">
        <v>4380551.75</v>
      </c>
      <c r="P21" s="1"/>
      <c r="Q21" s="62">
        <v>1730068.18</v>
      </c>
      <c r="R21" s="1"/>
      <c r="S21" s="1"/>
      <c r="T21" s="1"/>
      <c r="U21" s="1"/>
      <c r="V21" s="1"/>
      <c r="W21" s="1"/>
      <c r="X21" s="1"/>
      <c r="Y21" s="1"/>
      <c r="Z21" s="1"/>
      <c r="AA21" s="1"/>
      <c r="AB21" s="1"/>
      <c r="AC21" s="1"/>
      <c r="AD21" s="1"/>
      <c r="AE21" s="1"/>
      <c r="AF21" s="1"/>
    </row>
    <row r="22" spans="6:32" ht="15.75" x14ac:dyDescent="0.25">
      <c r="F22" s="1"/>
      <c r="G22" s="1"/>
      <c r="H22" s="50"/>
      <c r="I22" s="50"/>
      <c r="J22" s="50"/>
      <c r="K22" s="1"/>
      <c r="L22" s="1"/>
      <c r="M22" s="57"/>
      <c r="N22" s="1"/>
      <c r="O22" s="51"/>
      <c r="P22" s="1"/>
      <c r="Q22" s="61"/>
      <c r="R22" s="1"/>
      <c r="S22" s="1"/>
      <c r="T22" s="1"/>
      <c r="U22" s="1"/>
      <c r="V22" s="1"/>
      <c r="W22" s="1"/>
      <c r="X22" s="1"/>
      <c r="Y22" s="1"/>
      <c r="Z22" s="1"/>
      <c r="AA22" s="1"/>
      <c r="AB22" s="1"/>
      <c r="AC22" s="1"/>
      <c r="AD22" s="1"/>
      <c r="AE22" s="1"/>
      <c r="AF22" s="1"/>
    </row>
    <row r="23" spans="6:32" ht="15.75" x14ac:dyDescent="0.25">
      <c r="F23" s="1"/>
      <c r="G23" s="1"/>
      <c r="H23" s="50" t="s">
        <v>183</v>
      </c>
      <c r="I23" s="50" t="s">
        <v>184</v>
      </c>
      <c r="J23" s="50" t="s">
        <v>209</v>
      </c>
      <c r="K23" s="1"/>
      <c r="L23" s="1"/>
      <c r="M23" s="58">
        <v>1477944</v>
      </c>
      <c r="N23" s="1"/>
      <c r="O23" s="53">
        <v>2043340</v>
      </c>
      <c r="P23" s="1"/>
      <c r="Q23" s="62">
        <v>832645</v>
      </c>
      <c r="R23" s="1"/>
      <c r="S23" s="1"/>
      <c r="T23" s="1"/>
      <c r="U23" s="1"/>
      <c r="V23" s="1"/>
      <c r="W23" s="1"/>
      <c r="X23" s="1"/>
      <c r="Y23" s="1"/>
      <c r="Z23" s="1"/>
      <c r="AA23" s="1"/>
      <c r="AB23" s="1"/>
      <c r="AC23" s="1"/>
      <c r="AD23" s="1"/>
      <c r="AE23" s="1"/>
      <c r="AF23" s="1"/>
    </row>
    <row r="24" spans="6:32" ht="15.75" x14ac:dyDescent="0.25">
      <c r="F24" s="1"/>
      <c r="G24" s="1"/>
      <c r="H24" s="1"/>
      <c r="I24" s="1"/>
      <c r="J24" s="1"/>
      <c r="K24" s="1"/>
      <c r="L24" s="1"/>
      <c r="M24" s="59" t="s">
        <v>186</v>
      </c>
      <c r="N24" s="1"/>
      <c r="O24" s="54" t="s">
        <v>59</v>
      </c>
      <c r="P24" s="1"/>
      <c r="Q24" s="63" t="s">
        <v>187</v>
      </c>
      <c r="R24" s="1"/>
      <c r="S24" s="1"/>
      <c r="T24" s="1"/>
      <c r="U24" s="1"/>
      <c r="V24" s="1"/>
      <c r="W24" s="1"/>
      <c r="X24" s="1"/>
      <c r="Y24" s="1"/>
      <c r="Z24" s="1"/>
      <c r="AA24" s="1"/>
      <c r="AB24" s="1"/>
      <c r="AC24" s="1"/>
      <c r="AD24" s="1"/>
      <c r="AE24" s="1"/>
      <c r="AF24" s="1"/>
    </row>
    <row r="25" spans="6:32" ht="15.75" x14ac:dyDescent="0.25">
      <c r="F25" s="1"/>
      <c r="G25" s="1"/>
      <c r="H25" s="1"/>
      <c r="I25" s="1"/>
      <c r="J25" s="1"/>
      <c r="K25" s="1"/>
      <c r="L25" s="1"/>
      <c r="M25" s="58">
        <f>SUM(M18:M24)</f>
        <v>5659880.7000000002</v>
      </c>
      <c r="N25" s="1"/>
      <c r="O25" s="53">
        <f>SUM(O18:O24)</f>
        <v>7854229.75</v>
      </c>
      <c r="P25" s="1"/>
      <c r="Q25" s="62">
        <f>SUM(Q18:Q24)</f>
        <v>3145564.6799999997</v>
      </c>
      <c r="R25" s="1"/>
      <c r="S25" s="1"/>
      <c r="T25" s="1"/>
      <c r="U25" s="1"/>
      <c r="V25" s="1"/>
      <c r="W25" s="1"/>
      <c r="X25" s="1"/>
      <c r="Y25" s="1"/>
      <c r="Z25" s="1"/>
      <c r="AA25" s="1"/>
      <c r="AB25" s="1"/>
      <c r="AC25" s="1"/>
      <c r="AD25" s="1"/>
      <c r="AE25" s="1"/>
      <c r="AF25" s="1"/>
    </row>
    <row r="26" spans="6:32" ht="15.75" x14ac:dyDescent="0.25">
      <c r="F26" s="1"/>
      <c r="G26" s="1"/>
      <c r="H26" s="1"/>
      <c r="I26" s="1"/>
      <c r="J26" s="1"/>
      <c r="K26" s="1"/>
      <c r="L26" s="1"/>
      <c r="M26" s="1"/>
      <c r="N26" s="1"/>
      <c r="O26" s="1"/>
      <c r="P26" s="1"/>
      <c r="Q26" s="1"/>
      <c r="R26" s="1"/>
      <c r="S26" s="1"/>
      <c r="T26" s="1"/>
      <c r="U26" s="1"/>
      <c r="V26" s="1"/>
      <c r="W26" s="1"/>
      <c r="X26" s="1"/>
      <c r="Y26" s="1"/>
      <c r="Z26" s="1"/>
      <c r="AA26" s="1"/>
      <c r="AB26" s="1"/>
      <c r="AC26" s="1"/>
      <c r="AD26" s="1"/>
      <c r="AE26" s="1"/>
      <c r="AF26" s="1"/>
    </row>
    <row r="27" spans="6:32" ht="15.75" x14ac:dyDescent="0.25">
      <c r="F27" s="1" t="s">
        <v>214</v>
      </c>
      <c r="G27" s="1"/>
      <c r="H27" s="1" t="s">
        <v>218</v>
      </c>
      <c r="I27" s="1"/>
      <c r="J27" s="1"/>
      <c r="K27" s="1"/>
      <c r="L27" s="1"/>
      <c r="M27" s="1"/>
      <c r="N27" s="1"/>
      <c r="O27" s="1"/>
      <c r="P27" s="1"/>
      <c r="Q27" s="1"/>
      <c r="R27" s="1"/>
      <c r="S27" s="1"/>
      <c r="T27" s="1"/>
      <c r="U27" s="1"/>
      <c r="V27" s="1"/>
      <c r="W27" s="1"/>
      <c r="X27" s="1"/>
      <c r="Y27" s="1"/>
      <c r="Z27" s="1"/>
      <c r="AA27" s="1"/>
      <c r="AB27" s="1"/>
      <c r="AC27" s="1"/>
      <c r="AD27" s="1"/>
      <c r="AE27" s="1"/>
      <c r="AF27" s="1"/>
    </row>
    <row r="28" spans="6:32" ht="15.75" x14ac:dyDescent="0.25">
      <c r="F28" s="1"/>
      <c r="G28" s="1"/>
      <c r="H28" s="1" t="s">
        <v>185</v>
      </c>
      <c r="I28" s="1"/>
      <c r="J28" s="1"/>
      <c r="K28" s="1"/>
      <c r="L28" s="1"/>
      <c r="M28" s="1"/>
      <c r="N28" s="1"/>
      <c r="O28" s="1"/>
      <c r="P28" s="1"/>
      <c r="Q28" s="1"/>
      <c r="R28" s="1"/>
      <c r="S28" s="1"/>
      <c r="T28" s="1"/>
      <c r="U28" s="1"/>
      <c r="V28" s="1"/>
      <c r="W28" s="1"/>
      <c r="X28" s="1"/>
      <c r="Y28" s="1"/>
      <c r="Z28" s="1"/>
      <c r="AA28" s="1"/>
      <c r="AB28" s="1"/>
      <c r="AC28" s="1"/>
      <c r="AD28" s="1"/>
      <c r="AE28" s="1"/>
      <c r="AF28" s="1"/>
    </row>
    <row r="29" spans="6:32" ht="15.75" x14ac:dyDescent="0.25">
      <c r="F29" s="1"/>
      <c r="G29" s="1"/>
      <c r="H29" s="1"/>
      <c r="I29" s="1"/>
      <c r="J29" s="1"/>
      <c r="K29" s="1"/>
      <c r="L29" s="1"/>
      <c r="M29" s="1"/>
      <c r="N29" s="1"/>
      <c r="O29" s="1"/>
      <c r="P29" s="1"/>
      <c r="Q29" s="1"/>
      <c r="R29" s="1"/>
      <c r="S29" s="1"/>
      <c r="T29" s="1"/>
      <c r="U29" s="1"/>
      <c r="V29" s="1"/>
      <c r="W29" s="1"/>
      <c r="X29" s="1"/>
      <c r="Y29" s="1"/>
      <c r="Z29" s="1"/>
      <c r="AA29" s="1"/>
      <c r="AB29" s="1"/>
      <c r="AC29" s="1"/>
      <c r="AD29" s="1"/>
      <c r="AE29" s="1"/>
      <c r="AF29" s="1"/>
    </row>
    <row r="30" spans="6:32" ht="15.75" x14ac:dyDescent="0.25">
      <c r="F30" s="1"/>
      <c r="G30" s="1"/>
      <c r="H30" s="1" t="s">
        <v>219</v>
      </c>
      <c r="I30" s="1"/>
      <c r="J30" s="1"/>
      <c r="K30" s="1"/>
      <c r="L30" s="1"/>
      <c r="M30" s="52">
        <v>217003</v>
      </c>
      <c r="N30" s="1"/>
      <c r="O30" s="1"/>
      <c r="P30" s="1"/>
      <c r="Q30" s="1"/>
      <c r="R30" s="1"/>
      <c r="S30" s="1"/>
      <c r="T30" s="1"/>
      <c r="U30" s="1"/>
      <c r="V30" s="1"/>
      <c r="W30" s="1"/>
      <c r="X30" s="1"/>
      <c r="Y30" s="1"/>
      <c r="Z30" s="1"/>
      <c r="AA30" s="1"/>
      <c r="AB30" s="1"/>
      <c r="AC30" s="1"/>
      <c r="AD30" s="1"/>
      <c r="AE30" s="1"/>
      <c r="AF30" s="1"/>
    </row>
    <row r="31" spans="6:32" ht="15.75" x14ac:dyDescent="0.25">
      <c r="F31" s="1"/>
      <c r="G31" s="1"/>
      <c r="H31" s="1" t="s">
        <v>204</v>
      </c>
      <c r="I31" s="1"/>
      <c r="J31" s="1"/>
      <c r="K31" s="1"/>
      <c r="L31" s="1"/>
      <c r="M31" s="52">
        <v>0</v>
      </c>
      <c r="N31" s="1"/>
      <c r="O31" s="1"/>
      <c r="P31" s="1"/>
      <c r="Q31" s="1"/>
      <c r="R31" s="1"/>
      <c r="S31" s="1"/>
      <c r="T31" s="1"/>
      <c r="U31" s="1"/>
      <c r="V31" s="1"/>
      <c r="W31" s="1"/>
      <c r="X31" s="1"/>
      <c r="Y31" s="1"/>
      <c r="Z31" s="1"/>
      <c r="AA31" s="1"/>
      <c r="AB31" s="1"/>
      <c r="AC31" s="1"/>
      <c r="AD31" s="1"/>
      <c r="AE31" s="1"/>
      <c r="AF31" s="1"/>
    </row>
    <row r="32" spans="6:32" ht="15.75" x14ac:dyDescent="0.25">
      <c r="F32" s="1"/>
      <c r="G32" s="1"/>
      <c r="H32" s="1" t="s">
        <v>205</v>
      </c>
      <c r="I32" s="1"/>
      <c r="J32" s="1"/>
      <c r="K32" s="1"/>
      <c r="L32" s="1"/>
      <c r="M32" s="52">
        <v>0</v>
      </c>
      <c r="N32" s="1"/>
      <c r="O32" s="1"/>
      <c r="P32" s="1"/>
      <c r="Q32" s="1"/>
      <c r="R32" s="1"/>
      <c r="S32" s="1"/>
      <c r="T32" s="1"/>
      <c r="U32" s="1"/>
      <c r="V32" s="1"/>
      <c r="W32" s="1"/>
      <c r="X32" s="1"/>
      <c r="Y32" s="1"/>
      <c r="Z32" s="1"/>
      <c r="AA32" s="1"/>
      <c r="AB32" s="1"/>
      <c r="AC32" s="1"/>
      <c r="AD32" s="1"/>
      <c r="AE32" s="1"/>
      <c r="AF32" s="1"/>
    </row>
    <row r="33" spans="6:32" ht="15.75" x14ac:dyDescent="0.25">
      <c r="F33" s="1"/>
      <c r="G33" s="1"/>
      <c r="H33" s="1" t="s">
        <v>210</v>
      </c>
      <c r="I33" s="1"/>
      <c r="J33" s="1"/>
      <c r="K33" s="1"/>
      <c r="L33" s="1"/>
      <c r="M33" s="52">
        <v>0</v>
      </c>
      <c r="N33" s="1"/>
      <c r="O33" s="1"/>
      <c r="P33" s="1"/>
      <c r="Q33" s="1"/>
      <c r="R33" s="1"/>
      <c r="S33" s="1"/>
      <c r="T33" s="1"/>
      <c r="U33" s="1"/>
      <c r="V33" s="1"/>
      <c r="W33" s="1"/>
      <c r="X33" s="1"/>
      <c r="Y33" s="1"/>
      <c r="Z33" s="1"/>
      <c r="AA33" s="1"/>
      <c r="AB33" s="1"/>
      <c r="AC33" s="1"/>
      <c r="AD33" s="1"/>
      <c r="AE33" s="1"/>
      <c r="AF33" s="1"/>
    </row>
    <row r="34" spans="6:32" ht="15.75" x14ac:dyDescent="0.25">
      <c r="F34" s="1"/>
      <c r="G34" s="1"/>
      <c r="H34" s="1" t="s">
        <v>2</v>
      </c>
      <c r="I34" s="1"/>
      <c r="J34" s="1"/>
      <c r="K34" s="1"/>
      <c r="L34" s="1"/>
      <c r="M34" s="67" t="s">
        <v>186</v>
      </c>
      <c r="N34" s="1"/>
      <c r="O34" s="1"/>
      <c r="P34" s="1"/>
      <c r="Q34" s="1"/>
      <c r="R34" s="1"/>
      <c r="S34" s="1"/>
      <c r="T34" s="1"/>
      <c r="U34" s="1"/>
      <c r="V34" s="1"/>
      <c r="W34" s="1"/>
      <c r="X34" s="1"/>
      <c r="Y34" s="1"/>
      <c r="Z34" s="1"/>
      <c r="AA34" s="1"/>
      <c r="AB34" s="1"/>
      <c r="AC34" s="1"/>
      <c r="AD34" s="1"/>
      <c r="AE34" s="1"/>
      <c r="AF34" s="1"/>
    </row>
    <row r="35" spans="6:32" ht="15.75" x14ac:dyDescent="0.25">
      <c r="F35" s="1"/>
      <c r="G35" s="1"/>
      <c r="H35" s="1" t="s">
        <v>2</v>
      </c>
      <c r="I35" s="1"/>
      <c r="J35" s="1"/>
      <c r="K35" s="1"/>
      <c r="L35" s="1"/>
      <c r="M35" s="52">
        <f>SUM(M30:M34)</f>
        <v>217003</v>
      </c>
      <c r="N35" s="1"/>
      <c r="O35" s="1"/>
      <c r="P35" s="1"/>
      <c r="Q35" s="1"/>
      <c r="R35" s="1"/>
      <c r="S35" s="1"/>
      <c r="T35" s="1"/>
      <c r="U35" s="1"/>
      <c r="V35" s="1"/>
      <c r="W35" s="1"/>
      <c r="X35" s="1"/>
      <c r="Y35" s="1"/>
      <c r="Z35" s="1"/>
      <c r="AA35" s="1"/>
      <c r="AB35" s="1"/>
      <c r="AC35" s="1"/>
      <c r="AD35" s="1"/>
      <c r="AE35" s="1"/>
      <c r="AF35" s="1"/>
    </row>
    <row r="36" spans="6:32" ht="15.75" x14ac:dyDescent="0.25">
      <c r="F36" s="1"/>
      <c r="G36" s="1"/>
      <c r="H36" s="1"/>
      <c r="I36" s="1"/>
      <c r="J36" s="1"/>
      <c r="K36" s="1"/>
      <c r="L36" s="1"/>
      <c r="M36" s="68" t="s">
        <v>211</v>
      </c>
      <c r="N36" s="1"/>
      <c r="O36" s="1"/>
      <c r="P36" s="1"/>
      <c r="Q36" s="1"/>
      <c r="R36" s="1"/>
      <c r="S36" s="1"/>
      <c r="T36" s="1"/>
      <c r="U36" s="1"/>
      <c r="V36" s="1"/>
      <c r="W36" s="1"/>
      <c r="X36" s="1"/>
      <c r="Y36" s="1"/>
      <c r="Z36" s="1"/>
      <c r="AA36" s="1"/>
      <c r="AB36" s="1"/>
      <c r="AC36" s="1"/>
      <c r="AD36" s="1"/>
      <c r="AE36" s="1"/>
      <c r="AF36" s="1"/>
    </row>
    <row r="37" spans="6:32" ht="15.75" x14ac:dyDescent="0.25">
      <c r="F37" s="1"/>
      <c r="G37" s="1"/>
      <c r="H37" s="1"/>
      <c r="I37" s="1"/>
      <c r="J37" s="1"/>
      <c r="K37" s="1"/>
      <c r="L37" s="1"/>
      <c r="M37" s="68"/>
      <c r="N37" s="1"/>
      <c r="O37" s="1"/>
      <c r="P37" s="1"/>
      <c r="Q37" s="1"/>
      <c r="R37" s="1"/>
      <c r="S37" s="1"/>
      <c r="T37" s="1"/>
      <c r="U37" s="1"/>
      <c r="V37" s="1"/>
      <c r="W37" s="1"/>
      <c r="X37" s="1"/>
      <c r="Y37" s="1"/>
      <c r="Z37" s="1"/>
      <c r="AA37" s="1"/>
      <c r="AB37" s="1"/>
      <c r="AC37" s="1"/>
      <c r="AD37" s="1"/>
      <c r="AE37" s="1"/>
      <c r="AF37" s="1"/>
    </row>
    <row r="38" spans="6:32" ht="15.75" x14ac:dyDescent="0.25">
      <c r="F38" s="1" t="s">
        <v>215</v>
      </c>
      <c r="G38" s="1"/>
      <c r="H38" s="1" t="s">
        <v>291</v>
      </c>
      <c r="I38" s="1"/>
      <c r="J38" s="1"/>
      <c r="K38" s="1"/>
      <c r="L38" s="1"/>
      <c r="M38" s="1"/>
      <c r="N38" s="1"/>
      <c r="O38" s="1"/>
      <c r="P38" s="1"/>
      <c r="Q38" s="1"/>
      <c r="R38" s="1"/>
      <c r="S38" s="1"/>
      <c r="T38" s="1"/>
      <c r="U38" s="1"/>
      <c r="V38" s="1"/>
      <c r="W38" s="1"/>
      <c r="X38" s="1"/>
      <c r="Y38" s="1"/>
      <c r="Z38" s="1"/>
      <c r="AA38" s="1"/>
      <c r="AB38" s="1"/>
      <c r="AC38" s="1"/>
      <c r="AD38" s="1"/>
      <c r="AE38" s="1"/>
      <c r="AF38" s="1"/>
    </row>
    <row r="39" spans="6:32" ht="15.75" x14ac:dyDescent="0.25">
      <c r="F39" s="1"/>
      <c r="G39" s="1"/>
      <c r="H39" s="1"/>
      <c r="I39" s="1"/>
      <c r="J39" s="1"/>
      <c r="K39" s="1"/>
      <c r="L39" s="1"/>
      <c r="M39" s="1"/>
      <c r="N39" s="1"/>
      <c r="O39" s="1"/>
      <c r="P39" s="1"/>
      <c r="Q39" s="1"/>
      <c r="R39" s="1"/>
      <c r="S39" s="1"/>
      <c r="T39" s="1"/>
      <c r="U39" s="1"/>
      <c r="V39" s="1"/>
      <c r="W39" s="1"/>
      <c r="X39" s="1"/>
      <c r="Y39" s="1"/>
      <c r="Z39" s="1"/>
      <c r="AA39" s="1"/>
      <c r="AB39" s="1"/>
      <c r="AC39" s="1"/>
      <c r="AD39" s="1"/>
      <c r="AE39" s="1"/>
      <c r="AF39" s="1"/>
    </row>
    <row r="40" spans="6:32" ht="15.75" x14ac:dyDescent="0.25">
      <c r="F40" s="69" t="s">
        <v>216</v>
      </c>
      <c r="G40" s="1"/>
      <c r="H40" s="1" t="s">
        <v>290</v>
      </c>
      <c r="I40" s="1"/>
      <c r="J40" s="1"/>
      <c r="K40" s="1"/>
      <c r="L40" s="1"/>
      <c r="M40" s="1"/>
      <c r="N40" s="1"/>
      <c r="O40" s="1"/>
      <c r="P40" s="1"/>
      <c r="Q40" s="1"/>
      <c r="R40" s="1"/>
      <c r="S40" s="1"/>
      <c r="T40" s="1"/>
      <c r="U40" s="1"/>
      <c r="V40" s="1"/>
      <c r="W40" s="1"/>
      <c r="X40" s="1"/>
      <c r="Y40" s="1"/>
      <c r="Z40" s="1"/>
      <c r="AA40" s="1"/>
      <c r="AB40" s="1"/>
      <c r="AC40" s="1"/>
      <c r="AD40" s="1"/>
      <c r="AE40" s="1"/>
      <c r="AF40" s="1"/>
    </row>
    <row r="41" spans="6:32" ht="15.75" x14ac:dyDescent="0.25">
      <c r="F41" s="1"/>
      <c r="G41" s="1"/>
      <c r="H41" s="1"/>
      <c r="I41" s="1"/>
      <c r="J41" s="1"/>
      <c r="K41" s="1"/>
      <c r="L41" s="1"/>
      <c r="M41" s="1"/>
      <c r="N41" s="1"/>
      <c r="O41" s="1"/>
      <c r="P41" s="1"/>
      <c r="Q41" s="1"/>
      <c r="R41" s="1"/>
      <c r="S41" s="1"/>
      <c r="T41" s="1"/>
      <c r="U41" s="1"/>
      <c r="V41" s="1"/>
      <c r="W41" s="1"/>
      <c r="X41" s="1"/>
      <c r="Y41" s="1"/>
      <c r="Z41" s="1"/>
      <c r="AA41" s="1"/>
      <c r="AB41" s="1"/>
      <c r="AC41" s="1"/>
      <c r="AD41" s="1"/>
      <c r="AE41" s="1"/>
      <c r="AF41" s="1"/>
    </row>
    <row r="42" spans="6:32" ht="15.75" x14ac:dyDescent="0.25">
      <c r="F42" s="69" t="s">
        <v>292</v>
      </c>
      <c r="G42" s="1"/>
      <c r="H42" s="1" t="s">
        <v>294</v>
      </c>
      <c r="I42" s="1"/>
      <c r="J42" s="1"/>
      <c r="K42" s="1"/>
      <c r="L42" s="1"/>
      <c r="M42" s="1"/>
      <c r="N42" s="1"/>
      <c r="O42" s="1"/>
      <c r="P42" s="1"/>
      <c r="Q42" s="1"/>
      <c r="R42" s="1"/>
      <c r="S42" s="1"/>
      <c r="T42" s="1"/>
      <c r="U42" s="1"/>
      <c r="V42" s="1"/>
      <c r="W42" s="1"/>
      <c r="X42" s="1"/>
      <c r="Y42" s="1"/>
      <c r="Z42" s="1"/>
      <c r="AA42" s="1"/>
      <c r="AB42" s="1"/>
      <c r="AC42" s="1"/>
      <c r="AD42" s="1"/>
      <c r="AE42" s="1"/>
      <c r="AF42" s="1"/>
    </row>
    <row r="43" spans="6:32" ht="15.75" x14ac:dyDescent="0.25">
      <c r="F43" s="1"/>
      <c r="G43" s="1"/>
      <c r="H43" s="1" t="s">
        <v>2</v>
      </c>
      <c r="I43" s="1"/>
      <c r="J43" s="1"/>
      <c r="K43" s="1"/>
      <c r="L43" s="1"/>
      <c r="M43" s="1"/>
      <c r="N43" s="1"/>
      <c r="O43" s="1"/>
      <c r="P43" s="1"/>
      <c r="Q43" s="1"/>
      <c r="R43" s="1"/>
      <c r="S43" s="1"/>
      <c r="T43" s="1"/>
      <c r="U43" s="1"/>
      <c r="V43" s="1"/>
      <c r="W43" s="1"/>
      <c r="X43" s="1"/>
      <c r="Y43" s="1"/>
      <c r="Z43" s="1"/>
      <c r="AA43" s="1"/>
      <c r="AB43" s="1"/>
      <c r="AC43" s="1"/>
      <c r="AD43" s="1"/>
      <c r="AE43" s="1"/>
      <c r="AF43" s="1"/>
    </row>
    <row r="46" spans="6:32" x14ac:dyDescent="0.25">
      <c r="H46" t="s">
        <v>2</v>
      </c>
    </row>
  </sheetData>
  <sheetProtection algorithmName="SHA-512" hashValue="I4rr1szgKN7D1fqeocQymLOi2s1NIqqRgPaOlT8i95Lqs0UW6Tp26lXank7VvgxPrY19YYhEnFU4JK93jwrKbg==" saltValue="sazVrXYGNhcFlKxmv2McFA==" spinCount="100000" sheet="1" objects="1" scenarios="1"/>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2"/>
  <sheetViews>
    <sheetView topLeftCell="A49" workbookViewId="0">
      <selection activeCell="A60" sqref="A60"/>
    </sheetView>
  </sheetViews>
  <sheetFormatPr defaultRowHeight="15" x14ac:dyDescent="0.25"/>
  <cols>
    <col min="1" max="1" width="175" customWidth="1"/>
  </cols>
  <sheetData>
    <row r="1" spans="1:1" ht="21" x14ac:dyDescent="0.35">
      <c r="A1" s="74" t="s">
        <v>231</v>
      </c>
    </row>
    <row r="2" spans="1:1" ht="21" x14ac:dyDescent="0.35">
      <c r="A2" s="71"/>
    </row>
    <row r="4" spans="1:1" ht="32.25" customHeight="1" x14ac:dyDescent="0.25">
      <c r="A4" s="72" t="s">
        <v>227</v>
      </c>
    </row>
    <row r="5" spans="1:1" ht="17.25" customHeight="1" x14ac:dyDescent="0.25">
      <c r="A5" t="s">
        <v>2</v>
      </c>
    </row>
    <row r="6" spans="1:1" ht="48" customHeight="1" x14ac:dyDescent="0.25">
      <c r="A6" s="72" t="s">
        <v>228</v>
      </c>
    </row>
    <row r="7" spans="1:1" x14ac:dyDescent="0.25">
      <c r="A7" t="s">
        <v>2</v>
      </c>
    </row>
    <row r="8" spans="1:1" ht="31.5" x14ac:dyDescent="0.25">
      <c r="A8" s="73" t="s">
        <v>229</v>
      </c>
    </row>
    <row r="9" spans="1:1" x14ac:dyDescent="0.25">
      <c r="A9" t="s">
        <v>2</v>
      </c>
    </row>
    <row r="10" spans="1:1" ht="31.5" x14ac:dyDescent="0.25">
      <c r="A10" s="72" t="s">
        <v>230</v>
      </c>
    </row>
    <row r="12" spans="1:1" ht="31.5" x14ac:dyDescent="0.25">
      <c r="A12" s="72" t="s">
        <v>232</v>
      </c>
    </row>
    <row r="14" spans="1:1" ht="33.75" customHeight="1" x14ac:dyDescent="0.25">
      <c r="A14" s="72" t="s">
        <v>233</v>
      </c>
    </row>
    <row r="16" spans="1:1" ht="31.5" x14ac:dyDescent="0.25">
      <c r="A16" s="72" t="s">
        <v>234</v>
      </c>
    </row>
    <row r="18" spans="1:1" ht="31.5" x14ac:dyDescent="0.25">
      <c r="A18" s="72" t="s">
        <v>235</v>
      </c>
    </row>
    <row r="20" spans="1:1" ht="31.5" x14ac:dyDescent="0.25">
      <c r="A20" s="72" t="s">
        <v>236</v>
      </c>
    </row>
    <row r="22" spans="1:1" ht="31.5" x14ac:dyDescent="0.25">
      <c r="A22" s="72" t="s">
        <v>237</v>
      </c>
    </row>
    <row r="24" spans="1:1" ht="31.5" x14ac:dyDescent="0.25">
      <c r="A24" s="72" t="s">
        <v>238</v>
      </c>
    </row>
    <row r="26" spans="1:1" ht="31.5" x14ac:dyDescent="0.25">
      <c r="A26" s="72" t="s">
        <v>239</v>
      </c>
    </row>
    <row r="28" spans="1:1" ht="31.5" x14ac:dyDescent="0.25">
      <c r="A28" s="72" t="s">
        <v>240</v>
      </c>
    </row>
    <row r="30" spans="1:1" ht="31.5" x14ac:dyDescent="0.25">
      <c r="A30" s="72" t="s">
        <v>241</v>
      </c>
    </row>
    <row r="32" spans="1:1" ht="31.5" x14ac:dyDescent="0.25">
      <c r="A32" s="72" t="s">
        <v>242</v>
      </c>
    </row>
    <row r="34" spans="1:1" ht="31.5" x14ac:dyDescent="0.25">
      <c r="A34" s="72" t="s">
        <v>243</v>
      </c>
    </row>
    <row r="36" spans="1:1" ht="31.5" x14ac:dyDescent="0.25">
      <c r="A36" s="72" t="s">
        <v>244</v>
      </c>
    </row>
    <row r="38" spans="1:1" ht="31.5" x14ac:dyDescent="0.25">
      <c r="A38" s="72" t="s">
        <v>245</v>
      </c>
    </row>
    <row r="40" spans="1:1" ht="31.5" x14ac:dyDescent="0.25">
      <c r="A40" s="72" t="s">
        <v>246</v>
      </c>
    </row>
    <row r="42" spans="1:1" ht="63" x14ac:dyDescent="0.25">
      <c r="A42" s="72" t="s">
        <v>247</v>
      </c>
    </row>
    <row r="44" spans="1:1" ht="31.5" x14ac:dyDescent="0.25">
      <c r="A44" s="72" t="s">
        <v>248</v>
      </c>
    </row>
    <row r="46" spans="1:1" ht="31.5" x14ac:dyDescent="0.25">
      <c r="A46" s="72" t="s">
        <v>249</v>
      </c>
    </row>
    <row r="48" spans="1:1" ht="31.5" x14ac:dyDescent="0.25">
      <c r="A48" s="72" t="s">
        <v>250</v>
      </c>
    </row>
    <row r="50" spans="1:1" ht="31.5" x14ac:dyDescent="0.25">
      <c r="A50" s="72" t="s">
        <v>251</v>
      </c>
    </row>
    <row r="52" spans="1:1" ht="31.5" x14ac:dyDescent="0.25">
      <c r="A52" s="72" t="s">
        <v>252</v>
      </c>
    </row>
    <row r="54" spans="1:1" ht="31.5" x14ac:dyDescent="0.25">
      <c r="A54" s="72" t="s">
        <v>253</v>
      </c>
    </row>
    <row r="55" spans="1:1" ht="15.75" x14ac:dyDescent="0.25">
      <c r="A55" s="72"/>
    </row>
    <row r="56" spans="1:1" ht="31.5" x14ac:dyDescent="0.25">
      <c r="A56" s="72" t="s">
        <v>293</v>
      </c>
    </row>
    <row r="58" spans="1:1" ht="31.5" x14ac:dyDescent="0.25">
      <c r="A58" s="72" t="s">
        <v>254</v>
      </c>
    </row>
    <row r="60" spans="1:1" ht="31.5" x14ac:dyDescent="0.25">
      <c r="A60" s="72" t="s">
        <v>255</v>
      </c>
    </row>
    <row r="62" spans="1:1" ht="31.5" x14ac:dyDescent="0.25">
      <c r="A62" s="72" t="s">
        <v>256</v>
      </c>
    </row>
    <row r="63" spans="1:1" ht="15.75" x14ac:dyDescent="0.25">
      <c r="A63" s="72"/>
    </row>
    <row r="64" spans="1:1" ht="31.5" x14ac:dyDescent="0.25">
      <c r="A64" s="72" t="s">
        <v>270</v>
      </c>
    </row>
    <row r="65" spans="1:1" ht="15.75" x14ac:dyDescent="0.25">
      <c r="A65" s="72"/>
    </row>
    <row r="66" spans="1:1" ht="31.5" x14ac:dyDescent="0.25">
      <c r="A66" s="72" t="s">
        <v>271</v>
      </c>
    </row>
    <row r="67" spans="1:1" ht="15.75" x14ac:dyDescent="0.25">
      <c r="A67" s="72"/>
    </row>
    <row r="68" spans="1:1" ht="31.5" x14ac:dyDescent="0.25">
      <c r="A68" s="72" t="s">
        <v>272</v>
      </c>
    </row>
    <row r="69" spans="1:1" ht="15.75" x14ac:dyDescent="0.25">
      <c r="A69" s="72"/>
    </row>
    <row r="70" spans="1:1" ht="31.5" x14ac:dyDescent="0.25">
      <c r="A70" s="72" t="s">
        <v>273</v>
      </c>
    </row>
    <row r="71" spans="1:1" ht="15.75" x14ac:dyDescent="0.25">
      <c r="A71" s="72"/>
    </row>
    <row r="72" spans="1:1" ht="31.5" x14ac:dyDescent="0.25">
      <c r="A72" s="72" t="s">
        <v>274</v>
      </c>
    </row>
    <row r="73" spans="1:1" ht="15.75" x14ac:dyDescent="0.25">
      <c r="A73" s="72"/>
    </row>
    <row r="74" spans="1:1" ht="31.5" x14ac:dyDescent="0.25">
      <c r="A74" s="72" t="s">
        <v>275</v>
      </c>
    </row>
    <row r="75" spans="1:1" ht="15.75" x14ac:dyDescent="0.25">
      <c r="A75" s="72"/>
    </row>
    <row r="76" spans="1:1" ht="31.5" x14ac:dyDescent="0.25">
      <c r="A76" s="72" t="s">
        <v>276</v>
      </c>
    </row>
    <row r="77" spans="1:1" ht="15.75" x14ac:dyDescent="0.25">
      <c r="A77" s="72"/>
    </row>
    <row r="78" spans="1:1" ht="31.5" x14ac:dyDescent="0.25">
      <c r="A78" s="72" t="s">
        <v>277</v>
      </c>
    </row>
    <row r="79" spans="1:1" ht="15.75" x14ac:dyDescent="0.25">
      <c r="A79" s="72"/>
    </row>
    <row r="80" spans="1:1" ht="31.5" x14ac:dyDescent="0.25">
      <c r="A80" s="72" t="s">
        <v>278</v>
      </c>
    </row>
    <row r="81" spans="1:1" ht="15.75" x14ac:dyDescent="0.25">
      <c r="A81" s="72"/>
    </row>
    <row r="82" spans="1:1" ht="31.5" x14ac:dyDescent="0.25">
      <c r="A82" s="72" t="s">
        <v>279</v>
      </c>
    </row>
    <row r="83" spans="1:1" ht="15.75" x14ac:dyDescent="0.25">
      <c r="A83" s="72"/>
    </row>
    <row r="84" spans="1:1" ht="31.5" x14ac:dyDescent="0.25">
      <c r="A84" s="72" t="s">
        <v>280</v>
      </c>
    </row>
    <row r="85" spans="1:1" ht="15.75" x14ac:dyDescent="0.25">
      <c r="A85" s="72"/>
    </row>
    <row r="86" spans="1:1" ht="31.5" x14ac:dyDescent="0.25">
      <c r="A86" s="72" t="s">
        <v>281</v>
      </c>
    </row>
    <row r="87" spans="1:1" ht="15.75" x14ac:dyDescent="0.25">
      <c r="A87" s="72"/>
    </row>
    <row r="88" spans="1:1" ht="31.5" x14ac:dyDescent="0.25">
      <c r="A88" s="72" t="s">
        <v>282</v>
      </c>
    </row>
    <row r="89" spans="1:1" ht="15.75" x14ac:dyDescent="0.25">
      <c r="A89" s="72"/>
    </row>
    <row r="90" spans="1:1" ht="31.5" x14ac:dyDescent="0.25">
      <c r="A90" s="72" t="s">
        <v>283</v>
      </c>
    </row>
    <row r="91" spans="1:1" ht="15.75" x14ac:dyDescent="0.25">
      <c r="A91" s="72"/>
    </row>
    <row r="92" spans="1:1" ht="31.5" x14ac:dyDescent="0.25">
      <c r="A92" s="72" t="s">
        <v>284</v>
      </c>
    </row>
    <row r="93" spans="1:1" ht="15.75" x14ac:dyDescent="0.25">
      <c r="A93" s="72"/>
    </row>
    <row r="94" spans="1:1" ht="31.5" x14ac:dyDescent="0.25">
      <c r="A94" s="72" t="s">
        <v>285</v>
      </c>
    </row>
    <row r="95" spans="1:1" ht="15.75" x14ac:dyDescent="0.25">
      <c r="A95" s="72"/>
    </row>
    <row r="96" spans="1:1" ht="31.5" x14ac:dyDescent="0.25">
      <c r="A96" s="72" t="s">
        <v>286</v>
      </c>
    </row>
    <row r="97" spans="1:1" ht="15.75" x14ac:dyDescent="0.25">
      <c r="A97" s="72"/>
    </row>
    <row r="98" spans="1:1" ht="31.5" x14ac:dyDescent="0.25">
      <c r="A98" s="72" t="s">
        <v>257</v>
      </c>
    </row>
    <row r="100" spans="1:1" ht="47.25" x14ac:dyDescent="0.25">
      <c r="A100" s="72" t="s">
        <v>258</v>
      </c>
    </row>
    <row r="102" spans="1:1" ht="47.25" x14ac:dyDescent="0.25">
      <c r="A102" s="72" t="s">
        <v>259</v>
      </c>
    </row>
    <row r="104" spans="1:1" ht="47.25" x14ac:dyDescent="0.25">
      <c r="A104" s="72" t="s">
        <v>260</v>
      </c>
    </row>
    <row r="106" spans="1:1" ht="47.25" x14ac:dyDescent="0.25">
      <c r="A106" s="72" t="s">
        <v>261</v>
      </c>
    </row>
    <row r="108" spans="1:1" ht="47.25" x14ac:dyDescent="0.25">
      <c r="A108" s="72" t="s">
        <v>262</v>
      </c>
    </row>
    <row r="110" spans="1:1" ht="47.25" x14ac:dyDescent="0.25">
      <c r="A110" s="72" t="s">
        <v>263</v>
      </c>
    </row>
    <row r="112" spans="1:1" ht="47.25" x14ac:dyDescent="0.25">
      <c r="A112" s="72" t="s">
        <v>264</v>
      </c>
    </row>
    <row r="114" spans="1:1" ht="31.5" x14ac:dyDescent="0.25">
      <c r="A114" s="72" t="s">
        <v>265</v>
      </c>
    </row>
    <row r="116" spans="1:1" ht="31.5" x14ac:dyDescent="0.25">
      <c r="A116" s="72" t="s">
        <v>266</v>
      </c>
    </row>
    <row r="118" spans="1:1" ht="31.5" x14ac:dyDescent="0.25">
      <c r="A118" s="72" t="s">
        <v>267</v>
      </c>
    </row>
    <row r="120" spans="1:1" ht="31.5" x14ac:dyDescent="0.25">
      <c r="A120" s="72" t="s">
        <v>268</v>
      </c>
    </row>
    <row r="122" spans="1:1" ht="31.5" x14ac:dyDescent="0.25">
      <c r="A122" s="72" t="s">
        <v>269</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Homestead Tract</vt:lpstr>
      <vt:lpstr>Marsh Tract</vt:lpstr>
      <vt:lpstr>Murphy Tract</vt:lpstr>
      <vt:lpstr>Summary Page</vt:lpstr>
      <vt:lpstr>Bibliography</vt:lpstr>
      <vt:lpstr>_Hlk486679954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Lawrence Kogan</dc:creator>
  <cp:lastModifiedBy>Lawrence Kogan</cp:lastModifiedBy>
  <cp:lastPrinted>2017-06-23T19:45:18Z</cp:lastPrinted>
  <dcterms:created xsi:type="dcterms:W3CDTF">2017-06-23T00:52:25Z</dcterms:created>
  <dcterms:modified xsi:type="dcterms:W3CDTF">2017-07-07T13:34:27Z</dcterms:modified>
</cp:coreProperties>
</file>