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435" windowWidth="15735" windowHeight="12315" activeTab="0"/>
  </bookViews>
  <sheets>
    <sheet name="1) HOLD Pro Forma" sheetId="1" r:id="rId1"/>
    <sheet name="2) HOLD ROI Analysis" sheetId="2" r:id="rId2"/>
    <sheet name="3) Interest Calculations" sheetId="3" r:id="rId3"/>
  </sheets>
  <definedNames/>
  <calcPr fullCalcOnLoad="1"/>
</workbook>
</file>

<file path=xl/comments1.xml><?xml version="1.0" encoding="utf-8"?>
<comments xmlns="http://schemas.openxmlformats.org/spreadsheetml/2006/main">
  <authors>
    <author>jpapasan</author>
  </authors>
  <commentList>
    <comment ref="A12" authorId="0">
      <text>
        <r>
          <rPr>
            <b/>
            <sz val="9"/>
            <rFont val="Tahoma"/>
            <family val="2"/>
          </rPr>
          <t>jpapasan:</t>
        </r>
        <r>
          <rPr>
            <sz val="9"/>
            <rFont val="Tahoma"/>
            <family val="2"/>
          </rPr>
          <t xml:space="preserve">
20 Year Average in 2012 is 6.94% for 30 Year and 6.55% for a 15-Year Note</t>
        </r>
      </text>
    </comment>
  </commentList>
</comments>
</file>

<file path=xl/comments2.xml><?xml version="1.0" encoding="utf-8"?>
<comments xmlns="http://schemas.openxmlformats.org/spreadsheetml/2006/main">
  <authors>
    <author>jpapasan</author>
  </authors>
  <commentList>
    <comment ref="U3" authorId="0">
      <text>
        <r>
          <rPr>
            <b/>
            <sz val="9"/>
            <rFont val="Tahoma"/>
            <family val="2"/>
          </rPr>
          <t>jpapasan:</t>
        </r>
        <r>
          <rPr>
            <sz val="9"/>
            <rFont val="Tahoma"/>
            <family val="2"/>
          </rPr>
          <t xml:space="preserve">
Annual Debt Pay Down + Annual Appreciation + Annual Cash Flow</t>
        </r>
      </text>
    </comment>
    <comment ref="W3" authorId="0">
      <text>
        <r>
          <rPr>
            <b/>
            <sz val="9"/>
            <rFont val="Tahoma"/>
            <family val="2"/>
          </rPr>
          <t>jpapasan:</t>
        </r>
        <r>
          <rPr>
            <sz val="9"/>
            <rFont val="Tahoma"/>
            <family val="2"/>
          </rPr>
          <t xml:space="preserve">
Cash Flow only</t>
        </r>
      </text>
    </comment>
    <comment ref="AB3" authorId="0">
      <text>
        <r>
          <rPr>
            <b/>
            <sz val="9"/>
            <rFont val="Tahoma"/>
            <family val="2"/>
          </rPr>
          <t>jpapasan:</t>
        </r>
        <r>
          <rPr>
            <sz val="9"/>
            <rFont val="Tahoma"/>
            <family val="2"/>
          </rPr>
          <t xml:space="preserve">
Equity (after COS) + Acc Cash Flow - Total Cash In</t>
        </r>
      </text>
    </comment>
    <comment ref="Z3" authorId="0">
      <text>
        <r>
          <rPr>
            <b/>
            <sz val="9"/>
            <rFont val="Tahoma"/>
            <family val="2"/>
          </rPr>
          <t>jpapasan:</t>
        </r>
        <r>
          <rPr>
            <sz val="9"/>
            <rFont val="Tahoma"/>
            <family val="2"/>
          </rPr>
          <t xml:space="preserve">
Equity (after COS) + Acc Cash Flow - Total Cash In</t>
        </r>
      </text>
    </comment>
    <comment ref="V3" authorId="0">
      <text>
        <r>
          <rPr>
            <b/>
            <sz val="9"/>
            <rFont val="Tahoma"/>
            <family val="2"/>
          </rPr>
          <t>jpapasan:</t>
        </r>
        <r>
          <rPr>
            <sz val="9"/>
            <rFont val="Tahoma"/>
            <family val="2"/>
          </rPr>
          <t xml:space="preserve">
Annual ROI for Debt Pay Down + Appreciation + Cash Flow / Total Cash In</t>
        </r>
      </text>
    </comment>
    <comment ref="X3" authorId="0">
      <text>
        <r>
          <rPr>
            <b/>
            <sz val="9"/>
            <rFont val="Tahoma"/>
            <family val="2"/>
          </rPr>
          <t>jpapasan:</t>
        </r>
        <r>
          <rPr>
            <sz val="9"/>
            <rFont val="Tahoma"/>
            <family val="2"/>
          </rPr>
          <t xml:space="preserve">
How hard is the money you have in Property working?
Return on Equity
 for Debt Pay Down + Appreciation + Cash Flow</t>
        </r>
      </text>
    </comment>
    <comment ref="F3" authorId="0">
      <text>
        <r>
          <rPr>
            <b/>
            <sz val="9"/>
            <rFont val="Tahoma"/>
            <family val="2"/>
          </rPr>
          <t>jpapasan:</t>
        </r>
        <r>
          <rPr>
            <sz val="9"/>
            <rFont val="Tahoma"/>
            <family val="2"/>
          </rPr>
          <t xml:space="preserve">
Average annual inflation from 1990-2011 is about 2.7% </t>
        </r>
      </text>
    </comment>
    <comment ref="E3" authorId="0">
      <text>
        <r>
          <rPr>
            <b/>
            <sz val="9"/>
            <rFont val="Tahoma"/>
            <family val="2"/>
          </rPr>
          <t>jpapasan:</t>
        </r>
        <r>
          <rPr>
            <sz val="9"/>
            <rFont val="Tahoma"/>
            <family val="2"/>
          </rPr>
          <t xml:space="preserve">
Gross Rent - Vacancy</t>
        </r>
      </text>
    </comment>
    <comment ref="C3" authorId="0">
      <text>
        <r>
          <rPr>
            <b/>
            <sz val="9"/>
            <rFont val="Tahoma"/>
            <family val="2"/>
          </rPr>
          <t>jpapasan:</t>
        </r>
        <r>
          <rPr>
            <sz val="9"/>
            <rFont val="Tahoma"/>
            <family val="2"/>
          </rPr>
          <t xml:space="preserve">
From HOLD Pro Forma Page</t>
        </r>
      </text>
    </comment>
    <comment ref="B3" authorId="0">
      <text>
        <r>
          <rPr>
            <b/>
            <sz val="9"/>
            <rFont val="Tahoma"/>
            <family val="2"/>
          </rPr>
          <t>jpapasan:</t>
        </r>
        <r>
          <rPr>
            <sz val="9"/>
            <rFont val="Tahoma"/>
            <family val="2"/>
          </rPr>
          <t xml:space="preserve">
Gross Rent * Rent Appreciation Rate from HOLD Pro Forma Page </t>
        </r>
      </text>
    </comment>
    <comment ref="D3" authorId="0">
      <text>
        <r>
          <rPr>
            <b/>
            <sz val="9"/>
            <rFont val="Tahoma"/>
            <family val="2"/>
          </rPr>
          <t>jpapasan:</t>
        </r>
        <r>
          <rPr>
            <sz val="9"/>
            <rFont val="Tahoma"/>
            <family val="2"/>
          </rPr>
          <t xml:space="preserve">
From HOLD Pro Forma page</t>
        </r>
      </text>
    </comment>
    <comment ref="K3" authorId="0">
      <text>
        <r>
          <rPr>
            <b/>
            <sz val="9"/>
            <rFont val="Tahoma"/>
            <family val="2"/>
          </rPr>
          <t>jpapasan:</t>
        </r>
        <r>
          <rPr>
            <sz val="9"/>
            <rFont val="Tahoma"/>
            <family val="2"/>
          </rPr>
          <t xml:space="preserve">
Net Operating Income - Debt Pay Down - Interest Paid</t>
        </r>
      </text>
    </comment>
  </commentList>
</comments>
</file>

<file path=xl/sharedStrings.xml><?xml version="1.0" encoding="utf-8"?>
<sst xmlns="http://schemas.openxmlformats.org/spreadsheetml/2006/main" count="92" uniqueCount="87">
  <si>
    <t>Prepared By</t>
  </si>
  <si>
    <t>Client Name</t>
  </si>
  <si>
    <t>Percent Down</t>
  </si>
  <si>
    <t>Down Payment Amount</t>
  </si>
  <si>
    <t>Amount Financed</t>
  </si>
  <si>
    <t>Interest Rate</t>
  </si>
  <si>
    <t>Payment</t>
  </si>
  <si>
    <t>Monthly</t>
  </si>
  <si>
    <t>Annual</t>
  </si>
  <si>
    <t>Monthly Mortgage Payment</t>
  </si>
  <si>
    <t>Rental Income</t>
  </si>
  <si>
    <t>Unit A</t>
  </si>
  <si>
    <t>Unit B</t>
  </si>
  <si>
    <t>Unit C</t>
  </si>
  <si>
    <t>Unit D</t>
  </si>
  <si>
    <t>Expenses</t>
  </si>
  <si>
    <t>Insurance</t>
  </si>
  <si>
    <t>Property Management Fees</t>
  </si>
  <si>
    <t>Total Expenses</t>
  </si>
  <si>
    <t>Mortgage Payment</t>
  </si>
  <si>
    <t>Net Cash Flow</t>
  </si>
  <si>
    <t>Investment Analysis</t>
  </si>
  <si>
    <t>Cost to Sell Property</t>
  </si>
  <si>
    <t>Investment Return over Time</t>
  </si>
  <si>
    <t>Year</t>
  </si>
  <si>
    <t>Interest Paid</t>
  </si>
  <si>
    <t>Loan Amount</t>
  </si>
  <si>
    <t># of Periods</t>
  </si>
  <si>
    <t>Period #</t>
  </si>
  <si>
    <t>Principal</t>
  </si>
  <si>
    <t>Interest</t>
  </si>
  <si>
    <t>Utilities</t>
  </si>
  <si>
    <t>Fair Market Value</t>
  </si>
  <si>
    <t>Gross Rental Income</t>
  </si>
  <si>
    <t>Vacancy Rate</t>
  </si>
  <si>
    <t>Discount (%,$)</t>
  </si>
  <si>
    <t xml:space="preserve">PropertyTaxes </t>
  </si>
  <si>
    <t>Purchase Price (Max Offer Price)</t>
  </si>
  <si>
    <t>Leasing Costs</t>
  </si>
  <si>
    <t>Maintenance Reserve</t>
  </si>
  <si>
    <t>Other (HOA fees, Lawn Care, Trash, etc)</t>
  </si>
  <si>
    <t>Costs of Repairs (Make Ready)</t>
  </si>
  <si>
    <t>Net Rental Income</t>
  </si>
  <si>
    <t>Net Operating Income</t>
  </si>
  <si>
    <t>Total Mortgage Debt</t>
  </si>
  <si>
    <t xml:space="preserve">This spreadsheet is a model for informational purposes only. It is not meant nor designed to represent what will happen with regards to interest rates, appreciation, rents or vacancy. It is not meant to be a substitute for your own judgement. Neither the broker nor the agent is responsible for errors. </t>
  </si>
  <si>
    <t xml:space="preserve">Total Cash In (Downpayment + Repairs) </t>
  </si>
  <si>
    <t>Total Cash In</t>
  </si>
  <si>
    <t>Rent Appreciation (20 YR AVG = 3.1%)</t>
  </si>
  <si>
    <t>Appreciation Rate (20 YR AVG = 4.4%)</t>
  </si>
  <si>
    <t>Accumulated Cash Flow</t>
  </si>
  <si>
    <t>Debt Pay Down (Principle Paid)</t>
  </si>
  <si>
    <t>Equity</t>
  </si>
  <si>
    <t>Annual Appreciation</t>
  </si>
  <si>
    <t>Property Value (EOY)</t>
  </si>
  <si>
    <t>Cost of Sale (COS)</t>
  </si>
  <si>
    <t>Cash on Cash ROR (Annual)</t>
  </si>
  <si>
    <t>Total ROI (Annual)</t>
  </si>
  <si>
    <t>Annual Total Return (Before COS)</t>
  </si>
  <si>
    <t>Accumulated  Total Return (after COS)</t>
  </si>
  <si>
    <t>Total ROI on Acc.Total Return (after COS)</t>
  </si>
  <si>
    <t>Total Return on Equity (After COS)</t>
  </si>
  <si>
    <t>Accumulated Debt Pay Down</t>
  </si>
  <si>
    <t>Accumulated Appreciation</t>
  </si>
  <si>
    <t>Annual Expenses (Adjusted for Inflation)</t>
  </si>
  <si>
    <t>Gross Rents (Adjusted for Inflation)</t>
  </si>
  <si>
    <t>Vacancy</t>
  </si>
  <si>
    <t>Rent Appreciation Rate</t>
  </si>
  <si>
    <t>Net Operating Income (Annual)</t>
  </si>
  <si>
    <t>Net Rental Income (Annual)</t>
  </si>
  <si>
    <t>Annual Net Cash Flow (Annual)</t>
  </si>
  <si>
    <t>Property Value (Start of  Year)</t>
  </si>
  <si>
    <t>Accumulated  Total Return (Accumlated Debt Pay Down, Cash Flow &amp; Appreciation)</t>
  </si>
  <si>
    <t>Total ROI Based on Acc.Total Return</t>
  </si>
  <si>
    <t xml:space="preserve">Expenses &amp; Vacancy as </t>
  </si>
  <si>
    <t>% of Gross Rental Income</t>
  </si>
  <si>
    <t>List Price</t>
  </si>
  <si>
    <t>Property Address</t>
  </si>
  <si>
    <t>Length of Mortgage (Years)</t>
  </si>
  <si>
    <t>$</t>
  </si>
  <si>
    <t xml:space="preserve">Monthly </t>
  </si>
  <si>
    <t xml:space="preserve">HOLD Property Analysis Worksheet - 30 Year </t>
  </si>
  <si>
    <r>
      <t xml:space="preserve">This spreadsheet is a model for informational purposes only. It is not meant nor designed to represent what will happen with regards to interest rates, appreciation, rents or vacancy. It is not meant to be a substitute for your own judgement. Neither KellerINK nor the </t>
    </r>
    <r>
      <rPr>
        <i/>
        <sz val="12"/>
        <color indexed="9"/>
        <rFont val="Arial"/>
        <family val="2"/>
      </rPr>
      <t xml:space="preserve">HOLD </t>
    </r>
    <r>
      <rPr>
        <sz val="12"/>
        <color indexed="9"/>
        <rFont val="Arial"/>
        <family val="2"/>
      </rPr>
      <t xml:space="preserve">authors are </t>
    </r>
    <r>
      <rPr>
        <sz val="12"/>
        <color indexed="9"/>
        <rFont val="Arial"/>
        <family val="2"/>
      </rPr>
      <t xml:space="preserve">responsible for errors. </t>
    </r>
  </si>
  <si>
    <t>Courtesy of</t>
  </si>
  <si>
    <t>Your real estate team's logo here!</t>
  </si>
  <si>
    <r>
      <rPr>
        <b/>
        <sz val="12"/>
        <rFont val="Arial"/>
        <family val="2"/>
      </rPr>
      <t xml:space="preserve">NOTES: </t>
    </r>
    <r>
      <rPr>
        <sz val="12"/>
        <rFont val="Arial"/>
        <family val="2"/>
      </rPr>
      <t>This spreadsheet is a model for informational purposes only. All highlighted cells contain formulas and are not to be changed. Interest rates are based on 30-year averages. It is not meant nor designed to represent what will happen with regards to interest rates, appreciation, rents or vacancy. It is not meant to be a substitute for your own judgement.</t>
    </r>
  </si>
  <si>
    <t>Sample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</si>
</sst>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_-&quot;$&quot;* &quot;-&quot;??;_-@_-"/>
    <numFmt numFmtId="165" formatCode="_-&quot;$&quot;* #,##0.00_-;_-&quot;$&quot;* \(#,##0.00\)_-;_-&quot;$&quot;* &quot;-&quot;??;_-@_-"/>
    <numFmt numFmtId="166" formatCode="0.0%"/>
    <numFmt numFmtId="167" formatCode="\ * #,##0\ ;\ * \(#,##0\);\ * &quot;-&quot;??\ "/>
    <numFmt numFmtId="168" formatCode="\ * #,##0.00\ ;\ * \(#,##0.00\);\ * &quot;-&quot;??\ "/>
    <numFmt numFmtId="169" formatCode="_(&quot;$&quot;* #,##0_);_(&quot;$&quot;* \(#,##0\);_(&quot;$&quot;* &quot;-&quot;??_);_(@_)"/>
  </numFmts>
  <fonts count="57">
    <font>
      <sz val="11"/>
      <color indexed="8"/>
      <name val="Helvetica Neue"/>
      <family val="0"/>
    </font>
    <font>
      <sz val="11"/>
      <color indexed="8"/>
      <name val="Calibri"/>
      <family val="2"/>
    </font>
    <font>
      <sz val="10"/>
      <color indexed="9"/>
      <name val="Arial"/>
      <family val="2"/>
    </font>
    <font>
      <sz val="12"/>
      <color indexed="9"/>
      <name val="Arial"/>
      <family val="2"/>
    </font>
    <font>
      <sz val="12"/>
      <color indexed="8"/>
      <name val="Times"/>
      <family val="0"/>
    </font>
    <font>
      <i/>
      <sz val="12"/>
      <color indexed="9"/>
      <name val="Arial"/>
      <family val="2"/>
    </font>
    <font>
      <b/>
      <sz val="12"/>
      <color indexed="9"/>
      <name val="Arial"/>
      <family val="2"/>
    </font>
    <font>
      <sz val="12"/>
      <name val="Arial"/>
      <family val="2"/>
    </font>
    <font>
      <sz val="11"/>
      <color indexed="9"/>
      <name val="Arial"/>
      <family val="2"/>
    </font>
    <font>
      <sz val="9"/>
      <name val="Tahoma"/>
      <family val="2"/>
    </font>
    <font>
      <b/>
      <sz val="9"/>
      <name val="Tahoma"/>
      <family val="2"/>
    </font>
    <font>
      <u val="single"/>
      <sz val="12"/>
      <name val="Arial"/>
      <family val="2"/>
    </font>
    <font>
      <b/>
      <sz val="12"/>
      <name val="Arial"/>
      <family val="2"/>
    </font>
    <font>
      <sz val="12"/>
      <color indexed="53"/>
      <name val="Arial"/>
      <family val="2"/>
    </font>
    <font>
      <b/>
      <sz val="14"/>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53"/>
      <name val="Calibri"/>
      <family val="2"/>
    </font>
    <font>
      <i/>
      <sz val="11"/>
      <color indexed="23"/>
      <name val="Calibri"/>
      <family val="2"/>
    </font>
    <font>
      <b/>
      <sz val="11"/>
      <color indexed="8"/>
      <name val="Calibri"/>
      <family val="2"/>
    </font>
    <font>
      <sz val="11"/>
      <color indexed="10"/>
      <name val="Calibri"/>
      <family val="2"/>
    </font>
    <font>
      <sz val="12"/>
      <color indexed="15"/>
      <name val="Arial"/>
      <family val="2"/>
    </font>
    <font>
      <sz val="12"/>
      <color indexed="63"/>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5"/>
      <name val="Arial"/>
      <family val="2"/>
    </font>
    <font>
      <b/>
      <sz val="14"/>
      <color theme="0"/>
      <name val="Arial"/>
      <family val="2"/>
    </font>
    <font>
      <sz val="12"/>
      <color theme="1" tint="0.24998000264167786"/>
      <name val="Arial"/>
      <family val="2"/>
    </font>
    <font>
      <sz val="12"/>
      <color theme="0"/>
      <name val="Arial"/>
      <family val="2"/>
    </font>
    <font>
      <sz val="12"/>
      <color theme="0" tint="-0.24997000396251678"/>
      <name val="Arial"/>
      <family val="2"/>
    </font>
    <font>
      <b/>
      <sz val="8"/>
      <name val="Helvetica Neue"/>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0"/>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
      <patternFill patternType="solid">
        <fgColor indexed="15"/>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style="thin">
        <color indexed="11"/>
      </right>
      <top/>
      <bottom style="thin">
        <color indexed="11"/>
      </bottom>
    </border>
    <border>
      <left style="medium"/>
      <right/>
      <top style="thin"/>
      <bottom style="thin"/>
    </border>
    <border>
      <left/>
      <right/>
      <top style="thin"/>
      <bottom style="thin"/>
    </border>
    <border>
      <left style="medium"/>
      <right/>
      <top style="thin"/>
      <bottom/>
    </border>
    <border>
      <left/>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s>
  <cellStyleXfs count="61">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8">
    <xf numFmtId="0" fontId="0" fillId="0" borderId="0" xfId="0" applyAlignment="1">
      <alignment/>
    </xf>
    <xf numFmtId="0" fontId="2" fillId="0" borderId="0" xfId="0" applyNumberFormat="1" applyFont="1" applyAlignment="1">
      <alignment/>
    </xf>
    <xf numFmtId="0" fontId="3" fillId="33" borderId="0" xfId="0" applyNumberFormat="1" applyFont="1" applyFill="1" applyBorder="1" applyAlignment="1">
      <alignment/>
    </xf>
    <xf numFmtId="0" fontId="2" fillId="34" borderId="10" xfId="0" applyNumberFormat="1" applyFont="1" applyFill="1" applyBorder="1" applyAlignment="1">
      <alignment/>
    </xf>
    <xf numFmtId="0" fontId="3" fillId="34" borderId="0" xfId="0" applyNumberFormat="1" applyFont="1" applyFill="1" applyBorder="1" applyAlignment="1">
      <alignment horizontal="left"/>
    </xf>
    <xf numFmtId="167" fontId="3" fillId="34" borderId="10" xfId="0" applyNumberFormat="1" applyFont="1" applyFill="1" applyBorder="1" applyAlignment="1">
      <alignment/>
    </xf>
    <xf numFmtId="166" fontId="3" fillId="34" borderId="10" xfId="0" applyNumberFormat="1" applyFont="1" applyFill="1" applyBorder="1" applyAlignment="1">
      <alignment/>
    </xf>
    <xf numFmtId="168" fontId="2" fillId="34" borderId="10" xfId="0" applyNumberFormat="1" applyFont="1" applyFill="1" applyBorder="1" applyAlignment="1">
      <alignment/>
    </xf>
    <xf numFmtId="10" fontId="2" fillId="34" borderId="10" xfId="0" applyNumberFormat="1" applyFont="1" applyFill="1" applyBorder="1" applyAlignment="1">
      <alignment/>
    </xf>
    <xf numFmtId="8" fontId="2" fillId="34" borderId="10" xfId="0" applyNumberFormat="1" applyFont="1" applyFill="1" applyBorder="1" applyAlignment="1">
      <alignment/>
    </xf>
    <xf numFmtId="167" fontId="2" fillId="34" borderId="10" xfId="0" applyNumberFormat="1" applyFont="1" applyFill="1" applyBorder="1" applyAlignment="1">
      <alignment/>
    </xf>
    <xf numFmtId="0" fontId="6" fillId="34" borderId="10" xfId="0" applyNumberFormat="1" applyFont="1" applyFill="1" applyBorder="1" applyAlignment="1">
      <alignment horizontal="left" wrapText="1"/>
    </xf>
    <xf numFmtId="0" fontId="6" fillId="34" borderId="11" xfId="0" applyNumberFormat="1" applyFont="1" applyFill="1" applyBorder="1" applyAlignment="1">
      <alignment horizontal="left" wrapText="1"/>
    </xf>
    <xf numFmtId="169" fontId="3" fillId="34" borderId="10" xfId="44" applyNumberFormat="1" applyFont="1" applyFill="1" applyBorder="1" applyAlignment="1">
      <alignment/>
    </xf>
    <xf numFmtId="44" fontId="2" fillId="0" borderId="0" xfId="0" applyNumberFormat="1" applyFont="1" applyAlignment="1">
      <alignment/>
    </xf>
    <xf numFmtId="0" fontId="5" fillId="34" borderId="10" xfId="0" applyNumberFormat="1" applyFont="1" applyFill="1" applyBorder="1" applyAlignment="1">
      <alignment horizontal="center" wrapText="1"/>
    </xf>
    <xf numFmtId="0" fontId="5" fillId="34" borderId="10" xfId="0" applyNumberFormat="1" applyFont="1" applyFill="1" applyBorder="1" applyAlignment="1">
      <alignment horizontal="center" wrapText="1"/>
    </xf>
    <xf numFmtId="9" fontId="3" fillId="34" borderId="10" xfId="57" applyFont="1" applyFill="1" applyBorder="1" applyAlignment="1">
      <alignment/>
    </xf>
    <xf numFmtId="169" fontId="3" fillId="34" borderId="10" xfId="57" applyNumberFormat="1" applyFont="1" applyFill="1" applyBorder="1" applyAlignment="1">
      <alignment/>
    </xf>
    <xf numFmtId="0" fontId="6" fillId="34" borderId="10" xfId="0" applyNumberFormat="1" applyFont="1" applyFill="1" applyBorder="1" applyAlignment="1">
      <alignment horizontal="left"/>
    </xf>
    <xf numFmtId="0" fontId="0" fillId="0" borderId="0" xfId="0" applyAlignment="1" quotePrefix="1">
      <alignment/>
    </xf>
    <xf numFmtId="169" fontId="3" fillId="35" borderId="10" xfId="44" applyNumberFormat="1" applyFont="1" applyFill="1" applyBorder="1" applyAlignment="1">
      <alignment/>
    </xf>
    <xf numFmtId="0" fontId="0" fillId="35" borderId="0" xfId="0" applyFill="1" applyAlignment="1">
      <alignment/>
    </xf>
    <xf numFmtId="0" fontId="6" fillId="34" borderId="11" xfId="0" applyNumberFormat="1" applyFont="1" applyFill="1" applyBorder="1" applyAlignment="1">
      <alignment horizontal="left"/>
    </xf>
    <xf numFmtId="0" fontId="0" fillId="0" borderId="0" xfId="0" applyAlignment="1">
      <alignment horizontal="center"/>
    </xf>
    <xf numFmtId="166" fontId="3" fillId="34" borderId="10" xfId="57" applyNumberFormat="1" applyFont="1" applyFill="1" applyBorder="1" applyAlignment="1">
      <alignment/>
    </xf>
    <xf numFmtId="44" fontId="0" fillId="0" borderId="0" xfId="0" applyNumberFormat="1" applyAlignment="1">
      <alignment/>
    </xf>
    <xf numFmtId="0" fontId="51" fillId="33" borderId="0" xfId="0" applyNumberFormat="1" applyFont="1" applyFill="1" applyBorder="1" applyAlignment="1">
      <alignment vertical="top" wrapText="1"/>
    </xf>
    <xf numFmtId="0" fontId="0" fillId="0" borderId="0" xfId="0" applyBorder="1" applyAlignment="1">
      <alignment vertical="center" wrapText="1"/>
    </xf>
    <xf numFmtId="0" fontId="2" fillId="0" borderId="0" xfId="0" applyNumberFormat="1" applyFont="1" applyBorder="1" applyAlignment="1">
      <alignment/>
    </xf>
    <xf numFmtId="0" fontId="3" fillId="0" borderId="0" xfId="0" applyNumberFormat="1" applyFont="1" applyBorder="1" applyAlignment="1">
      <alignment vertical="center"/>
    </xf>
    <xf numFmtId="0" fontId="52" fillId="0" borderId="0" xfId="0" applyNumberFormat="1" applyFont="1" applyFill="1" applyBorder="1" applyAlignment="1">
      <alignment/>
    </xf>
    <xf numFmtId="0" fontId="7" fillId="33" borderId="0" xfId="0" applyNumberFormat="1" applyFont="1" applyFill="1" applyBorder="1" applyAlignment="1">
      <alignment vertical="top" wrapText="1"/>
    </xf>
    <xf numFmtId="167" fontId="3" fillId="34" borderId="0" xfId="0" applyNumberFormat="1" applyFont="1" applyFill="1" applyBorder="1" applyAlignment="1">
      <alignment/>
    </xf>
    <xf numFmtId="168" fontId="3" fillId="34" borderId="0" xfId="0" applyNumberFormat="1" applyFont="1" applyFill="1" applyBorder="1" applyAlignment="1">
      <alignment/>
    </xf>
    <xf numFmtId="164" fontId="3" fillId="34" borderId="0" xfId="0" applyNumberFormat="1" applyFont="1" applyFill="1" applyBorder="1" applyAlignment="1">
      <alignment/>
    </xf>
    <xf numFmtId="0" fontId="3" fillId="34" borderId="0" xfId="0" applyNumberFormat="1" applyFont="1" applyFill="1" applyBorder="1" applyAlignment="1">
      <alignment horizontal="left"/>
    </xf>
    <xf numFmtId="0" fontId="3" fillId="0" borderId="0" xfId="0" applyNumberFormat="1" applyFont="1" applyBorder="1" applyAlignment="1">
      <alignment/>
    </xf>
    <xf numFmtId="169" fontId="7" fillId="36" borderId="0" xfId="44" applyNumberFormat="1" applyFont="1" applyFill="1" applyBorder="1" applyAlignment="1" applyProtection="1">
      <alignment horizontal="left"/>
      <protection locked="0"/>
    </xf>
    <xf numFmtId="9" fontId="7" fillId="0" borderId="0" xfId="0" applyNumberFormat="1" applyFont="1" applyFill="1" applyBorder="1" applyAlignment="1" applyProtection="1">
      <alignment/>
      <protection locked="0"/>
    </xf>
    <xf numFmtId="0" fontId="3" fillId="34" borderId="12" xfId="0" applyNumberFormat="1" applyFont="1" applyFill="1" applyBorder="1" applyAlignment="1" applyProtection="1">
      <alignment/>
      <protection locked="0"/>
    </xf>
    <xf numFmtId="0" fontId="3" fillId="33" borderId="13" xfId="0" applyNumberFormat="1" applyFont="1" applyFill="1" applyBorder="1" applyAlignment="1" applyProtection="1">
      <alignment/>
      <protection locked="0"/>
    </xf>
    <xf numFmtId="0" fontId="3" fillId="34" borderId="14" xfId="0" applyNumberFormat="1" applyFont="1" applyFill="1" applyBorder="1" applyAlignment="1" applyProtection="1">
      <alignment/>
      <protection locked="0"/>
    </xf>
    <xf numFmtId="169" fontId="7" fillId="0" borderId="15" xfId="44" applyNumberFormat="1" applyFont="1" applyFill="1" applyBorder="1" applyAlignment="1" applyProtection="1">
      <alignment horizontal="left"/>
      <protection locked="0"/>
    </xf>
    <xf numFmtId="0" fontId="7" fillId="0" borderId="15" xfId="0" applyNumberFormat="1" applyFont="1" applyFill="1" applyBorder="1" applyAlignment="1" applyProtection="1">
      <alignment horizontal="left"/>
      <protection locked="0"/>
    </xf>
    <xf numFmtId="0" fontId="3" fillId="33" borderId="15" xfId="0" applyNumberFormat="1" applyFont="1" applyFill="1" applyBorder="1" applyAlignment="1" applyProtection="1">
      <alignment/>
      <protection locked="0"/>
    </xf>
    <xf numFmtId="0" fontId="6" fillId="34" borderId="16" xfId="0" applyNumberFormat="1" applyFont="1" applyFill="1" applyBorder="1" applyAlignment="1" applyProtection="1">
      <alignment/>
      <protection locked="0"/>
    </xf>
    <xf numFmtId="169" fontId="7" fillId="0" borderId="0" xfId="44"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left"/>
      <protection locked="0"/>
    </xf>
    <xf numFmtId="0" fontId="3" fillId="33" borderId="0" xfId="0" applyNumberFormat="1" applyFont="1" applyFill="1" applyBorder="1" applyAlignment="1" applyProtection="1">
      <alignment/>
      <protection locked="0"/>
    </xf>
    <xf numFmtId="0" fontId="3" fillId="34" borderId="16" xfId="0" applyNumberFormat="1" applyFont="1" applyFill="1" applyBorder="1" applyAlignment="1" applyProtection="1">
      <alignment/>
      <protection locked="0"/>
    </xf>
    <xf numFmtId="9" fontId="7" fillId="0" borderId="0" xfId="57" applyFont="1" applyFill="1" applyBorder="1" applyAlignment="1" applyProtection="1">
      <alignment horizontal="center"/>
      <protection locked="0"/>
    </xf>
    <xf numFmtId="164" fontId="7" fillId="36" borderId="0" xfId="0" applyNumberFormat="1" applyFont="1" applyFill="1" applyBorder="1" applyAlignment="1" applyProtection="1">
      <alignment/>
      <protection locked="0"/>
    </xf>
    <xf numFmtId="0" fontId="3" fillId="34" borderId="0" xfId="0" applyNumberFormat="1" applyFont="1" applyFill="1" applyBorder="1" applyAlignment="1" applyProtection="1">
      <alignment/>
      <protection locked="0"/>
    </xf>
    <xf numFmtId="10" fontId="7" fillId="0" borderId="0" xfId="0" applyNumberFormat="1" applyFont="1" applyFill="1" applyBorder="1" applyAlignment="1" applyProtection="1">
      <alignment/>
      <protection locked="0"/>
    </xf>
    <xf numFmtId="0" fontId="2" fillId="0" borderId="0" xfId="0" applyNumberFormat="1" applyFont="1" applyBorder="1" applyAlignment="1" applyProtection="1">
      <alignment/>
      <protection locked="0"/>
    </xf>
    <xf numFmtId="0" fontId="2" fillId="0" borderId="17" xfId="0" applyNumberFormat="1" applyFont="1" applyBorder="1" applyAlignment="1" applyProtection="1">
      <alignment/>
      <protection locked="0"/>
    </xf>
    <xf numFmtId="164" fontId="7" fillId="0" borderId="0" xfId="0" applyNumberFormat="1" applyFont="1" applyFill="1" applyBorder="1" applyAlignment="1" applyProtection="1">
      <alignment/>
      <protection locked="0"/>
    </xf>
    <xf numFmtId="0" fontId="3" fillId="34" borderId="16" xfId="0" applyNumberFormat="1" applyFont="1" applyFill="1" applyBorder="1" applyAlignment="1" applyProtection="1">
      <alignment/>
      <protection locked="0"/>
    </xf>
    <xf numFmtId="1" fontId="7" fillId="0" borderId="0" xfId="0" applyNumberFormat="1" applyFont="1" applyFill="1" applyBorder="1" applyAlignment="1" applyProtection="1">
      <alignment/>
      <protection locked="0"/>
    </xf>
    <xf numFmtId="1" fontId="3" fillId="34" borderId="0" xfId="0" applyNumberFormat="1" applyFont="1" applyFill="1" applyBorder="1" applyAlignment="1" applyProtection="1">
      <alignment horizontal="center"/>
      <protection locked="0"/>
    </xf>
    <xf numFmtId="0" fontId="3" fillId="34" borderId="0" xfId="0" applyNumberFormat="1" applyFont="1" applyFill="1" applyBorder="1" applyAlignment="1" applyProtection="1">
      <alignment horizontal="center"/>
      <protection locked="0"/>
    </xf>
    <xf numFmtId="8" fontId="7" fillId="36" borderId="0" xfId="0" applyNumberFormat="1" applyFont="1" applyFill="1" applyBorder="1" applyAlignment="1" applyProtection="1">
      <alignment/>
      <protection locked="0"/>
    </xf>
    <xf numFmtId="44" fontId="3" fillId="36" borderId="0" xfId="0" applyNumberFormat="1" applyFont="1" applyFill="1" applyBorder="1" applyAlignment="1" applyProtection="1">
      <alignment/>
      <protection locked="0"/>
    </xf>
    <xf numFmtId="0" fontId="3" fillId="33" borderId="17" xfId="0" applyNumberFormat="1" applyFont="1" applyFill="1" applyBorder="1" applyAlignment="1" applyProtection="1">
      <alignment/>
      <protection locked="0"/>
    </xf>
    <xf numFmtId="165" fontId="7" fillId="0" borderId="0" xfId="0" applyNumberFormat="1" applyFont="1" applyFill="1" applyBorder="1" applyAlignment="1" applyProtection="1">
      <alignment/>
      <protection locked="0"/>
    </xf>
    <xf numFmtId="165" fontId="3" fillId="36" borderId="0" xfId="0" applyNumberFormat="1" applyFont="1" applyFill="1" applyBorder="1" applyAlignment="1" applyProtection="1">
      <alignment/>
      <protection locked="0"/>
    </xf>
    <xf numFmtId="0" fontId="2" fillId="34" borderId="0" xfId="0" applyNumberFormat="1" applyFont="1" applyFill="1" applyBorder="1" applyAlignment="1" applyProtection="1">
      <alignment/>
      <protection locked="0"/>
    </xf>
    <xf numFmtId="0" fontId="3" fillId="34" borderId="0" xfId="0" applyNumberFormat="1" applyFont="1" applyFill="1" applyBorder="1" applyAlignment="1" applyProtection="1">
      <alignment horizontal="left"/>
      <protection locked="0"/>
    </xf>
    <xf numFmtId="0" fontId="3" fillId="34" borderId="17" xfId="0" applyNumberFormat="1" applyFont="1" applyFill="1" applyBorder="1" applyAlignment="1" applyProtection="1">
      <alignment horizontal="left"/>
      <protection locked="0"/>
    </xf>
    <xf numFmtId="165" fontId="3" fillId="36" borderId="0" xfId="0" applyNumberFormat="1" applyFont="1" applyFill="1" applyBorder="1" applyAlignment="1" applyProtection="1">
      <alignment/>
      <protection locked="0"/>
    </xf>
    <xf numFmtId="165" fontId="3" fillId="34" borderId="0" xfId="0" applyNumberFormat="1" applyFont="1" applyFill="1" applyBorder="1" applyAlignment="1" applyProtection="1">
      <alignment/>
      <protection locked="0"/>
    </xf>
    <xf numFmtId="0" fontId="4" fillId="33" borderId="0" xfId="0" applyNumberFormat="1" applyFont="1" applyFill="1" applyBorder="1" applyAlignment="1" applyProtection="1">
      <alignment horizontal="left"/>
      <protection locked="0"/>
    </xf>
    <xf numFmtId="165" fontId="6" fillId="36" borderId="0" xfId="0" applyNumberFormat="1" applyFont="1" applyFill="1" applyBorder="1" applyAlignment="1" applyProtection="1">
      <alignment/>
      <protection locked="0"/>
    </xf>
    <xf numFmtId="44" fontId="3" fillId="33" borderId="0" xfId="0" applyNumberFormat="1" applyFont="1" applyFill="1" applyBorder="1" applyAlignment="1" applyProtection="1">
      <alignment/>
      <protection locked="0"/>
    </xf>
    <xf numFmtId="0" fontId="3" fillId="34" borderId="0" xfId="0" applyNumberFormat="1" applyFont="1" applyFill="1" applyBorder="1" applyAlignment="1" applyProtection="1">
      <alignment horizontal="center"/>
      <protection locked="0"/>
    </xf>
    <xf numFmtId="0" fontId="3" fillId="33" borderId="0" xfId="0" applyNumberFormat="1" applyFont="1" applyFill="1" applyBorder="1" applyAlignment="1" applyProtection="1">
      <alignment/>
      <protection locked="0"/>
    </xf>
    <xf numFmtId="44" fontId="3" fillId="33" borderId="17" xfId="44" applyFont="1" applyFill="1" applyBorder="1" applyAlignment="1" applyProtection="1">
      <alignment/>
      <protection locked="0"/>
    </xf>
    <xf numFmtId="44" fontId="8" fillId="36" borderId="0" xfId="0" applyNumberFormat="1" applyFont="1" applyFill="1" applyBorder="1" applyAlignment="1" applyProtection="1">
      <alignment/>
      <protection locked="0"/>
    </xf>
    <xf numFmtId="165" fontId="7" fillId="36" borderId="0" xfId="0" applyNumberFormat="1" applyFont="1" applyFill="1" applyBorder="1" applyAlignment="1" applyProtection="1">
      <alignment/>
      <protection locked="0"/>
    </xf>
    <xf numFmtId="166" fontId="7" fillId="0" borderId="0" xfId="0" applyNumberFormat="1" applyFont="1" applyFill="1" applyBorder="1" applyAlignment="1" applyProtection="1">
      <alignment horizontal="center"/>
      <protection locked="0"/>
    </xf>
    <xf numFmtId="164" fontId="3" fillId="33" borderId="17" xfId="0" applyNumberFormat="1" applyFont="1" applyFill="1" applyBorder="1" applyAlignment="1" applyProtection="1">
      <alignment/>
      <protection locked="0"/>
    </xf>
    <xf numFmtId="164" fontId="53" fillId="33" borderId="0" xfId="0" applyNumberFormat="1" applyFont="1" applyFill="1" applyBorder="1" applyAlignment="1" applyProtection="1">
      <alignment/>
      <protection locked="0"/>
    </xf>
    <xf numFmtId="0" fontId="53" fillId="0" borderId="0" xfId="0" applyNumberFormat="1" applyFont="1" applyBorder="1" applyAlignment="1" applyProtection="1">
      <alignment/>
      <protection locked="0"/>
    </xf>
    <xf numFmtId="10" fontId="3" fillId="33" borderId="0" xfId="57" applyNumberFormat="1" applyFont="1" applyFill="1" applyBorder="1" applyAlignment="1" applyProtection="1">
      <alignment/>
      <protection locked="0"/>
    </xf>
    <xf numFmtId="164" fontId="54" fillId="35" borderId="0" xfId="0" applyNumberFormat="1" applyFont="1" applyFill="1" applyBorder="1" applyAlignment="1" applyProtection="1">
      <alignment/>
      <protection locked="0"/>
    </xf>
    <xf numFmtId="164" fontId="3" fillId="33" borderId="0" xfId="0" applyNumberFormat="1" applyFont="1" applyFill="1" applyBorder="1" applyAlignment="1" applyProtection="1">
      <alignment/>
      <protection locked="0"/>
    </xf>
    <xf numFmtId="165" fontId="3" fillId="34" borderId="0" xfId="0" applyNumberFormat="1" applyFont="1" applyFill="1" applyBorder="1" applyAlignment="1" applyProtection="1">
      <alignment/>
      <protection locked="0"/>
    </xf>
    <xf numFmtId="166" fontId="7" fillId="0" borderId="0" xfId="0" applyNumberFormat="1" applyFont="1" applyFill="1" applyBorder="1" applyAlignment="1" applyProtection="1">
      <alignment/>
      <protection locked="0"/>
    </xf>
    <xf numFmtId="0" fontId="2" fillId="0" borderId="18" xfId="0" applyNumberFormat="1" applyFont="1" applyBorder="1" applyAlignment="1" applyProtection="1">
      <alignment/>
      <protection locked="0"/>
    </xf>
    <xf numFmtId="0" fontId="2" fillId="0" borderId="19" xfId="0" applyNumberFormat="1" applyFont="1" applyBorder="1" applyAlignment="1" applyProtection="1">
      <alignment/>
      <protection locked="0"/>
    </xf>
    <xf numFmtId="0" fontId="2" fillId="0" borderId="20" xfId="0" applyNumberFormat="1" applyFont="1" applyBorder="1" applyAlignment="1" applyProtection="1">
      <alignment/>
      <protection locked="0"/>
    </xf>
    <xf numFmtId="0" fontId="7" fillId="33" borderId="21" xfId="0" applyNumberFormat="1" applyFont="1" applyFill="1" applyBorder="1" applyAlignment="1" applyProtection="1">
      <alignment horizontal="left" vertical="top" wrapText="1"/>
      <protection locked="0"/>
    </xf>
    <xf numFmtId="0" fontId="7" fillId="33" borderId="0" xfId="0" applyNumberFormat="1" applyFont="1" applyFill="1" applyBorder="1" applyAlignment="1" applyProtection="1">
      <alignment horizontal="left" vertical="top" wrapText="1"/>
      <protection locked="0"/>
    </xf>
    <xf numFmtId="0" fontId="7" fillId="37" borderId="22" xfId="0" applyNumberFormat="1" applyFont="1" applyFill="1" applyBorder="1" applyAlignment="1" applyProtection="1">
      <alignment horizontal="center" vertical="center"/>
      <protection locked="0"/>
    </xf>
    <xf numFmtId="0" fontId="7" fillId="37" borderId="21" xfId="0" applyNumberFormat="1" applyFont="1" applyFill="1" applyBorder="1" applyAlignment="1" applyProtection="1">
      <alignment horizontal="center" vertical="center"/>
      <protection locked="0"/>
    </xf>
    <xf numFmtId="0" fontId="7" fillId="37" borderId="23" xfId="0" applyNumberFormat="1" applyFont="1" applyFill="1" applyBorder="1" applyAlignment="1" applyProtection="1">
      <alignment horizontal="center" vertical="center"/>
      <protection locked="0"/>
    </xf>
    <xf numFmtId="0" fontId="55" fillId="0" borderId="16"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protection locked="0"/>
    </xf>
    <xf numFmtId="0" fontId="55" fillId="0" borderId="17" xfId="0" applyNumberFormat="1" applyFont="1" applyBorder="1" applyAlignment="1" applyProtection="1">
      <alignment horizontal="center" vertical="center"/>
      <protection locked="0"/>
    </xf>
    <xf numFmtId="0" fontId="55" fillId="0" borderId="18" xfId="0" applyNumberFormat="1" applyFont="1" applyBorder="1" applyAlignment="1" applyProtection="1">
      <alignment horizontal="center" vertical="center"/>
      <protection locked="0"/>
    </xf>
    <xf numFmtId="0" fontId="55" fillId="0" borderId="19" xfId="0" applyNumberFormat="1" applyFont="1" applyBorder="1" applyAlignment="1" applyProtection="1">
      <alignment horizontal="center" vertical="center"/>
      <protection locked="0"/>
    </xf>
    <xf numFmtId="0" fontId="55" fillId="0" borderId="20" xfId="0" applyNumberFormat="1" applyFont="1" applyBorder="1" applyAlignment="1" applyProtection="1">
      <alignment horizontal="center" vertical="center"/>
      <protection locked="0"/>
    </xf>
    <xf numFmtId="0" fontId="3" fillId="38" borderId="16" xfId="0" applyNumberFormat="1" applyFont="1" applyFill="1" applyBorder="1" applyAlignment="1" applyProtection="1">
      <alignment/>
      <protection locked="0"/>
    </xf>
    <xf numFmtId="0" fontId="3" fillId="38" borderId="0" xfId="0" applyNumberFormat="1" applyFont="1" applyFill="1" applyBorder="1" applyAlignment="1" applyProtection="1">
      <alignment/>
      <protection locked="0"/>
    </xf>
    <xf numFmtId="0" fontId="6" fillId="34" borderId="16" xfId="0" applyNumberFormat="1" applyFont="1" applyFill="1" applyBorder="1" applyAlignment="1" applyProtection="1">
      <alignment horizontal="left"/>
      <protection locked="0"/>
    </xf>
    <xf numFmtId="0" fontId="6" fillId="34" borderId="0" xfId="0" applyNumberFormat="1" applyFont="1" applyFill="1" applyBorder="1" applyAlignment="1" applyProtection="1">
      <alignment horizontal="left"/>
      <protection locked="0"/>
    </xf>
    <xf numFmtId="0" fontId="3" fillId="34" borderId="0" xfId="0" applyNumberFormat="1" applyFont="1" applyFill="1" applyBorder="1" applyAlignment="1" applyProtection="1">
      <alignment/>
      <protection locked="0"/>
    </xf>
    <xf numFmtId="0" fontId="3" fillId="38" borderId="16" xfId="0" applyNumberFormat="1" applyFont="1" applyFill="1" applyBorder="1" applyAlignment="1" applyProtection="1">
      <alignment/>
      <protection locked="0"/>
    </xf>
    <xf numFmtId="0" fontId="3" fillId="38" borderId="0" xfId="0" applyNumberFormat="1" applyFont="1" applyFill="1" applyBorder="1" applyAlignment="1" applyProtection="1">
      <alignment/>
      <protection locked="0"/>
    </xf>
    <xf numFmtId="0" fontId="52" fillId="39" borderId="22" xfId="0" applyNumberFormat="1" applyFont="1" applyFill="1" applyBorder="1" applyAlignment="1" applyProtection="1">
      <alignment horizontal="center"/>
      <protection locked="0"/>
    </xf>
    <xf numFmtId="0" fontId="52" fillId="39" borderId="21" xfId="0" applyNumberFormat="1" applyFont="1" applyFill="1" applyBorder="1" applyAlignment="1" applyProtection="1">
      <alignment horizontal="center"/>
      <protection locked="0"/>
    </xf>
    <xf numFmtId="0" fontId="52" fillId="39" borderId="2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left"/>
      <protection locked="0"/>
    </xf>
    <xf numFmtId="0" fontId="7" fillId="0" borderId="13" xfId="0" applyNumberFormat="1" applyFont="1" applyFill="1" applyBorder="1" applyAlignment="1" applyProtection="1">
      <alignment horizontal="left"/>
      <protection locked="0"/>
    </xf>
    <xf numFmtId="0" fontId="0" fillId="0" borderId="0" xfId="0" applyBorder="1" applyAlignment="1" applyProtection="1">
      <alignment horizontal="center" vertical="center" wrapText="1"/>
      <protection locked="0"/>
    </xf>
    <xf numFmtId="0" fontId="51" fillId="33" borderId="0" xfId="0" applyNumberFormat="1" applyFont="1" applyFill="1" applyBorder="1" applyAlignment="1">
      <alignment vertical="top" wrapText="1"/>
    </xf>
    <xf numFmtId="0" fontId="3" fillId="33" borderId="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CCCCC"/>
      <rgbColor rgb="00FFFFFF"/>
      <rgbColor rgb="0066B132"/>
      <rgbColor rgb="00000099"/>
      <rgbColor rgb="00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2</xdr:row>
      <xdr:rowOff>76200</xdr:rowOff>
    </xdr:from>
    <xdr:to>
      <xdr:col>6</xdr:col>
      <xdr:colOff>790575</xdr:colOff>
      <xdr:row>10</xdr:row>
      <xdr:rowOff>209550</xdr:rowOff>
    </xdr:to>
    <xdr:pic>
      <xdr:nvPicPr>
        <xdr:cNvPr id="1" name="Picture 3"/>
        <xdr:cNvPicPr preferRelativeResize="1">
          <a:picLocks noChangeAspect="1"/>
        </xdr:cNvPicPr>
      </xdr:nvPicPr>
      <xdr:blipFill>
        <a:blip r:embed="rId1"/>
        <a:stretch>
          <a:fillRect/>
        </a:stretch>
      </xdr:blipFill>
      <xdr:spPr>
        <a:xfrm>
          <a:off x="7343775" y="552450"/>
          <a:ext cx="2800350"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6"/>
  <sheetViews>
    <sheetView showGridLines="0" tabSelected="1" zoomScaleSheetLayoutView="100" zoomScalePageLayoutView="0" workbookViewId="0" topLeftCell="A10">
      <selection activeCell="E19" sqref="E19"/>
    </sheetView>
  </sheetViews>
  <sheetFormatPr defaultColWidth="10.296875" defaultRowHeight="19.5" customHeight="1"/>
  <cols>
    <col min="1" max="1" width="35.59765625" style="1" customWidth="1"/>
    <col min="2" max="2" width="13.69921875" style="1" customWidth="1"/>
    <col min="3" max="3" width="15.5" style="1" customWidth="1"/>
    <col min="4" max="4" width="10.09765625" style="1" customWidth="1"/>
    <col min="5" max="5" width="10.59765625" style="1" customWidth="1"/>
    <col min="6" max="6" width="12.69921875" style="1" customWidth="1"/>
    <col min="7" max="7" width="12.3984375" style="1" customWidth="1"/>
    <col min="8" max="8" width="9" style="1" customWidth="1"/>
    <col min="9" max="16384" width="10.19921875" style="1" customWidth="1"/>
  </cols>
  <sheetData>
    <row r="1" spans="1:9" ht="18.75" customHeight="1" thickBot="1">
      <c r="A1" s="110" t="s">
        <v>81</v>
      </c>
      <c r="B1" s="111"/>
      <c r="C1" s="111"/>
      <c r="D1" s="111"/>
      <c r="E1" s="111"/>
      <c r="F1" s="111"/>
      <c r="G1" s="112"/>
      <c r="H1" s="31"/>
      <c r="I1" s="31"/>
    </row>
    <row r="2" spans="1:9" ht="18.75" customHeight="1">
      <c r="A2" s="40" t="s">
        <v>0</v>
      </c>
      <c r="B2" s="113"/>
      <c r="C2" s="113"/>
      <c r="D2" s="41"/>
      <c r="E2" s="94" t="s">
        <v>83</v>
      </c>
      <c r="F2" s="95"/>
      <c r="G2" s="96"/>
      <c r="H2" s="30"/>
      <c r="I2" s="29"/>
    </row>
    <row r="3" spans="1:9" ht="18.75" customHeight="1">
      <c r="A3" s="40" t="s">
        <v>1</v>
      </c>
      <c r="B3" s="114" t="s">
        <v>86</v>
      </c>
      <c r="C3" s="114"/>
      <c r="D3" s="41"/>
      <c r="E3" s="97" t="s">
        <v>84</v>
      </c>
      <c r="F3" s="98"/>
      <c r="G3" s="99"/>
      <c r="H3" s="30"/>
      <c r="I3" s="29"/>
    </row>
    <row r="4" spans="1:9" ht="18.75" customHeight="1">
      <c r="A4" s="40" t="s">
        <v>77</v>
      </c>
      <c r="B4" s="114"/>
      <c r="C4" s="114"/>
      <c r="D4" s="41"/>
      <c r="E4" s="97"/>
      <c r="F4" s="98"/>
      <c r="G4" s="99"/>
      <c r="H4" s="30"/>
      <c r="I4" s="29"/>
    </row>
    <row r="5" spans="1:9" ht="18.75" customHeight="1">
      <c r="A5" s="42" t="s">
        <v>76</v>
      </c>
      <c r="B5" s="43">
        <v>200000</v>
      </c>
      <c r="C5" s="44"/>
      <c r="D5" s="45"/>
      <c r="E5" s="97"/>
      <c r="F5" s="98"/>
      <c r="G5" s="99"/>
      <c r="H5" s="30"/>
      <c r="I5" s="29"/>
    </row>
    <row r="6" spans="1:9" ht="18.75" customHeight="1">
      <c r="A6" s="46" t="s">
        <v>32</v>
      </c>
      <c r="B6" s="47">
        <v>250000</v>
      </c>
      <c r="C6" s="48"/>
      <c r="D6" s="49"/>
      <c r="E6" s="97"/>
      <c r="F6" s="98"/>
      <c r="G6" s="99"/>
      <c r="H6" s="30"/>
      <c r="I6" s="29"/>
    </row>
    <row r="7" spans="1:9" ht="18.75" customHeight="1">
      <c r="A7" s="50" t="s">
        <v>35</v>
      </c>
      <c r="B7" s="51">
        <v>0.1</v>
      </c>
      <c r="C7" s="38">
        <f>B6*B7</f>
        <v>25000</v>
      </c>
      <c r="D7" s="49"/>
      <c r="E7" s="97"/>
      <c r="F7" s="98"/>
      <c r="G7" s="99"/>
      <c r="H7" s="30"/>
      <c r="I7" s="29"/>
    </row>
    <row r="8" spans="1:9" ht="18.75" customHeight="1">
      <c r="A8" s="46" t="s">
        <v>37</v>
      </c>
      <c r="B8" s="52">
        <f>B6-(B6*B7)</f>
        <v>225000</v>
      </c>
      <c r="C8" s="53"/>
      <c r="D8" s="49"/>
      <c r="E8" s="97"/>
      <c r="F8" s="98"/>
      <c r="G8" s="99"/>
      <c r="H8" s="30"/>
      <c r="I8" s="29"/>
    </row>
    <row r="9" spans="1:9" ht="18.75" customHeight="1">
      <c r="A9" s="50" t="s">
        <v>2</v>
      </c>
      <c r="B9" s="39">
        <v>0.2</v>
      </c>
      <c r="C9" s="53"/>
      <c r="D9" s="49"/>
      <c r="E9" s="97"/>
      <c r="F9" s="98"/>
      <c r="G9" s="99"/>
      <c r="H9" s="28"/>
      <c r="I9" s="29"/>
    </row>
    <row r="10" spans="1:9" ht="18.75" customHeight="1">
      <c r="A10" s="46" t="s">
        <v>3</v>
      </c>
      <c r="B10" s="52">
        <f>B8*B9</f>
        <v>45000</v>
      </c>
      <c r="C10" s="53"/>
      <c r="D10" s="49"/>
      <c r="E10" s="97"/>
      <c r="F10" s="98"/>
      <c r="G10" s="99"/>
      <c r="H10" s="28"/>
      <c r="I10" s="29"/>
    </row>
    <row r="11" spans="1:9" ht="18.75" customHeight="1" thickBot="1">
      <c r="A11" s="46" t="s">
        <v>4</v>
      </c>
      <c r="B11" s="52">
        <f>B8-B10</f>
        <v>180000</v>
      </c>
      <c r="C11" s="53"/>
      <c r="D11" s="49"/>
      <c r="E11" s="100"/>
      <c r="F11" s="101"/>
      <c r="G11" s="102"/>
      <c r="H11" s="28"/>
      <c r="I11" s="29"/>
    </row>
    <row r="12" spans="1:9" ht="18.75" customHeight="1">
      <c r="A12" s="50" t="s">
        <v>5</v>
      </c>
      <c r="B12" s="54">
        <v>0.0575</v>
      </c>
      <c r="C12" s="53"/>
      <c r="D12" s="49"/>
      <c r="E12" s="55"/>
      <c r="F12" s="55"/>
      <c r="G12" s="56"/>
      <c r="H12" s="28"/>
      <c r="I12" s="29"/>
    </row>
    <row r="13" spans="1:9" ht="18.75" customHeight="1">
      <c r="A13" s="50" t="s">
        <v>41</v>
      </c>
      <c r="B13" s="57">
        <v>2500</v>
      </c>
      <c r="C13" s="53"/>
      <c r="D13" s="49"/>
      <c r="E13" s="55"/>
      <c r="F13" s="55"/>
      <c r="G13" s="56"/>
      <c r="H13" s="28"/>
      <c r="I13" s="29"/>
    </row>
    <row r="14" spans="1:9" ht="18.75" customHeight="1">
      <c r="A14" s="58" t="s">
        <v>78</v>
      </c>
      <c r="B14" s="59">
        <v>30</v>
      </c>
      <c r="C14" s="53"/>
      <c r="D14" s="49"/>
      <c r="E14" s="55"/>
      <c r="F14" s="55"/>
      <c r="G14" s="56"/>
      <c r="H14" s="28"/>
      <c r="I14" s="29"/>
    </row>
    <row r="15" spans="1:9" ht="18.75" customHeight="1">
      <c r="A15" s="58" t="s">
        <v>6</v>
      </c>
      <c r="B15" s="60" t="s">
        <v>7</v>
      </c>
      <c r="C15" s="61" t="s">
        <v>8</v>
      </c>
      <c r="D15" s="49"/>
      <c r="E15" s="55"/>
      <c r="F15" s="55"/>
      <c r="G15" s="56"/>
      <c r="H15" s="28"/>
      <c r="I15" s="29"/>
    </row>
    <row r="16" spans="1:9" ht="18.75" customHeight="1">
      <c r="A16" s="46" t="s">
        <v>9</v>
      </c>
      <c r="B16" s="62">
        <f>PMT(B12/12,B14*12,B11*-1)</f>
        <v>1050.4311415983952</v>
      </c>
      <c r="C16" s="63">
        <f>B16*12</f>
        <v>12605.173699180743</v>
      </c>
      <c r="D16" s="49"/>
      <c r="E16" s="49"/>
      <c r="F16" s="49"/>
      <c r="G16" s="64"/>
      <c r="H16" s="2"/>
      <c r="I16" s="29"/>
    </row>
    <row r="17" spans="1:9" ht="15">
      <c r="A17" s="103"/>
      <c r="B17" s="104"/>
      <c r="C17" s="104"/>
      <c r="D17" s="49"/>
      <c r="E17" s="55"/>
      <c r="F17" s="55"/>
      <c r="G17" s="64"/>
      <c r="H17" s="2"/>
      <c r="I17" s="29"/>
    </row>
    <row r="18" spans="1:9" ht="18.75" customHeight="1">
      <c r="A18" s="46" t="s">
        <v>10</v>
      </c>
      <c r="B18" s="61" t="s">
        <v>7</v>
      </c>
      <c r="C18" s="61" t="s">
        <v>8</v>
      </c>
      <c r="D18" s="49"/>
      <c r="E18" s="49"/>
      <c r="F18" s="49"/>
      <c r="G18" s="64"/>
      <c r="H18" s="2"/>
      <c r="I18" s="29"/>
    </row>
    <row r="19" spans="1:9" ht="18.75" customHeight="1">
      <c r="A19" s="58" t="s">
        <v>11</v>
      </c>
      <c r="B19" s="65">
        <v>1560</v>
      </c>
      <c r="C19" s="66">
        <f>B19*12</f>
        <v>18720</v>
      </c>
      <c r="D19" s="49"/>
      <c r="E19" s="49"/>
      <c r="F19" s="49"/>
      <c r="G19" s="64"/>
      <c r="H19" s="2"/>
      <c r="I19" s="29"/>
    </row>
    <row r="20" spans="1:9" ht="18.75" customHeight="1">
      <c r="A20" s="58" t="s">
        <v>12</v>
      </c>
      <c r="B20" s="65">
        <v>0</v>
      </c>
      <c r="C20" s="66">
        <f>B20*12</f>
        <v>0</v>
      </c>
      <c r="D20" s="49"/>
      <c r="E20" s="49"/>
      <c r="F20" s="49"/>
      <c r="G20" s="64"/>
      <c r="H20" s="2"/>
      <c r="I20" s="29"/>
    </row>
    <row r="21" spans="1:9" ht="18.75" customHeight="1">
      <c r="A21" s="58" t="s">
        <v>13</v>
      </c>
      <c r="B21" s="65">
        <v>0</v>
      </c>
      <c r="C21" s="66">
        <f>B21*12</f>
        <v>0</v>
      </c>
      <c r="D21" s="49"/>
      <c r="E21" s="49"/>
      <c r="F21" s="49"/>
      <c r="G21" s="64"/>
      <c r="H21" s="2"/>
      <c r="I21" s="29"/>
    </row>
    <row r="22" spans="1:9" ht="18.75" customHeight="1">
      <c r="A22" s="58" t="s">
        <v>14</v>
      </c>
      <c r="B22" s="65">
        <v>0</v>
      </c>
      <c r="C22" s="66">
        <f>B22*12</f>
        <v>0</v>
      </c>
      <c r="D22" s="49"/>
      <c r="E22" s="67"/>
      <c r="F22" s="68"/>
      <c r="G22" s="69"/>
      <c r="H22" s="4"/>
      <c r="I22" s="29"/>
    </row>
    <row r="23" spans="1:9" ht="18.75" customHeight="1">
      <c r="A23" s="50" t="s">
        <v>33</v>
      </c>
      <c r="B23" s="65">
        <f>SUM(B19:B22)</f>
        <v>1560</v>
      </c>
      <c r="C23" s="70">
        <f>SUM(C19:C22)</f>
        <v>18720</v>
      </c>
      <c r="D23" s="49"/>
      <c r="E23" s="49"/>
      <c r="F23" s="49"/>
      <c r="G23" s="64"/>
      <c r="H23" s="2"/>
      <c r="I23" s="29"/>
    </row>
    <row r="24" spans="1:9" ht="18.75" customHeight="1">
      <c r="A24" s="50" t="s">
        <v>34</v>
      </c>
      <c r="B24" s="39">
        <v>0.05</v>
      </c>
      <c r="C24" s="71"/>
      <c r="D24" s="49"/>
      <c r="E24" s="72"/>
      <c r="F24" s="49"/>
      <c r="G24" s="64"/>
      <c r="H24" s="2"/>
      <c r="I24" s="29"/>
    </row>
    <row r="25" spans="1:9" ht="18.75" customHeight="1">
      <c r="A25" s="46" t="s">
        <v>42</v>
      </c>
      <c r="B25" s="73">
        <f>B23-(B23*$B$24)</f>
        <v>1482</v>
      </c>
      <c r="C25" s="73">
        <f>C23-(C23*$B$24)</f>
        <v>17784</v>
      </c>
      <c r="D25" s="49"/>
      <c r="E25" s="49"/>
      <c r="F25" s="74"/>
      <c r="G25" s="64"/>
      <c r="H25" s="2"/>
      <c r="I25" s="29"/>
    </row>
    <row r="26" spans="1:9" ht="15">
      <c r="A26" s="108"/>
      <c r="B26" s="109"/>
      <c r="C26" s="109"/>
      <c r="D26" s="49"/>
      <c r="E26" s="49"/>
      <c r="F26" s="49"/>
      <c r="G26" s="64"/>
      <c r="H26" s="2"/>
      <c r="I26" s="29"/>
    </row>
    <row r="27" spans="1:9" ht="18.75" customHeight="1">
      <c r="A27" s="46" t="s">
        <v>15</v>
      </c>
      <c r="B27" s="61" t="s">
        <v>80</v>
      </c>
      <c r="C27" s="75" t="s">
        <v>8</v>
      </c>
      <c r="D27" s="76"/>
      <c r="E27" s="49"/>
      <c r="F27" s="49"/>
      <c r="G27" s="77"/>
      <c r="H27" s="2"/>
      <c r="I27" s="29"/>
    </row>
    <row r="28" spans="1:9" ht="18.75" customHeight="1">
      <c r="A28" s="50" t="s">
        <v>17</v>
      </c>
      <c r="B28" s="78">
        <f>C28/12</f>
        <v>148.20000000000002</v>
      </c>
      <c r="C28" s="79">
        <f>C25*D28</f>
        <v>1778.4</v>
      </c>
      <c r="D28" s="80">
        <v>0.1</v>
      </c>
      <c r="E28" s="115"/>
      <c r="F28" s="115"/>
      <c r="G28" s="81"/>
      <c r="H28" s="2"/>
      <c r="I28" s="29"/>
    </row>
    <row r="29" spans="1:9" ht="18.75" customHeight="1">
      <c r="A29" s="50" t="s">
        <v>38</v>
      </c>
      <c r="B29" s="78">
        <f aca="true" t="shared" si="0" ref="B29:B34">C29/12</f>
        <v>12.5</v>
      </c>
      <c r="C29" s="65">
        <v>150</v>
      </c>
      <c r="D29" s="49"/>
      <c r="E29" s="115"/>
      <c r="F29" s="115"/>
      <c r="G29" s="56"/>
      <c r="H29" s="2"/>
      <c r="I29" s="29"/>
    </row>
    <row r="30" spans="1:9" ht="18.75" customHeight="1">
      <c r="A30" s="50" t="s">
        <v>39</v>
      </c>
      <c r="B30" s="78">
        <f t="shared" si="0"/>
        <v>41.666666666666664</v>
      </c>
      <c r="C30" s="65">
        <v>500</v>
      </c>
      <c r="D30" s="49"/>
      <c r="E30" s="49"/>
      <c r="F30" s="49"/>
      <c r="G30" s="56"/>
      <c r="H30" s="2"/>
      <c r="I30" s="29"/>
    </row>
    <row r="31" spans="1:9" ht="18.75" customHeight="1">
      <c r="A31" s="50" t="s">
        <v>31</v>
      </c>
      <c r="B31" s="78">
        <f>C31/12</f>
        <v>16.666666666666668</v>
      </c>
      <c r="C31" s="57">
        <v>200</v>
      </c>
      <c r="D31" s="49"/>
      <c r="E31" s="49"/>
      <c r="F31" s="49"/>
      <c r="G31" s="64"/>
      <c r="H31" s="2"/>
      <c r="I31" s="29"/>
    </row>
    <row r="32" spans="1:9" ht="18.75" customHeight="1">
      <c r="A32" s="50" t="s">
        <v>36</v>
      </c>
      <c r="B32" s="78">
        <f t="shared" si="0"/>
        <v>150</v>
      </c>
      <c r="C32" s="65">
        <v>1800</v>
      </c>
      <c r="D32" s="49"/>
      <c r="E32" s="55"/>
      <c r="F32" s="55"/>
      <c r="G32" s="56"/>
      <c r="H32" s="29"/>
      <c r="I32" s="29"/>
    </row>
    <row r="33" spans="1:9" ht="18.75" customHeight="1">
      <c r="A33" s="50" t="s">
        <v>16</v>
      </c>
      <c r="B33" s="78">
        <f t="shared" si="0"/>
        <v>66.66666666666667</v>
      </c>
      <c r="C33" s="65">
        <v>800</v>
      </c>
      <c r="D33" s="49"/>
      <c r="E33" s="82" t="s">
        <v>74</v>
      </c>
      <c r="F33" s="55"/>
      <c r="G33" s="56"/>
      <c r="H33" s="29"/>
      <c r="I33" s="29"/>
    </row>
    <row r="34" spans="1:9" ht="18.75" customHeight="1">
      <c r="A34" s="50" t="s">
        <v>40</v>
      </c>
      <c r="B34" s="78" t="e">
        <f t="shared" si="0"/>
        <v>#VALUE!</v>
      </c>
      <c r="C34" s="65" t="s">
        <v>79</v>
      </c>
      <c r="D34" s="49"/>
      <c r="E34" s="83" t="s">
        <v>75</v>
      </c>
      <c r="F34" s="55"/>
      <c r="G34" s="56"/>
      <c r="H34" s="29"/>
      <c r="I34" s="29"/>
    </row>
    <row r="35" spans="1:9" ht="18.75" customHeight="1">
      <c r="A35" s="46" t="s">
        <v>18</v>
      </c>
      <c r="B35" s="73" t="e">
        <f>SUM(B28:B34)</f>
        <v>#VALUE!</v>
      </c>
      <c r="C35" s="73">
        <f>SUM(C28:C34)</f>
        <v>5228.4</v>
      </c>
      <c r="D35" s="53"/>
      <c r="E35" s="84">
        <f>(E36)/C23</f>
        <v>0.32929487179487177</v>
      </c>
      <c r="F35" s="55"/>
      <c r="G35" s="56"/>
      <c r="H35" s="29"/>
      <c r="I35" s="29"/>
    </row>
    <row r="36" spans="1:9" ht="15">
      <c r="A36" s="108"/>
      <c r="B36" s="109"/>
      <c r="C36" s="109"/>
      <c r="D36" s="49"/>
      <c r="E36" s="85">
        <f>(C23*B24)+C35</f>
        <v>6164.4</v>
      </c>
      <c r="F36" s="55"/>
      <c r="G36" s="56"/>
      <c r="H36" s="29"/>
      <c r="I36" s="29"/>
    </row>
    <row r="37" spans="1:9" ht="18.75" customHeight="1">
      <c r="A37" s="46" t="s">
        <v>43</v>
      </c>
      <c r="B37" s="73" t="e">
        <f>B25-B35</f>
        <v>#VALUE!</v>
      </c>
      <c r="C37" s="73">
        <f>C25-C35</f>
        <v>12555.6</v>
      </c>
      <c r="D37" s="86"/>
      <c r="E37" s="49"/>
      <c r="F37" s="49"/>
      <c r="G37" s="64"/>
      <c r="H37" s="2"/>
      <c r="I37" s="29"/>
    </row>
    <row r="38" spans="1:9" ht="15">
      <c r="A38" s="103"/>
      <c r="B38" s="104"/>
      <c r="C38" s="104"/>
      <c r="D38" s="49"/>
      <c r="E38" s="49"/>
      <c r="F38" s="49"/>
      <c r="G38" s="64"/>
      <c r="H38" s="2"/>
      <c r="I38" s="29"/>
    </row>
    <row r="39" spans="1:9" ht="18.75" customHeight="1">
      <c r="A39" s="58" t="s">
        <v>19</v>
      </c>
      <c r="B39" s="66">
        <f>C39/12</f>
        <v>1050.4311415983952</v>
      </c>
      <c r="C39" s="66">
        <f>C16</f>
        <v>12605.173699180743</v>
      </c>
      <c r="D39" s="49"/>
      <c r="E39" s="49"/>
      <c r="F39" s="49"/>
      <c r="G39" s="64"/>
      <c r="H39" s="2"/>
      <c r="I39" s="29"/>
    </row>
    <row r="40" spans="1:9" ht="18.75" customHeight="1">
      <c r="A40" s="58" t="s">
        <v>46</v>
      </c>
      <c r="B40" s="66">
        <f>B10+B13</f>
        <v>47500</v>
      </c>
      <c r="C40" s="87"/>
      <c r="D40" s="49"/>
      <c r="E40" s="49"/>
      <c r="F40" s="49"/>
      <c r="G40" s="64"/>
      <c r="H40" s="2"/>
      <c r="I40" s="29"/>
    </row>
    <row r="41" spans="1:10" ht="18.75" customHeight="1">
      <c r="A41" s="46" t="s">
        <v>20</v>
      </c>
      <c r="B41" s="73" t="e">
        <f>B37-B39</f>
        <v>#VALUE!</v>
      </c>
      <c r="C41" s="73">
        <f>C37-C39</f>
        <v>-49.57369918074255</v>
      </c>
      <c r="D41" s="49"/>
      <c r="E41" s="49"/>
      <c r="F41" s="49"/>
      <c r="G41" s="64"/>
      <c r="H41" s="2"/>
      <c r="I41" s="29"/>
      <c r="J41" s="14"/>
    </row>
    <row r="42" spans="1:9" ht="15">
      <c r="A42" s="103"/>
      <c r="B42" s="104"/>
      <c r="C42" s="104"/>
      <c r="D42" s="53"/>
      <c r="E42" s="49"/>
      <c r="F42" s="49"/>
      <c r="G42" s="64"/>
      <c r="H42" s="2"/>
      <c r="I42" s="29"/>
    </row>
    <row r="43" spans="1:9" ht="18.75" customHeight="1">
      <c r="A43" s="105" t="s">
        <v>21</v>
      </c>
      <c r="B43" s="106"/>
      <c r="C43" s="106"/>
      <c r="D43" s="49"/>
      <c r="E43" s="49"/>
      <c r="F43" s="49"/>
      <c r="G43" s="64"/>
      <c r="H43" s="2"/>
      <c r="I43" s="29"/>
    </row>
    <row r="44" spans="1:9" ht="18.75" customHeight="1">
      <c r="A44" s="58" t="s">
        <v>49</v>
      </c>
      <c r="B44" s="88">
        <v>0.044</v>
      </c>
      <c r="C44" s="107"/>
      <c r="D44" s="49"/>
      <c r="E44" s="49"/>
      <c r="F44" s="49"/>
      <c r="G44" s="64"/>
      <c r="H44" s="2"/>
      <c r="I44" s="29"/>
    </row>
    <row r="45" spans="1:9" ht="18.75" customHeight="1">
      <c r="A45" s="58" t="s">
        <v>48</v>
      </c>
      <c r="B45" s="88">
        <v>0.031</v>
      </c>
      <c r="C45" s="107"/>
      <c r="D45" s="49"/>
      <c r="E45" s="49"/>
      <c r="F45" s="49"/>
      <c r="G45" s="64"/>
      <c r="H45" s="2"/>
      <c r="I45" s="29"/>
    </row>
    <row r="46" spans="1:9" ht="18.75" customHeight="1">
      <c r="A46" s="58" t="s">
        <v>22</v>
      </c>
      <c r="B46" s="88">
        <v>0.07</v>
      </c>
      <c r="C46" s="107"/>
      <c r="D46" s="49"/>
      <c r="E46" s="49"/>
      <c r="F46" s="49"/>
      <c r="G46" s="64"/>
      <c r="H46" s="2"/>
      <c r="I46" s="29"/>
    </row>
    <row r="47" spans="1:9" ht="18.75" customHeight="1" thickBot="1">
      <c r="A47" s="89"/>
      <c r="B47" s="90"/>
      <c r="C47" s="90"/>
      <c r="D47" s="90"/>
      <c r="E47" s="90"/>
      <c r="F47" s="90"/>
      <c r="G47" s="91"/>
      <c r="H47" s="29"/>
      <c r="I47" s="29"/>
    </row>
    <row r="48" spans="1:9" ht="12.75" customHeight="1">
      <c r="A48" s="92" t="s">
        <v>85</v>
      </c>
      <c r="B48" s="92"/>
      <c r="C48" s="92"/>
      <c r="D48" s="92"/>
      <c r="E48" s="92"/>
      <c r="F48" s="92"/>
      <c r="G48" s="92"/>
      <c r="H48" s="27"/>
      <c r="I48" s="29"/>
    </row>
    <row r="49" spans="1:9" ht="18.75" customHeight="1">
      <c r="A49" s="93"/>
      <c r="B49" s="93"/>
      <c r="C49" s="93"/>
      <c r="D49" s="93"/>
      <c r="E49" s="93"/>
      <c r="F49" s="93"/>
      <c r="G49" s="93"/>
      <c r="H49" s="27"/>
      <c r="I49" s="29"/>
    </row>
    <row r="50" spans="1:9" ht="18.75" customHeight="1">
      <c r="A50" s="93"/>
      <c r="B50" s="93"/>
      <c r="C50" s="93"/>
      <c r="D50" s="93"/>
      <c r="E50" s="93"/>
      <c r="F50" s="93"/>
      <c r="G50" s="93"/>
      <c r="H50" s="27"/>
      <c r="I50" s="29"/>
    </row>
    <row r="51" spans="1:9" ht="18.75" customHeight="1">
      <c r="A51" s="93"/>
      <c r="B51" s="93"/>
      <c r="C51" s="93"/>
      <c r="D51" s="93"/>
      <c r="E51" s="93"/>
      <c r="F51" s="93"/>
      <c r="G51" s="93"/>
      <c r="H51" s="27"/>
      <c r="I51" s="29"/>
    </row>
    <row r="52" spans="1:9" ht="18.75" customHeight="1">
      <c r="A52" s="32"/>
      <c r="B52" s="32"/>
      <c r="C52" s="32"/>
      <c r="D52" s="32"/>
      <c r="E52" s="32"/>
      <c r="F52" s="32"/>
      <c r="G52" s="32"/>
      <c r="H52" s="27"/>
      <c r="I52" s="29"/>
    </row>
    <row r="53" ht="18.75" customHeight="1"/>
    <row r="54" ht="18.75" customHeight="1"/>
    <row r="55" ht="18.75" customHeight="1"/>
    <row r="56" ht="18.75" customHeight="1"/>
    <row r="57" ht="18.75" customHeight="1"/>
    <row r="58" ht="18.75" customHeight="1"/>
    <row r="59" spans="1:8" ht="18.75" customHeight="1">
      <c r="A59" s="33"/>
      <c r="B59" s="33"/>
      <c r="C59" s="33"/>
      <c r="D59" s="34"/>
      <c r="E59" s="33"/>
      <c r="F59" s="35"/>
      <c r="G59" s="35"/>
      <c r="H59" s="35"/>
    </row>
    <row r="60" spans="1:8" ht="18.75" customHeight="1">
      <c r="A60" s="4"/>
      <c r="B60" s="4"/>
      <c r="C60" s="4"/>
      <c r="D60" s="4"/>
      <c r="E60" s="4"/>
      <c r="F60" s="4"/>
      <c r="G60" s="4"/>
      <c r="H60" s="4"/>
    </row>
    <row r="61" spans="1:8" ht="18.75" customHeight="1">
      <c r="A61" s="4"/>
      <c r="B61" s="4"/>
      <c r="C61" s="4"/>
      <c r="D61" s="4"/>
      <c r="E61" s="4"/>
      <c r="F61" s="4"/>
      <c r="G61" s="4"/>
      <c r="H61" s="4"/>
    </row>
    <row r="62" spans="1:8" ht="18.75" customHeight="1">
      <c r="A62" s="36"/>
      <c r="B62" s="4"/>
      <c r="C62" s="4"/>
      <c r="D62" s="4"/>
      <c r="E62" s="4"/>
      <c r="F62" s="4"/>
      <c r="G62" s="4"/>
      <c r="H62" s="4"/>
    </row>
    <row r="63" spans="1:8" ht="18.75" customHeight="1">
      <c r="A63" s="4"/>
      <c r="B63" s="4"/>
      <c r="C63" s="4"/>
      <c r="D63" s="4"/>
      <c r="E63" s="4"/>
      <c r="F63" s="4"/>
      <c r="G63" s="4"/>
      <c r="H63" s="4"/>
    </row>
    <row r="64" spans="1:8" ht="18.75" customHeight="1">
      <c r="A64" s="36"/>
      <c r="B64" s="4"/>
      <c r="C64" s="4"/>
      <c r="D64" s="4"/>
      <c r="E64" s="4"/>
      <c r="F64" s="4"/>
      <c r="G64" s="4"/>
      <c r="H64" s="4"/>
    </row>
    <row r="65" spans="1:8" ht="19.5" customHeight="1">
      <c r="A65" s="37"/>
      <c r="B65" s="29"/>
      <c r="C65" s="29"/>
      <c r="D65" s="29"/>
      <c r="E65" s="29"/>
      <c r="F65" s="29"/>
      <c r="G65" s="29"/>
      <c r="H65" s="29"/>
    </row>
    <row r="66" spans="1:8" ht="19.5" customHeight="1">
      <c r="A66" s="36"/>
      <c r="B66" s="4"/>
      <c r="C66" s="4"/>
      <c r="D66" s="4"/>
      <c r="E66" s="4"/>
      <c r="F66" s="4"/>
      <c r="G66" s="4"/>
      <c r="H66" s="4"/>
    </row>
  </sheetData>
  <sheetProtection/>
  <mergeCells count="15">
    <mergeCell ref="A1:G1"/>
    <mergeCell ref="A36:C36"/>
    <mergeCell ref="B2:C2"/>
    <mergeCell ref="B3:C3"/>
    <mergeCell ref="B4:C4"/>
    <mergeCell ref="E28:F29"/>
    <mergeCell ref="A48:G51"/>
    <mergeCell ref="E2:G2"/>
    <mergeCell ref="E3:G11"/>
    <mergeCell ref="A38:C38"/>
    <mergeCell ref="A42:C42"/>
    <mergeCell ref="A43:C43"/>
    <mergeCell ref="C44:C46"/>
    <mergeCell ref="A17:C17"/>
    <mergeCell ref="A26:C26"/>
  </mergeCells>
  <printOptions/>
  <pageMargins left="0.75" right="0.75" top="0.3999999761581421" bottom="1" header="0" footer="0.5"/>
  <pageSetup firstPageNumber="1" useFirstPageNumber="1" horizontalDpi="600" verticalDpi="600" orientation="portrait" scale="56" r:id="rId4"/>
  <drawing r:id="rId3"/>
  <legacyDrawing r:id="rId2"/>
</worksheet>
</file>

<file path=xl/worksheets/sheet2.xml><?xml version="1.0" encoding="utf-8"?>
<worksheet xmlns="http://schemas.openxmlformats.org/spreadsheetml/2006/main" xmlns:r="http://schemas.openxmlformats.org/officeDocument/2006/relationships">
  <dimension ref="A2:AC40"/>
  <sheetViews>
    <sheetView zoomScalePageLayoutView="0" workbookViewId="0" topLeftCell="L10">
      <selection activeCell="L1" sqref="L1:L16384"/>
    </sheetView>
  </sheetViews>
  <sheetFormatPr defaultColWidth="8.796875" defaultRowHeight="14.25"/>
  <cols>
    <col min="2" max="2" width="12.09765625" style="0" customWidth="1"/>
    <col min="3" max="3" width="13.19921875" style="0" customWidth="1"/>
    <col min="4" max="4" width="11" style="0" customWidth="1"/>
    <col min="5" max="5" width="14.5" style="0" customWidth="1"/>
    <col min="6" max="7" width="12.8984375" style="0" customWidth="1"/>
    <col min="8" max="8" width="9.69921875" style="0" customWidth="1"/>
    <col min="9" max="9" width="13.09765625" style="0" customWidth="1"/>
    <col min="11" max="11" width="9.8984375" style="0" customWidth="1"/>
    <col min="12" max="12" width="11.69921875" style="0" customWidth="1"/>
    <col min="13" max="13" width="12.59765625" style="0" customWidth="1"/>
    <col min="14" max="14" width="13.09765625" style="0" customWidth="1"/>
    <col min="15" max="16" width="11.09765625" style="0" customWidth="1"/>
    <col min="17" max="17" width="12.59765625" style="0" customWidth="1"/>
    <col min="18" max="18" width="13.5" style="0" customWidth="1"/>
    <col min="19" max="19" width="14.3984375" style="0" customWidth="1"/>
    <col min="20" max="21" width="13.3984375" style="0" customWidth="1"/>
    <col min="22" max="22" width="10.5" style="0" customWidth="1"/>
    <col min="23" max="24" width="9.69921875" style="0" customWidth="1"/>
    <col min="25" max="25" width="2.59765625" style="0" customWidth="1"/>
    <col min="26" max="26" width="13.19921875" style="0" customWidth="1"/>
    <col min="27" max="27" width="9.69921875" style="0" customWidth="1"/>
    <col min="28" max="28" width="13.5" style="0" customWidth="1"/>
    <col min="29" max="29" width="11.5" style="0" customWidth="1"/>
  </cols>
  <sheetData>
    <row r="2" spans="1:29" ht="15.75">
      <c r="A2" s="19" t="s">
        <v>23</v>
      </c>
      <c r="B2" s="23"/>
      <c r="C2" s="23"/>
      <c r="D2" s="23"/>
      <c r="E2" s="23"/>
      <c r="F2" s="12"/>
      <c r="G2" s="12"/>
      <c r="H2" s="12"/>
      <c r="I2" s="12"/>
      <c r="J2" s="11"/>
      <c r="K2" s="12"/>
      <c r="L2" s="12"/>
      <c r="M2" s="12"/>
      <c r="N2" s="12"/>
      <c r="O2" s="12"/>
      <c r="P2" s="12"/>
      <c r="Q2" s="12"/>
      <c r="R2" s="12"/>
      <c r="S2" s="12"/>
      <c r="T2" s="12"/>
      <c r="U2" s="12"/>
      <c r="V2" s="12"/>
      <c r="W2" s="12"/>
      <c r="X2" s="12"/>
      <c r="Y2" s="12"/>
      <c r="Z2" s="12"/>
      <c r="AA2" s="12"/>
      <c r="AB2" s="12"/>
      <c r="AC2" s="12"/>
    </row>
    <row r="3" spans="1:29" s="24" customFormat="1" ht="105">
      <c r="A3" s="15" t="s">
        <v>24</v>
      </c>
      <c r="B3" s="16" t="s">
        <v>65</v>
      </c>
      <c r="C3" s="16" t="s">
        <v>67</v>
      </c>
      <c r="D3" s="16" t="s">
        <v>66</v>
      </c>
      <c r="E3" s="16" t="s">
        <v>69</v>
      </c>
      <c r="F3" s="15" t="s">
        <v>64</v>
      </c>
      <c r="G3" s="16" t="s">
        <v>68</v>
      </c>
      <c r="H3" s="15" t="s">
        <v>51</v>
      </c>
      <c r="I3" s="16" t="s">
        <v>62</v>
      </c>
      <c r="J3" s="15" t="s">
        <v>25</v>
      </c>
      <c r="K3" s="16" t="s">
        <v>70</v>
      </c>
      <c r="L3" s="16" t="s">
        <v>71</v>
      </c>
      <c r="M3" s="15" t="s">
        <v>53</v>
      </c>
      <c r="N3" s="16" t="s">
        <v>63</v>
      </c>
      <c r="O3" s="15" t="s">
        <v>54</v>
      </c>
      <c r="P3" s="15" t="s">
        <v>55</v>
      </c>
      <c r="Q3" s="16" t="s">
        <v>44</v>
      </c>
      <c r="R3" s="15" t="s">
        <v>52</v>
      </c>
      <c r="S3" s="15" t="s">
        <v>50</v>
      </c>
      <c r="T3" s="16" t="s">
        <v>47</v>
      </c>
      <c r="U3" s="16" t="s">
        <v>58</v>
      </c>
      <c r="V3" s="16" t="s">
        <v>57</v>
      </c>
      <c r="W3" s="16" t="s">
        <v>56</v>
      </c>
      <c r="X3" s="16" t="s">
        <v>61</v>
      </c>
      <c r="Y3" s="16"/>
      <c r="Z3" s="16" t="s">
        <v>72</v>
      </c>
      <c r="AA3" s="16" t="s">
        <v>73</v>
      </c>
      <c r="AB3" s="15" t="s">
        <v>59</v>
      </c>
      <c r="AC3" s="16" t="s">
        <v>60</v>
      </c>
    </row>
    <row r="4" spans="1:29" ht="15">
      <c r="A4" s="5">
        <v>1</v>
      </c>
      <c r="B4" s="13">
        <f>'1) HOLD Pro Forma'!C23</f>
        <v>18720</v>
      </c>
      <c r="C4" s="25">
        <f>'1) HOLD Pro Forma'!$B$45</f>
        <v>0.031</v>
      </c>
      <c r="D4" s="17">
        <f>'1) HOLD Pro Forma'!$B$24</f>
        <v>0.05</v>
      </c>
      <c r="E4" s="13">
        <f>B4-(B4*D4)</f>
        <v>17784</v>
      </c>
      <c r="F4" s="13">
        <f>'1) HOLD Pro Forma'!C35</f>
        <v>5228.4</v>
      </c>
      <c r="G4" s="13">
        <f>E4-F4</f>
        <v>12555.6</v>
      </c>
      <c r="H4" s="13">
        <f>SUMIF('3) Interest Calculations'!$D$5:$D$364,$A4,'3) Interest Calculations'!B$5:B$364)</f>
        <v>2315.566516701315</v>
      </c>
      <c r="I4" s="13">
        <f>H4</f>
        <v>2315.566516701315</v>
      </c>
      <c r="J4" s="13">
        <f>SUMIF('3) Interest Calculations'!$D$5:$D$364,$A4,'3) Interest Calculations'!C$5:C$364)</f>
        <v>10289.607182479429</v>
      </c>
      <c r="K4" s="13">
        <f>G4-H4-J4</f>
        <v>-49.57369918074437</v>
      </c>
      <c r="L4" s="13">
        <f>'1) HOLD Pro Forma'!B6</f>
        <v>250000</v>
      </c>
      <c r="M4" s="13">
        <f>L4*'1) HOLD Pro Forma'!$B$44</f>
        <v>11000</v>
      </c>
      <c r="N4" s="13">
        <f>M4</f>
        <v>11000</v>
      </c>
      <c r="O4" s="13">
        <f>L4+M4</f>
        <v>261000</v>
      </c>
      <c r="P4" s="13">
        <f>O4*'1) HOLD Pro Forma'!$B$46</f>
        <v>18270</v>
      </c>
      <c r="Q4" s="13">
        <f>'1) HOLD Pro Forma'!B$11-SUM(H$4:H4)</f>
        <v>177684.4334832987</v>
      </c>
      <c r="R4" s="13">
        <f aca="true" t="shared" si="0" ref="R4:R33">O4-Q4</f>
        <v>83315.5665167013</v>
      </c>
      <c r="S4" s="13">
        <f>K4</f>
        <v>-49.57369918074437</v>
      </c>
      <c r="T4" s="13">
        <f>IF('1) HOLD Pro Forma'!$C$41&gt;0,'1) HOLD Pro Forma'!$B$40,'1) HOLD Pro Forma'!$B$40-'1) HOLD Pro Forma'!$C$41)</f>
        <v>47549.57369918074</v>
      </c>
      <c r="U4" s="13">
        <f aca="true" t="shared" si="1" ref="U4:U33">H4+M4+K4</f>
        <v>13265.99281752057</v>
      </c>
      <c r="V4" s="17">
        <f>U4/T4</f>
        <v>0.2789928864861545</v>
      </c>
      <c r="W4" s="17">
        <f aca="true" t="shared" si="2" ref="W4:W33">K4/T4</f>
        <v>-0.0010425687408759778</v>
      </c>
      <c r="X4" s="17">
        <f>U4/R4</f>
        <v>0.15922586105036313</v>
      </c>
      <c r="Y4" s="17"/>
      <c r="Z4" s="18">
        <f aca="true" t="shared" si="3" ref="Z4:Z33">I4+N4+S4</f>
        <v>13265.99281752057</v>
      </c>
      <c r="AA4" s="17">
        <f>Z4/T4</f>
        <v>0.2789928864861545</v>
      </c>
      <c r="AB4" s="13">
        <f aca="true" t="shared" si="4" ref="AB4:AB33">I4+N4+S4-P4</f>
        <v>-5004.00718247943</v>
      </c>
      <c r="AC4" s="6">
        <f aca="true" t="shared" si="5" ref="AC4:AC13">AB4/T4</f>
        <v>-0.10523768760024965</v>
      </c>
    </row>
    <row r="5" spans="1:29" ht="15">
      <c r="A5" s="5">
        <v>2</v>
      </c>
      <c r="B5" s="13">
        <f>(B4*C5)+B4</f>
        <v>19300.32</v>
      </c>
      <c r="C5" s="25">
        <f>'1) HOLD Pro Forma'!$B$45</f>
        <v>0.031</v>
      </c>
      <c r="D5" s="17">
        <f>'1) HOLD Pro Forma'!$B$24</f>
        <v>0.05</v>
      </c>
      <c r="E5" s="13">
        <f aca="true" t="shared" si="6" ref="E5:E33">B5-(B5*D5)</f>
        <v>18335.304</v>
      </c>
      <c r="F5" s="13">
        <f>(F4*0.027)+F4</f>
        <v>5369.5668</v>
      </c>
      <c r="G5" s="13">
        <f aca="true" t="shared" si="7" ref="G5:G33">E5-F5</f>
        <v>12965.7372</v>
      </c>
      <c r="H5" s="13">
        <f>SUMIF('3) Interest Calculations'!$D$5:$D$364,$A5,'3) Interest Calculations'!B$5:B$364)</f>
        <v>2452.2771731686757</v>
      </c>
      <c r="I5" s="13">
        <f>H5+I4</f>
        <v>4767.843689869991</v>
      </c>
      <c r="J5" s="13">
        <f>SUMIF('3) Interest Calculations'!$D$5:$D$364,$A5,'3) Interest Calculations'!C$5:C$364)</f>
        <v>10152.896526012068</v>
      </c>
      <c r="K5" s="13">
        <f aca="true" t="shared" si="8" ref="K5:K33">G5-H5-J5</f>
        <v>360.56350081925666</v>
      </c>
      <c r="L5" s="13">
        <f>O4</f>
        <v>261000</v>
      </c>
      <c r="M5" s="13">
        <f>L5*'1) HOLD Pro Forma'!$B$44</f>
        <v>11484</v>
      </c>
      <c r="N5" s="13">
        <f>M5+N4</f>
        <v>22484</v>
      </c>
      <c r="O5" s="13">
        <f>L5+M5</f>
        <v>272484</v>
      </c>
      <c r="P5" s="13">
        <f>O5*'1) HOLD Pro Forma'!$B$46</f>
        <v>19073.88</v>
      </c>
      <c r="Q5" s="13">
        <f>'1) HOLD Pro Forma'!B$11-SUM(H$4:H5)</f>
        <v>175232.15631013</v>
      </c>
      <c r="R5" s="13">
        <f t="shared" si="0"/>
        <v>97251.84368987</v>
      </c>
      <c r="S5" s="13">
        <f aca="true" t="shared" si="9" ref="S5:S33">S4+K5</f>
        <v>310.9898016385123</v>
      </c>
      <c r="T5" s="13">
        <f>IF('1) HOLD Pro Forma'!$C$41&gt;0,'1) HOLD Pro Forma'!$B$40,$T4-'1) HOLD Pro Forma'!$C$41)</f>
        <v>47599.147398361485</v>
      </c>
      <c r="U5" s="13">
        <f t="shared" si="1"/>
        <v>14296.840673987932</v>
      </c>
      <c r="V5" s="17">
        <f aca="true" t="shared" si="10" ref="V5:V33">U5/T5</f>
        <v>0.3003591756452359</v>
      </c>
      <c r="W5" s="17">
        <f t="shared" si="2"/>
        <v>0.007574999144452499</v>
      </c>
      <c r="X5" s="17">
        <f aca="true" t="shared" si="11" ref="X5:X33">U5/R5</f>
        <v>0.14700842813406864</v>
      </c>
      <c r="Y5" s="17"/>
      <c r="Z5" s="18">
        <f t="shared" si="3"/>
        <v>27562.833491508503</v>
      </c>
      <c r="AA5" s="17">
        <f aca="true" t="shared" si="12" ref="AA5:AA33">Z5/T5</f>
        <v>0.5790614958043829</v>
      </c>
      <c r="AB5" s="13">
        <f t="shared" si="4"/>
        <v>8488.953491508502</v>
      </c>
      <c r="AC5" s="6">
        <f t="shared" si="5"/>
        <v>0.17834255350129904</v>
      </c>
    </row>
    <row r="6" spans="1:29" ht="15">
      <c r="A6" s="5">
        <v>3</v>
      </c>
      <c r="B6" s="13">
        <f aca="true" t="shared" si="13" ref="B6:B32">(B5*C6)+B5</f>
        <v>19898.62992</v>
      </c>
      <c r="C6" s="25">
        <f>'1) HOLD Pro Forma'!$B$45</f>
        <v>0.031</v>
      </c>
      <c r="D6" s="17">
        <f>'1) HOLD Pro Forma'!$B$24</f>
        <v>0.05</v>
      </c>
      <c r="E6" s="13">
        <f t="shared" si="6"/>
        <v>18903.698424</v>
      </c>
      <c r="F6" s="13">
        <f aca="true" t="shared" si="14" ref="F6:F33">(F5*0.027)+F5</f>
        <v>5514.5451035999995</v>
      </c>
      <c r="G6" s="13">
        <f t="shared" si="7"/>
        <v>13389.153320399999</v>
      </c>
      <c r="H6" s="13">
        <f>SUMIF('3) Interest Calculations'!$D$5:$D$364,$A6,'3) Interest Calculations'!B$5:B$364)</f>
        <v>2597.0592037282654</v>
      </c>
      <c r="I6" s="13">
        <f aca="true" t="shared" si="15" ref="I6:I33">H6+I5</f>
        <v>7364.902893598257</v>
      </c>
      <c r="J6" s="13">
        <f>SUMIF('3) Interest Calculations'!$D$5:$D$364,$A6,'3) Interest Calculations'!C$5:C$364)</f>
        <v>10008.114495452479</v>
      </c>
      <c r="K6" s="13">
        <f t="shared" si="8"/>
        <v>783.9796212192541</v>
      </c>
      <c r="L6" s="13">
        <f aca="true" t="shared" si="16" ref="L6:L33">O5</f>
        <v>272484</v>
      </c>
      <c r="M6" s="13">
        <f>L6*'1) HOLD Pro Forma'!$B$44</f>
        <v>11989.295999999998</v>
      </c>
      <c r="N6" s="13">
        <f aca="true" t="shared" si="17" ref="N6:N33">M6+N5</f>
        <v>34473.296</v>
      </c>
      <c r="O6" s="13">
        <f aca="true" t="shared" si="18" ref="O6:O33">L6+M6</f>
        <v>284473.296</v>
      </c>
      <c r="P6" s="13">
        <f>O6*'1) HOLD Pro Forma'!$B$46</f>
        <v>19913.13072</v>
      </c>
      <c r="Q6" s="13">
        <f>'1) HOLD Pro Forma'!B$11-SUM(H$4:H6)</f>
        <v>172635.09710640175</v>
      </c>
      <c r="R6" s="13">
        <f t="shared" si="0"/>
        <v>111838.19889359822</v>
      </c>
      <c r="S6" s="13">
        <f t="shared" si="9"/>
        <v>1094.9694228577664</v>
      </c>
      <c r="T6" s="13">
        <f>IF('1) HOLD Pro Forma'!$C$41&gt;0,'1) HOLD Pro Forma'!$B$40,$T5-'1) HOLD Pro Forma'!$C$41)</f>
        <v>47648.72109754223</v>
      </c>
      <c r="U6" s="13">
        <f t="shared" si="1"/>
        <v>15370.334824947518</v>
      </c>
      <c r="V6" s="17">
        <f t="shared" si="10"/>
        <v>0.3225760203192597</v>
      </c>
      <c r="W6" s="17">
        <f t="shared" si="2"/>
        <v>0.016453319274075808</v>
      </c>
      <c r="X6" s="17">
        <f t="shared" si="11"/>
        <v>0.13743367630205405</v>
      </c>
      <c r="Y6" s="17"/>
      <c r="Z6" s="18">
        <f t="shared" si="3"/>
        <v>42933.16831645602</v>
      </c>
      <c r="AA6" s="17">
        <f t="shared" si="12"/>
        <v>0.901035060911017</v>
      </c>
      <c r="AB6" s="13">
        <f t="shared" si="4"/>
        <v>23020.037596456023</v>
      </c>
      <c r="AC6" s="6">
        <f t="shared" si="5"/>
        <v>0.4831197368200386</v>
      </c>
    </row>
    <row r="7" spans="1:29" ht="15">
      <c r="A7" s="5">
        <v>4</v>
      </c>
      <c r="B7" s="13">
        <f t="shared" si="13"/>
        <v>20515.487447519998</v>
      </c>
      <c r="C7" s="25">
        <f>'1) HOLD Pro Forma'!$B$45</f>
        <v>0.031</v>
      </c>
      <c r="D7" s="17">
        <f>'1) HOLD Pro Forma'!$B$24</f>
        <v>0.05</v>
      </c>
      <c r="E7" s="13">
        <f t="shared" si="6"/>
        <v>19489.713075143998</v>
      </c>
      <c r="F7" s="13">
        <f t="shared" si="14"/>
        <v>5663.4378213971995</v>
      </c>
      <c r="G7" s="13">
        <f t="shared" si="7"/>
        <v>13826.275253746799</v>
      </c>
      <c r="H7" s="13">
        <f>SUMIF('3) Interest Calculations'!$D$5:$D$364,$A7,'3) Interest Calculations'!B$5:B$364)</f>
        <v>2750.3891409447006</v>
      </c>
      <c r="I7" s="13">
        <f t="shared" si="15"/>
        <v>10115.292034542957</v>
      </c>
      <c r="J7" s="13">
        <f>SUMIF('3) Interest Calculations'!$D$5:$D$364,$A7,'3) Interest Calculations'!C$5:C$364)</f>
        <v>9854.784558236042</v>
      </c>
      <c r="K7" s="13">
        <f t="shared" si="8"/>
        <v>1221.1015545660557</v>
      </c>
      <c r="L7" s="13">
        <f t="shared" si="16"/>
        <v>284473.296</v>
      </c>
      <c r="M7" s="13">
        <f>L7*'1) HOLD Pro Forma'!$B$44</f>
        <v>12516.825023999998</v>
      </c>
      <c r="N7" s="13">
        <f t="shared" si="17"/>
        <v>46990.121024</v>
      </c>
      <c r="O7" s="13">
        <f t="shared" si="18"/>
        <v>296990.121024</v>
      </c>
      <c r="P7" s="13">
        <f>O7*'1) HOLD Pro Forma'!$B$46</f>
        <v>20789.30847168</v>
      </c>
      <c r="Q7" s="13">
        <f>'1) HOLD Pro Forma'!B$11-SUM(H$4:H7)</f>
        <v>169884.70796545706</v>
      </c>
      <c r="R7" s="13">
        <f t="shared" si="0"/>
        <v>127105.41305854294</v>
      </c>
      <c r="S7" s="13">
        <f t="shared" si="9"/>
        <v>2316.070977423822</v>
      </c>
      <c r="T7" s="13">
        <f>IF('1) HOLD Pro Forma'!$C$41&gt;0,'1) HOLD Pro Forma'!$B$40,$T6-'1) HOLD Pro Forma'!$C$41)</f>
        <v>47698.29479672297</v>
      </c>
      <c r="U7" s="13">
        <f t="shared" si="1"/>
        <v>16488.315719510756</v>
      </c>
      <c r="V7" s="17">
        <f t="shared" si="10"/>
        <v>0.34567935373328185</v>
      </c>
      <c r="W7" s="17">
        <f t="shared" si="2"/>
        <v>0.025600528483671274</v>
      </c>
      <c r="X7" s="17">
        <f t="shared" si="11"/>
        <v>0.12972158559381317</v>
      </c>
      <c r="Y7" s="17"/>
      <c r="Z7" s="18">
        <f t="shared" si="3"/>
        <v>59421.48403596678</v>
      </c>
      <c r="AA7" s="17">
        <f t="shared" si="12"/>
        <v>1.2457779526334185</v>
      </c>
      <c r="AB7" s="13">
        <f t="shared" si="4"/>
        <v>38632.17556428678</v>
      </c>
      <c r="AC7" s="6">
        <f t="shared" si="5"/>
        <v>0.8099278124915471</v>
      </c>
    </row>
    <row r="8" spans="1:29" ht="15">
      <c r="A8" s="5">
        <v>5</v>
      </c>
      <c r="B8" s="13">
        <f t="shared" si="13"/>
        <v>21151.467558393117</v>
      </c>
      <c r="C8" s="25">
        <f>'1) HOLD Pro Forma'!$B$45</f>
        <v>0.031</v>
      </c>
      <c r="D8" s="17">
        <f>'1) HOLD Pro Forma'!$B$24</f>
        <v>0.05</v>
      </c>
      <c r="E8" s="13">
        <f t="shared" si="6"/>
        <v>20093.89418047346</v>
      </c>
      <c r="F8" s="13">
        <f t="shared" si="14"/>
        <v>5816.350642574924</v>
      </c>
      <c r="G8" s="13">
        <f t="shared" si="7"/>
        <v>14277.543537898537</v>
      </c>
      <c r="H8" s="13">
        <f>SUMIF('3) Interest Calculations'!$D$5:$D$364,$A8,'3) Interest Calculations'!B$5:B$364)</f>
        <v>2912.771651784811</v>
      </c>
      <c r="I8" s="13">
        <f t="shared" si="15"/>
        <v>13028.063686327769</v>
      </c>
      <c r="J8" s="13">
        <f>SUMIF('3) Interest Calculations'!$D$5:$D$364,$A8,'3) Interest Calculations'!C$5:C$364)</f>
        <v>9692.402047395932</v>
      </c>
      <c r="K8" s="13">
        <f t="shared" si="8"/>
        <v>1672.3698387177938</v>
      </c>
      <c r="L8" s="13">
        <f t="shared" si="16"/>
        <v>296990.121024</v>
      </c>
      <c r="M8" s="13">
        <f>L8*'1) HOLD Pro Forma'!$B$44</f>
        <v>13067.565325055999</v>
      </c>
      <c r="N8" s="13">
        <f t="shared" si="17"/>
        <v>60057.686349056</v>
      </c>
      <c r="O8" s="13">
        <f t="shared" si="18"/>
        <v>310057.68634905596</v>
      </c>
      <c r="P8" s="13">
        <f>O8*'1) HOLD Pro Forma'!$B$46</f>
        <v>21704.03804443392</v>
      </c>
      <c r="Q8" s="13">
        <f>'1) HOLD Pro Forma'!B$11-SUM(H$4:H8)</f>
        <v>166971.93631367222</v>
      </c>
      <c r="R8" s="13">
        <f t="shared" si="0"/>
        <v>143085.75003538374</v>
      </c>
      <c r="S8" s="13">
        <f t="shared" si="9"/>
        <v>3988.440816141616</v>
      </c>
      <c r="T8" s="13">
        <f>IF('1) HOLD Pro Forma'!$C$41&gt;0,'1) HOLD Pro Forma'!$B$40,$T7-'1) HOLD Pro Forma'!$C$41)</f>
        <v>47747.86849590371</v>
      </c>
      <c r="U8" s="13">
        <f t="shared" si="1"/>
        <v>17652.706815558602</v>
      </c>
      <c r="V8" s="17">
        <f t="shared" si="10"/>
        <v>0.3697066983644103</v>
      </c>
      <c r="W8" s="17">
        <f t="shared" si="2"/>
        <v>0.03502501559543472</v>
      </c>
      <c r="X8" s="17">
        <f t="shared" si="11"/>
        <v>0.12337152239963278</v>
      </c>
      <c r="Y8" s="17"/>
      <c r="Z8" s="18">
        <f t="shared" si="3"/>
        <v>77074.19085152539</v>
      </c>
      <c r="AA8" s="17">
        <f t="shared" si="12"/>
        <v>1.614191235743593</v>
      </c>
      <c r="AB8" s="13">
        <f t="shared" si="4"/>
        <v>55370.152807091465</v>
      </c>
      <c r="AC8" s="6">
        <f t="shared" si="5"/>
        <v>1.1596361167795723</v>
      </c>
    </row>
    <row r="9" spans="1:29" ht="15">
      <c r="A9" s="5">
        <v>6</v>
      </c>
      <c r="B9" s="13">
        <f t="shared" si="13"/>
        <v>21807.163052703305</v>
      </c>
      <c r="C9" s="25">
        <f>'1) HOLD Pro Forma'!$B$45</f>
        <v>0.031</v>
      </c>
      <c r="D9" s="17">
        <f>'1) HOLD Pro Forma'!$B$24</f>
        <v>0.05</v>
      </c>
      <c r="E9" s="13">
        <f t="shared" si="6"/>
        <v>20716.80490006814</v>
      </c>
      <c r="F9" s="13">
        <f t="shared" si="14"/>
        <v>5973.392109924447</v>
      </c>
      <c r="G9" s="13">
        <f t="shared" si="7"/>
        <v>14743.412790143691</v>
      </c>
      <c r="H9" s="13">
        <f>SUMIF('3) Interest Calculations'!$D$5:$D$364,$A9,'3) Interest Calculations'!B$5:B$364)</f>
        <v>3084.741198668005</v>
      </c>
      <c r="I9" s="13">
        <f t="shared" si="15"/>
        <v>16112.804884995774</v>
      </c>
      <c r="J9" s="13">
        <f>SUMIF('3) Interest Calculations'!$D$5:$D$364,$A9,'3) Interest Calculations'!C$5:C$364)</f>
        <v>9520.43250051274</v>
      </c>
      <c r="K9" s="13">
        <f t="shared" si="8"/>
        <v>2138.2390909629466</v>
      </c>
      <c r="L9" s="13">
        <f t="shared" si="16"/>
        <v>310057.68634905596</v>
      </c>
      <c r="M9" s="13">
        <f>L9*'1) HOLD Pro Forma'!$B$44</f>
        <v>13642.538199358461</v>
      </c>
      <c r="N9" s="13">
        <f t="shared" si="17"/>
        <v>73700.22454841447</v>
      </c>
      <c r="O9" s="13">
        <f t="shared" si="18"/>
        <v>323700.2245484144</v>
      </c>
      <c r="P9" s="13">
        <f>O9*'1) HOLD Pro Forma'!$B$46</f>
        <v>22659.01571838901</v>
      </c>
      <c r="Q9" s="13">
        <f>'1) HOLD Pro Forma'!B$11-SUM(H$4:H9)</f>
        <v>163887.19511500423</v>
      </c>
      <c r="R9" s="13">
        <f t="shared" si="0"/>
        <v>159813.02943341018</v>
      </c>
      <c r="S9" s="13">
        <f t="shared" si="9"/>
        <v>6126.6799071045625</v>
      </c>
      <c r="T9" s="13">
        <f>IF('1) HOLD Pro Forma'!$C$41&gt;0,'1) HOLD Pro Forma'!$B$40,$T8-'1) HOLD Pro Forma'!$C$41)</f>
        <v>47797.442195084455</v>
      </c>
      <c r="U9" s="13">
        <f t="shared" si="1"/>
        <v>18865.51848898941</v>
      </c>
      <c r="V9" s="17">
        <f t="shared" si="10"/>
        <v>0.3946972394880487</v>
      </c>
      <c r="W9" s="17">
        <f t="shared" si="2"/>
        <v>0.04473542919379995</v>
      </c>
      <c r="X9" s="17">
        <f t="shared" si="11"/>
        <v>0.11804743678205643</v>
      </c>
      <c r="Y9" s="17"/>
      <c r="Z9" s="18">
        <f t="shared" si="3"/>
        <v>95939.7093405148</v>
      </c>
      <c r="AA9" s="17">
        <f t="shared" si="12"/>
        <v>2.0072142971362044</v>
      </c>
      <c r="AB9" s="13">
        <f t="shared" si="4"/>
        <v>73280.6936221258</v>
      </c>
      <c r="AC9" s="6">
        <f t="shared" si="5"/>
        <v>1.5331509439988833</v>
      </c>
    </row>
    <row r="10" spans="1:29" ht="15">
      <c r="A10" s="5">
        <v>7</v>
      </c>
      <c r="B10" s="13">
        <f t="shared" si="13"/>
        <v>22483.185107337107</v>
      </c>
      <c r="C10" s="25">
        <f>'1) HOLD Pro Forma'!$B$45</f>
        <v>0.031</v>
      </c>
      <c r="D10" s="17">
        <f>'1) HOLD Pro Forma'!$B$24</f>
        <v>0.05</v>
      </c>
      <c r="E10" s="13">
        <f t="shared" si="6"/>
        <v>21359.02585197025</v>
      </c>
      <c r="F10" s="13">
        <f t="shared" si="14"/>
        <v>6134.673696892407</v>
      </c>
      <c r="G10" s="13">
        <f t="shared" si="7"/>
        <v>15224.352155077844</v>
      </c>
      <c r="H10" s="13">
        <f>SUMIF('3) Interest Calculations'!$D$5:$D$364,$A10,'3) Interest Calculations'!B$5:B$364)</f>
        <v>3266.8637985847545</v>
      </c>
      <c r="I10" s="13">
        <f t="shared" si="15"/>
        <v>19379.66868358053</v>
      </c>
      <c r="J10" s="13">
        <f>SUMIF('3) Interest Calculations'!$D$5:$D$364,$A10,'3) Interest Calculations'!C$5:C$364)</f>
        <v>9338.30990059599</v>
      </c>
      <c r="K10" s="13">
        <f t="shared" si="8"/>
        <v>2619.1784558970994</v>
      </c>
      <c r="L10" s="13">
        <f t="shared" si="16"/>
        <v>323700.2245484144</v>
      </c>
      <c r="M10" s="13">
        <f>L10*'1) HOLD Pro Forma'!$B$44</f>
        <v>14242.809880130233</v>
      </c>
      <c r="N10" s="13">
        <f t="shared" si="17"/>
        <v>87943.03442854469</v>
      </c>
      <c r="O10" s="13">
        <f t="shared" si="18"/>
        <v>337943.03442854463</v>
      </c>
      <c r="P10" s="13">
        <f>O10*'1) HOLD Pro Forma'!$B$46</f>
        <v>23656.012409998126</v>
      </c>
      <c r="Q10" s="13">
        <f>'1) HOLD Pro Forma'!B$11-SUM(H$4:H10)</f>
        <v>160620.33131641947</v>
      </c>
      <c r="R10" s="13">
        <f t="shared" si="0"/>
        <v>177322.70311212516</v>
      </c>
      <c r="S10" s="13">
        <f t="shared" si="9"/>
        <v>8745.858363001662</v>
      </c>
      <c r="T10" s="13">
        <f>IF('1) HOLD Pro Forma'!$C$41&gt;0,'1) HOLD Pro Forma'!$B$40,$T9-'1) HOLD Pro Forma'!$C$41)</f>
        <v>47847.0158942652</v>
      </c>
      <c r="U10" s="13">
        <f t="shared" si="1"/>
        <v>20128.852134612083</v>
      </c>
      <c r="V10" s="17">
        <f t="shared" si="10"/>
        <v>0.4206919022723143</v>
      </c>
      <c r="W10" s="17">
        <f t="shared" si="2"/>
        <v>0.05474068564035624</v>
      </c>
      <c r="X10" s="17">
        <f t="shared" si="11"/>
        <v>0.1135153693313831</v>
      </c>
      <c r="Y10" s="17"/>
      <c r="Z10" s="18">
        <f t="shared" si="3"/>
        <v>116068.56147512689</v>
      </c>
      <c r="AA10" s="17">
        <f t="shared" si="12"/>
        <v>2.4258265495934204</v>
      </c>
      <c r="AB10" s="13">
        <f t="shared" si="4"/>
        <v>92412.54906512875</v>
      </c>
      <c r="AC10" s="6">
        <f t="shared" si="5"/>
        <v>1.931417191603898</v>
      </c>
    </row>
    <row r="11" spans="1:29" ht="15">
      <c r="A11" s="5">
        <v>8</v>
      </c>
      <c r="B11" s="13">
        <f t="shared" si="13"/>
        <v>23180.163845664556</v>
      </c>
      <c r="C11" s="25">
        <f>'1) HOLD Pro Forma'!$B$45</f>
        <v>0.031</v>
      </c>
      <c r="D11" s="17">
        <f>'1) HOLD Pro Forma'!$B$24</f>
        <v>0.05</v>
      </c>
      <c r="E11" s="13">
        <f t="shared" si="6"/>
        <v>22021.155653381327</v>
      </c>
      <c r="F11" s="13">
        <f t="shared" si="14"/>
        <v>6300.309886708502</v>
      </c>
      <c r="G11" s="13">
        <f t="shared" si="7"/>
        <v>15720.845766672825</v>
      </c>
      <c r="H11" s="13">
        <f>SUMIF('3) Interest Calculations'!$D$5:$D$364,$A11,'3) Interest Calculations'!B$5:B$364)</f>
        <v>3459.7388860731558</v>
      </c>
      <c r="I11" s="13">
        <f t="shared" si="15"/>
        <v>22839.407569653686</v>
      </c>
      <c r="J11" s="13">
        <f>SUMIF('3) Interest Calculations'!$D$5:$D$364,$A11,'3) Interest Calculations'!C$5:C$364)</f>
        <v>9145.434813107588</v>
      </c>
      <c r="K11" s="13">
        <f t="shared" si="8"/>
        <v>3115.6720674920816</v>
      </c>
      <c r="L11" s="13">
        <f t="shared" si="16"/>
        <v>337943.03442854463</v>
      </c>
      <c r="M11" s="13">
        <f>L11*'1) HOLD Pro Forma'!$B$44</f>
        <v>14869.493514855963</v>
      </c>
      <c r="N11" s="13">
        <f t="shared" si="17"/>
        <v>102812.52794340065</v>
      </c>
      <c r="O11" s="13">
        <f t="shared" si="18"/>
        <v>352812.5279434006</v>
      </c>
      <c r="P11" s="13">
        <f>O11*'1) HOLD Pro Forma'!$B$46</f>
        <v>24696.876956038046</v>
      </c>
      <c r="Q11" s="13">
        <f>'1) HOLD Pro Forma'!B$11-SUM(H$4:H11)</f>
        <v>157160.59243034633</v>
      </c>
      <c r="R11" s="13">
        <f t="shared" si="0"/>
        <v>195651.93551305428</v>
      </c>
      <c r="S11" s="13">
        <f t="shared" si="9"/>
        <v>11861.530430493744</v>
      </c>
      <c r="T11" s="13">
        <f>IF('1) HOLD Pro Forma'!$C$41&gt;0,'1) HOLD Pro Forma'!$B$40,$T10-'1) HOLD Pro Forma'!$C$41)</f>
        <v>47896.58959344594</v>
      </c>
      <c r="U11" s="13">
        <f t="shared" si="1"/>
        <v>21444.9044684212</v>
      </c>
      <c r="V11" s="17">
        <f t="shared" si="10"/>
        <v>0.44773343259820886</v>
      </c>
      <c r="W11" s="17">
        <f t="shared" si="2"/>
        <v>0.06504997733530538</v>
      </c>
      <c r="X11" s="17">
        <f t="shared" si="11"/>
        <v>0.109607423060685</v>
      </c>
      <c r="Y11" s="17"/>
      <c r="Z11" s="18">
        <f t="shared" si="3"/>
        <v>137513.46594354807</v>
      </c>
      <c r="AA11" s="17">
        <f t="shared" si="12"/>
        <v>2.8710492147934703</v>
      </c>
      <c r="AB11" s="13">
        <f t="shared" si="4"/>
        <v>112816.58898751003</v>
      </c>
      <c r="AC11" s="6">
        <f t="shared" si="5"/>
        <v>2.355420081995725</v>
      </c>
    </row>
    <row r="12" spans="1:29" ht="15">
      <c r="A12" s="5">
        <v>9</v>
      </c>
      <c r="B12" s="13">
        <f t="shared" si="13"/>
        <v>23898.748924880158</v>
      </c>
      <c r="C12" s="25">
        <f>'1) HOLD Pro Forma'!$B$45</f>
        <v>0.031</v>
      </c>
      <c r="D12" s="17">
        <f>'1) HOLD Pro Forma'!$B$24</f>
        <v>0.05</v>
      </c>
      <c r="E12" s="13">
        <f t="shared" si="6"/>
        <v>22703.81147863615</v>
      </c>
      <c r="F12" s="13">
        <f t="shared" si="14"/>
        <v>6470.418253649631</v>
      </c>
      <c r="G12" s="13">
        <f t="shared" si="7"/>
        <v>16233.393224986521</v>
      </c>
      <c r="H12" s="13">
        <f>SUMIF('3) Interest Calculations'!$D$5:$D$364,$A12,'3) Interest Calculations'!B$5:B$364)</f>
        <v>3664.001286185294</v>
      </c>
      <c r="I12" s="13">
        <f t="shared" si="15"/>
        <v>26503.408855838978</v>
      </c>
      <c r="J12" s="13">
        <f>SUMIF('3) Interest Calculations'!$D$5:$D$364,$A12,'3) Interest Calculations'!C$5:C$364)</f>
        <v>8941.17241299545</v>
      </c>
      <c r="K12" s="13">
        <f t="shared" si="8"/>
        <v>3628.219525805778</v>
      </c>
      <c r="L12" s="13">
        <f t="shared" si="16"/>
        <v>352812.5279434006</v>
      </c>
      <c r="M12" s="13">
        <f>L12*'1) HOLD Pro Forma'!$B$44</f>
        <v>15523.751229509626</v>
      </c>
      <c r="N12" s="13">
        <f t="shared" si="17"/>
        <v>118336.27917291028</v>
      </c>
      <c r="O12" s="13">
        <f t="shared" si="18"/>
        <v>368336.27917291026</v>
      </c>
      <c r="P12" s="13">
        <f>O12*'1) HOLD Pro Forma'!$B$46</f>
        <v>25783.53954210372</v>
      </c>
      <c r="Q12" s="13">
        <f>'1) HOLD Pro Forma'!B$11-SUM(H$4:H12)</f>
        <v>153496.591144161</v>
      </c>
      <c r="R12" s="13">
        <f t="shared" si="0"/>
        <v>214839.68802874925</v>
      </c>
      <c r="S12" s="13">
        <f t="shared" si="9"/>
        <v>15489.749956299522</v>
      </c>
      <c r="T12" s="13">
        <f>IF('1) HOLD Pro Forma'!$C$41&gt;0,'1) HOLD Pro Forma'!$B$40,$T11-'1) HOLD Pro Forma'!$C$41)</f>
        <v>47946.16329262668</v>
      </c>
      <c r="U12" s="13">
        <f t="shared" si="1"/>
        <v>22815.972041500696</v>
      </c>
      <c r="V12" s="17">
        <f t="shared" si="10"/>
        <v>0.4758664817922858</v>
      </c>
      <c r="W12" s="17">
        <f t="shared" si="2"/>
        <v>0.07567278123302386</v>
      </c>
      <c r="X12" s="17">
        <f t="shared" si="11"/>
        <v>0.1061999868406415</v>
      </c>
      <c r="Y12" s="17"/>
      <c r="Z12" s="18">
        <f t="shared" si="3"/>
        <v>160329.43798504877</v>
      </c>
      <c r="AA12" s="17">
        <f t="shared" si="12"/>
        <v>3.3439471894032606</v>
      </c>
      <c r="AB12" s="13">
        <f t="shared" si="4"/>
        <v>134545.89844294506</v>
      </c>
      <c r="AC12" s="6">
        <f t="shared" si="5"/>
        <v>2.806186964779223</v>
      </c>
    </row>
    <row r="13" spans="1:29" ht="15">
      <c r="A13" s="5">
        <v>10</v>
      </c>
      <c r="B13" s="13">
        <f t="shared" si="13"/>
        <v>24639.610141551442</v>
      </c>
      <c r="C13" s="25">
        <f>'1) HOLD Pro Forma'!$B$45</f>
        <v>0.031</v>
      </c>
      <c r="D13" s="17">
        <f>'1) HOLD Pro Forma'!$B$24</f>
        <v>0.05</v>
      </c>
      <c r="E13" s="13">
        <f t="shared" si="6"/>
        <v>23407.62963447387</v>
      </c>
      <c r="F13" s="13">
        <f t="shared" si="14"/>
        <v>6645.119546498171</v>
      </c>
      <c r="G13" s="13">
        <f t="shared" si="7"/>
        <v>16762.510087975697</v>
      </c>
      <c r="H13" s="13">
        <f>SUMIF('3) Interest Calculations'!$D$5:$D$364,$A13,'3) Interest Calculations'!B$5:B$364)</f>
        <v>3880.3233039372276</v>
      </c>
      <c r="I13" s="13">
        <f t="shared" si="15"/>
        <v>30383.732159776206</v>
      </c>
      <c r="J13" s="13">
        <f>SUMIF('3) Interest Calculations'!$D$5:$D$364,$A13,'3) Interest Calculations'!C$5:C$364)</f>
        <v>8724.850395243517</v>
      </c>
      <c r="K13" s="13">
        <f t="shared" si="8"/>
        <v>4157.336388794953</v>
      </c>
      <c r="L13" s="13">
        <f t="shared" si="16"/>
        <v>368336.27917291026</v>
      </c>
      <c r="M13" s="13">
        <f>L13*'1) HOLD Pro Forma'!$B$44</f>
        <v>16206.79628360805</v>
      </c>
      <c r="N13" s="13">
        <f t="shared" si="17"/>
        <v>134543.07545651833</v>
      </c>
      <c r="O13" s="13">
        <f t="shared" si="18"/>
        <v>384543.07545651833</v>
      </c>
      <c r="P13" s="13">
        <f>O13*'1) HOLD Pro Forma'!$B$46</f>
        <v>26918.015281956286</v>
      </c>
      <c r="Q13" s="13">
        <f>'1) HOLD Pro Forma'!B$11-SUM(H$4:H13)</f>
        <v>149616.2678402238</v>
      </c>
      <c r="R13" s="13">
        <f t="shared" si="0"/>
        <v>234926.80761629454</v>
      </c>
      <c r="S13" s="13">
        <f t="shared" si="9"/>
        <v>19647.086345094474</v>
      </c>
      <c r="T13" s="13">
        <f>IF('1) HOLD Pro Forma'!$C$41&gt;0,'1) HOLD Pro Forma'!$B$40,$T12-'1) HOLD Pro Forma'!$C$41)</f>
        <v>47995.736991807426</v>
      </c>
      <c r="U13" s="13">
        <f t="shared" si="1"/>
        <v>24244.45597634023</v>
      </c>
      <c r="V13" s="17">
        <f t="shared" si="10"/>
        <v>0.5051376954682164</v>
      </c>
      <c r="W13" s="17">
        <f t="shared" si="2"/>
        <v>0.08661886761952596</v>
      </c>
      <c r="X13" s="17">
        <f t="shared" si="11"/>
        <v>0.10320004014160294</v>
      </c>
      <c r="Y13" s="17"/>
      <c r="Z13" s="18">
        <f t="shared" si="3"/>
        <v>184573.89396138903</v>
      </c>
      <c r="AA13" s="17">
        <f t="shared" si="12"/>
        <v>3.8456309982883408</v>
      </c>
      <c r="AB13" s="13">
        <f t="shared" si="4"/>
        <v>157655.87867943273</v>
      </c>
      <c r="AC13" s="6">
        <f t="shared" si="5"/>
        <v>3.2847892033899515</v>
      </c>
    </row>
    <row r="14" spans="1:29" ht="15">
      <c r="A14" s="5">
        <v>11</v>
      </c>
      <c r="B14" s="13">
        <f t="shared" si="13"/>
        <v>25403.438055939536</v>
      </c>
      <c r="C14" s="25">
        <f>'1) HOLD Pro Forma'!$B$45</f>
        <v>0.031</v>
      </c>
      <c r="D14" s="17">
        <f>'1) HOLD Pro Forma'!$B$24</f>
        <v>0.05</v>
      </c>
      <c r="E14" s="13">
        <f t="shared" si="6"/>
        <v>24133.26615314256</v>
      </c>
      <c r="F14" s="13">
        <f t="shared" si="14"/>
        <v>6824.537774253622</v>
      </c>
      <c r="G14" s="13">
        <f t="shared" si="7"/>
        <v>17308.728378888936</v>
      </c>
      <c r="H14" s="13">
        <f>SUMIF('3) Interest Calculations'!$D$5:$D$364,$A14,'3) Interest Calculations'!B$5:B$364)</f>
        <v>4109.41693711973</v>
      </c>
      <c r="I14" s="13">
        <f t="shared" si="15"/>
        <v>34493.14909689593</v>
      </c>
      <c r="J14" s="13">
        <f>SUMIF('3) Interest Calculations'!$D$5:$D$364,$A14,'3) Interest Calculations'!C$5:C$364)</f>
        <v>8495.756762061013</v>
      </c>
      <c r="K14" s="13">
        <f t="shared" si="8"/>
        <v>4703.5546797081915</v>
      </c>
      <c r="L14" s="13">
        <f t="shared" si="16"/>
        <v>384543.07545651833</v>
      </c>
      <c r="M14" s="13">
        <f>L14*'1) HOLD Pro Forma'!$B$44</f>
        <v>16919.895320086805</v>
      </c>
      <c r="N14" s="13">
        <f t="shared" si="17"/>
        <v>151462.97077660513</v>
      </c>
      <c r="O14" s="13">
        <f t="shared" si="18"/>
        <v>401462.9707766051</v>
      </c>
      <c r="P14" s="13">
        <f>O14*'1) HOLD Pro Forma'!$B$46</f>
        <v>28102.407954362363</v>
      </c>
      <c r="Q14" s="13">
        <f>'1) HOLD Pro Forma'!B$11-SUM(H$4:H14)</f>
        <v>145506.85090310406</v>
      </c>
      <c r="R14" s="13">
        <f t="shared" si="0"/>
        <v>255956.11987350107</v>
      </c>
      <c r="S14" s="13">
        <f t="shared" si="9"/>
        <v>24350.641024802666</v>
      </c>
      <c r="T14" s="13">
        <f>IF('1) HOLD Pro Forma'!$C$41&gt;0,'1) HOLD Pro Forma'!$B$40,$T13-'1) HOLD Pro Forma'!$C$41)</f>
        <v>48045.31069098817</v>
      </c>
      <c r="U14" s="13">
        <f t="shared" si="1"/>
        <v>25732.86693691473</v>
      </c>
      <c r="V14" s="17">
        <f t="shared" si="10"/>
        <v>0.5355958066838233</v>
      </c>
      <c r="W14" s="17">
        <f t="shared" si="2"/>
        <v>0.09789830915986635</v>
      </c>
      <c r="X14" s="17">
        <f t="shared" si="11"/>
        <v>0.10053624406258563</v>
      </c>
      <c r="Y14" s="17"/>
      <c r="Z14" s="18">
        <f t="shared" si="3"/>
        <v>210306.76089830374</v>
      </c>
      <c r="AA14" s="17">
        <f t="shared" si="12"/>
        <v>4.3772588390764815</v>
      </c>
      <c r="AB14" s="13">
        <f t="shared" si="4"/>
        <v>182204.35294394137</v>
      </c>
      <c r="AC14" s="6">
        <f aca="true" t="shared" si="19" ref="AC14:AC30">AB14/T14</f>
        <v>3.792344150208968</v>
      </c>
    </row>
    <row r="15" spans="1:29" ht="15">
      <c r="A15" s="5">
        <v>12</v>
      </c>
      <c r="B15" s="13">
        <f t="shared" si="13"/>
        <v>26190.944635673663</v>
      </c>
      <c r="C15" s="25">
        <f>'1) HOLD Pro Forma'!$B$45</f>
        <v>0.031</v>
      </c>
      <c r="D15" s="17">
        <f>'1) HOLD Pro Forma'!$B$24</f>
        <v>0.05</v>
      </c>
      <c r="E15" s="13">
        <f t="shared" si="6"/>
        <v>24881.39740388998</v>
      </c>
      <c r="F15" s="13">
        <f t="shared" si="14"/>
        <v>7008.80029415847</v>
      </c>
      <c r="G15" s="13">
        <f t="shared" si="7"/>
        <v>17872.59710973151</v>
      </c>
      <c r="H15" s="13">
        <f>SUMIF('3) Interest Calculations'!$D$5:$D$364,$A15,'3) Interest Calculations'!B$5:B$364)</f>
        <v>4352.036219753016</v>
      </c>
      <c r="I15" s="13">
        <f t="shared" si="15"/>
        <v>38845.185316648945</v>
      </c>
      <c r="J15" s="13">
        <f>SUMIF('3) Interest Calculations'!$D$5:$D$364,$A15,'3) Interest Calculations'!C$5:C$364)</f>
        <v>8253.137479427729</v>
      </c>
      <c r="K15" s="13">
        <f t="shared" si="8"/>
        <v>5267.423410550764</v>
      </c>
      <c r="L15" s="13">
        <f t="shared" si="16"/>
        <v>401462.9707766051</v>
      </c>
      <c r="M15" s="13">
        <f>L15*'1) HOLD Pro Forma'!$B$44</f>
        <v>17664.370714170625</v>
      </c>
      <c r="N15" s="13">
        <f t="shared" si="17"/>
        <v>169127.34149077575</v>
      </c>
      <c r="O15" s="13">
        <f t="shared" si="18"/>
        <v>419127.34149077575</v>
      </c>
      <c r="P15" s="13">
        <f>O15*'1) HOLD Pro Forma'!$B$46</f>
        <v>29338.913904354307</v>
      </c>
      <c r="Q15" s="13">
        <f>'1) HOLD Pro Forma'!B$11-SUM(H$4:H15)</f>
        <v>141154.81468335105</v>
      </c>
      <c r="R15" s="13">
        <f t="shared" si="0"/>
        <v>277972.5268074247</v>
      </c>
      <c r="S15" s="13">
        <f t="shared" si="9"/>
        <v>29618.06443535343</v>
      </c>
      <c r="T15" s="13">
        <f>IF('1) HOLD Pro Forma'!$C$41&gt;0,'1) HOLD Pro Forma'!$B$40,$T14-'1) HOLD Pro Forma'!$C$41)</f>
        <v>48094.88439016891</v>
      </c>
      <c r="U15" s="13">
        <f t="shared" si="1"/>
        <v>27283.830344474405</v>
      </c>
      <c r="V15" s="17">
        <f t="shared" si="10"/>
        <v>0.5672917336308537</v>
      </c>
      <c r="W15" s="17">
        <f t="shared" si="2"/>
        <v>0.10952149022376026</v>
      </c>
      <c r="X15" s="17">
        <f t="shared" si="11"/>
        <v>0.09815297453253803</v>
      </c>
      <c r="Y15" s="17"/>
      <c r="Z15" s="18">
        <f t="shared" si="3"/>
        <v>237590.59124277811</v>
      </c>
      <c r="AA15" s="17">
        <f t="shared" si="12"/>
        <v>4.940038722524595</v>
      </c>
      <c r="AB15" s="13">
        <f t="shared" si="4"/>
        <v>208251.67733842382</v>
      </c>
      <c r="AC15" s="6">
        <f t="shared" si="19"/>
        <v>4.3300172144917894</v>
      </c>
    </row>
    <row r="16" spans="1:29" ht="15">
      <c r="A16" s="5">
        <v>13</v>
      </c>
      <c r="B16" s="13">
        <f t="shared" si="13"/>
        <v>27002.863919379546</v>
      </c>
      <c r="C16" s="25">
        <f>'1) HOLD Pro Forma'!$B$45</f>
        <v>0.031</v>
      </c>
      <c r="D16" s="17">
        <f>'1) HOLD Pro Forma'!$B$24</f>
        <v>0.05</v>
      </c>
      <c r="E16" s="13">
        <f t="shared" si="6"/>
        <v>25652.72072341057</v>
      </c>
      <c r="F16" s="13">
        <f t="shared" si="14"/>
        <v>7198.037902100748</v>
      </c>
      <c r="G16" s="13">
        <f t="shared" si="7"/>
        <v>18454.68282130982</v>
      </c>
      <c r="H16" s="13">
        <f>SUMIF('3) Interest Calculations'!$D$5:$D$364,$A16,'3) Interest Calculations'!B$5:B$364)</f>
        <v>4608.97970389863</v>
      </c>
      <c r="I16" s="13">
        <f t="shared" si="15"/>
        <v>43454.165020547574</v>
      </c>
      <c r="J16" s="13">
        <f>SUMIF('3) Interest Calculations'!$D$5:$D$364,$A16,'3) Interest Calculations'!C$5:C$364)</f>
        <v>7996.193995282112</v>
      </c>
      <c r="K16" s="13">
        <f t="shared" si="8"/>
        <v>5849.509122129079</v>
      </c>
      <c r="L16" s="13">
        <f t="shared" si="16"/>
        <v>419127.34149077575</v>
      </c>
      <c r="M16" s="13">
        <f>L16*'1) HOLD Pro Forma'!$B$44</f>
        <v>18441.603025594133</v>
      </c>
      <c r="N16" s="13">
        <f t="shared" si="17"/>
        <v>187568.9445163699</v>
      </c>
      <c r="O16" s="13">
        <f t="shared" si="18"/>
        <v>437568.9445163699</v>
      </c>
      <c r="P16" s="13">
        <f>O16*'1) HOLD Pro Forma'!$B$46</f>
        <v>30629.826116145894</v>
      </c>
      <c r="Q16" s="13">
        <f>'1) HOLD Pro Forma'!B$11-SUM(H$4:H16)</f>
        <v>136545.83497945243</v>
      </c>
      <c r="R16" s="13">
        <f t="shared" si="0"/>
        <v>301023.1095369175</v>
      </c>
      <c r="S16" s="13">
        <f t="shared" si="9"/>
        <v>35467.57355748251</v>
      </c>
      <c r="T16" s="13">
        <f>IF('1) HOLD Pro Forma'!$C$41&gt;0,'1) HOLD Pro Forma'!$B$40,$T15-'1) HOLD Pro Forma'!$C$41)</f>
        <v>48144.45808934965</v>
      </c>
      <c r="U16" s="13">
        <f t="shared" si="1"/>
        <v>28900.09185162184</v>
      </c>
      <c r="V16" s="17">
        <f t="shared" si="10"/>
        <v>0.6002786820860492</v>
      </c>
      <c r="W16" s="17">
        <f t="shared" si="2"/>
        <v>0.12149911649796068</v>
      </c>
      <c r="X16" s="17">
        <f t="shared" si="11"/>
        <v>0.09600622323010564</v>
      </c>
      <c r="Y16" s="17"/>
      <c r="Z16" s="18">
        <f t="shared" si="3"/>
        <v>266490.6830944</v>
      </c>
      <c r="AA16" s="17">
        <f t="shared" si="12"/>
        <v>5.535230713363291</v>
      </c>
      <c r="AB16" s="13">
        <f t="shared" si="4"/>
        <v>235860.8569782541</v>
      </c>
      <c r="AC16" s="6">
        <f t="shared" si="19"/>
        <v>4.899024027657099</v>
      </c>
    </row>
    <row r="17" spans="1:29" ht="15">
      <c r="A17" s="5">
        <v>14</v>
      </c>
      <c r="B17" s="13">
        <f t="shared" si="13"/>
        <v>27839.952700880312</v>
      </c>
      <c r="C17" s="25">
        <f>'1) HOLD Pro Forma'!$B$45</f>
        <v>0.031</v>
      </c>
      <c r="D17" s="17">
        <f>'1) HOLD Pro Forma'!$B$24</f>
        <v>0.05</v>
      </c>
      <c r="E17" s="13">
        <f t="shared" si="6"/>
        <v>26447.955065836297</v>
      </c>
      <c r="F17" s="13">
        <f t="shared" si="14"/>
        <v>7392.384925457469</v>
      </c>
      <c r="G17" s="13">
        <f t="shared" si="7"/>
        <v>19055.570140378826</v>
      </c>
      <c r="H17" s="13">
        <f>SUMIF('3) Interest Calculations'!$D$5:$D$364,$A17,'3) Interest Calculations'!B$5:B$364)</f>
        <v>4881.09308799711</v>
      </c>
      <c r="I17" s="13">
        <f t="shared" si="15"/>
        <v>48335.25810854469</v>
      </c>
      <c r="J17" s="13">
        <f>SUMIF('3) Interest Calculations'!$D$5:$D$364,$A17,'3) Interest Calculations'!C$5:C$364)</f>
        <v>7724.080611183634</v>
      </c>
      <c r="K17" s="13">
        <f t="shared" si="8"/>
        <v>6450.396441198083</v>
      </c>
      <c r="L17" s="13">
        <f t="shared" si="16"/>
        <v>437568.9445163699</v>
      </c>
      <c r="M17" s="13">
        <f>L17*'1) HOLD Pro Forma'!$B$44</f>
        <v>19253.033558720275</v>
      </c>
      <c r="N17" s="13">
        <f t="shared" si="17"/>
        <v>206821.97807509018</v>
      </c>
      <c r="O17" s="13">
        <f t="shared" si="18"/>
        <v>456821.97807509016</v>
      </c>
      <c r="P17" s="13">
        <f>O17*'1) HOLD Pro Forma'!$B$46</f>
        <v>31977.538465256315</v>
      </c>
      <c r="Q17" s="13">
        <f>'1) HOLD Pro Forma'!B$11-SUM(H$4:H17)</f>
        <v>131664.7418914553</v>
      </c>
      <c r="R17" s="13">
        <f t="shared" si="0"/>
        <v>325157.23618363484</v>
      </c>
      <c r="S17" s="13">
        <f t="shared" si="9"/>
        <v>41917.96999868059</v>
      </c>
      <c r="T17" s="13">
        <f>IF('1) HOLD Pro Forma'!$C$41&gt;0,'1) HOLD Pro Forma'!$B$40,$T16-'1) HOLD Pro Forma'!$C$41)</f>
        <v>48194.031788530396</v>
      </c>
      <c r="U17" s="13">
        <f t="shared" si="1"/>
        <v>30584.52308791547</v>
      </c>
      <c r="V17" s="17">
        <f t="shared" si="10"/>
        <v>0.634612252863937</v>
      </c>
      <c r="W17" s="17">
        <f t="shared" si="2"/>
        <v>0.133842224894187</v>
      </c>
      <c r="X17" s="17">
        <f t="shared" si="11"/>
        <v>0.0940607179679761</v>
      </c>
      <c r="Y17" s="17"/>
      <c r="Z17" s="18">
        <f t="shared" si="3"/>
        <v>297075.2061823155</v>
      </c>
      <c r="AA17" s="17">
        <f t="shared" si="12"/>
        <v>6.164149276529627</v>
      </c>
      <c r="AB17" s="13">
        <f t="shared" si="4"/>
        <v>265097.66771705914</v>
      </c>
      <c r="AC17" s="6">
        <f t="shared" si="19"/>
        <v>5.500632710711479</v>
      </c>
    </row>
    <row r="18" spans="1:29" ht="15">
      <c r="A18" s="5">
        <v>15</v>
      </c>
      <c r="B18" s="13">
        <f t="shared" si="13"/>
        <v>28702.9912346076</v>
      </c>
      <c r="C18" s="25">
        <f>'1) HOLD Pro Forma'!$B$45</f>
        <v>0.031</v>
      </c>
      <c r="D18" s="17">
        <f>'1) HOLD Pro Forma'!$B$24</f>
        <v>0.05</v>
      </c>
      <c r="E18" s="13">
        <f t="shared" si="6"/>
        <v>27267.84167287722</v>
      </c>
      <c r="F18" s="13">
        <f t="shared" si="14"/>
        <v>7591.979318444821</v>
      </c>
      <c r="G18" s="13">
        <f t="shared" si="7"/>
        <v>19675.8623544324</v>
      </c>
      <c r="H18" s="13">
        <f>SUMIF('3) Interest Calculations'!$D$5:$D$364,$A18,'3) Interest Calculations'!B$5:B$364)</f>
        <v>5169.272000382229</v>
      </c>
      <c r="I18" s="13">
        <f t="shared" si="15"/>
        <v>53504.53010892692</v>
      </c>
      <c r="J18" s="13">
        <f>SUMIF('3) Interest Calculations'!$D$5:$D$364,$A18,'3) Interest Calculations'!C$5:C$364)</f>
        <v>7435.901698798515</v>
      </c>
      <c r="K18" s="13">
        <f t="shared" si="8"/>
        <v>7070.688655251656</v>
      </c>
      <c r="L18" s="13">
        <f t="shared" si="16"/>
        <v>456821.97807509016</v>
      </c>
      <c r="M18" s="13">
        <f>L18*'1) HOLD Pro Forma'!$B$44</f>
        <v>20100.167035303966</v>
      </c>
      <c r="N18" s="13">
        <f t="shared" si="17"/>
        <v>226922.14511039417</v>
      </c>
      <c r="O18" s="13">
        <f t="shared" si="18"/>
        <v>476922.1451103941</v>
      </c>
      <c r="P18" s="13">
        <f>O18*'1) HOLD Pro Forma'!$B$46</f>
        <v>33384.55015772759</v>
      </c>
      <c r="Q18" s="13">
        <f>'1) HOLD Pro Forma'!B$11-SUM(H$4:H18)</f>
        <v>126495.46989107308</v>
      </c>
      <c r="R18" s="13">
        <f t="shared" si="0"/>
        <v>350426.67521932104</v>
      </c>
      <c r="S18" s="13">
        <f t="shared" si="9"/>
        <v>48988.65865393225</v>
      </c>
      <c r="T18" s="13">
        <f>IF('1) HOLD Pro Forma'!$C$41&gt;0,'1) HOLD Pro Forma'!$B$40,$T17-'1) HOLD Pro Forma'!$C$41)</f>
        <v>48243.60548771114</v>
      </c>
      <c r="U18" s="13">
        <f t="shared" si="1"/>
        <v>32340.12769093785</v>
      </c>
      <c r="V18" s="17">
        <f t="shared" si="10"/>
        <v>0.6703505545242819</v>
      </c>
      <c r="W18" s="17">
        <f t="shared" si="2"/>
        <v>0.14656219376167354</v>
      </c>
      <c r="X18" s="17">
        <f t="shared" si="11"/>
        <v>0.09228785928096707</v>
      </c>
      <c r="Y18" s="17"/>
      <c r="Z18" s="18">
        <f t="shared" si="3"/>
        <v>329415.3338732534</v>
      </c>
      <c r="AA18" s="17">
        <f t="shared" si="12"/>
        <v>6.82816573394714</v>
      </c>
      <c r="AB18" s="13">
        <f t="shared" si="4"/>
        <v>296030.78371552576</v>
      </c>
      <c r="AC18" s="6">
        <f t="shared" si="19"/>
        <v>6.136166248829231</v>
      </c>
    </row>
    <row r="19" spans="1:29" ht="15">
      <c r="A19" s="5">
        <v>16</v>
      </c>
      <c r="B19" s="13">
        <f t="shared" si="13"/>
        <v>29592.783962880436</v>
      </c>
      <c r="C19" s="25">
        <f>'1) HOLD Pro Forma'!$B$45</f>
        <v>0.031</v>
      </c>
      <c r="D19" s="17">
        <f>'1) HOLD Pro Forma'!$B$24</f>
        <v>0.05</v>
      </c>
      <c r="E19" s="13">
        <f t="shared" si="6"/>
        <v>28113.144764736415</v>
      </c>
      <c r="F19" s="13">
        <f t="shared" si="14"/>
        <v>7796.962760042831</v>
      </c>
      <c r="G19" s="13">
        <f t="shared" si="7"/>
        <v>20316.182004693583</v>
      </c>
      <c r="H19" s="21">
        <f>IF('1) HOLD Pro Forma'!$B$14&lt;'2) HOLD ROI Analysis'!$A19,0,SUMIF('3) Interest Calculations'!$D$5:$D$364,$A19,'3) Interest Calculations'!B$5:B$364))</f>
        <v>5474.464947133477</v>
      </c>
      <c r="I19" s="21">
        <f t="shared" si="15"/>
        <v>58978.9950560604</v>
      </c>
      <c r="J19" s="21">
        <f>IF('1) HOLD Pro Forma'!$B$14&lt;'2) HOLD ROI Analysis'!$A19,0,SUMIF('3) Interest Calculations'!$D$5:$D$364,$A19,'3) Interest Calculations'!C$5:C$364))</f>
        <v>7130.708752047265</v>
      </c>
      <c r="K19" s="13">
        <f t="shared" si="8"/>
        <v>7711.00830551284</v>
      </c>
      <c r="L19" s="13">
        <f t="shared" si="16"/>
        <v>476922.1451103941</v>
      </c>
      <c r="M19" s="13">
        <f>L19*'1) HOLD Pro Forma'!$B$44</f>
        <v>20984.57438485734</v>
      </c>
      <c r="N19" s="13">
        <f t="shared" si="17"/>
        <v>247906.7194952515</v>
      </c>
      <c r="O19" s="13">
        <f t="shared" si="18"/>
        <v>497906.7194952514</v>
      </c>
      <c r="P19" s="13">
        <f>O19*'1) HOLD Pro Forma'!$B$46</f>
        <v>34853.470364667606</v>
      </c>
      <c r="Q19" s="13">
        <f>'1) HOLD Pro Forma'!B$11-SUM(H$4:H19)</f>
        <v>121021.0049439396</v>
      </c>
      <c r="R19" s="13">
        <f t="shared" si="0"/>
        <v>376885.7145513118</v>
      </c>
      <c r="S19" s="13">
        <f t="shared" si="9"/>
        <v>56699.666959445094</v>
      </c>
      <c r="T19" s="13">
        <f>IF('1) HOLD Pro Forma'!$C$41&gt;0,'1) HOLD Pro Forma'!$B$40,$T18-'1) HOLD Pro Forma'!$C$41)</f>
        <v>48293.17918689188</v>
      </c>
      <c r="U19" s="13">
        <f t="shared" si="1"/>
        <v>34170.04763750366</v>
      </c>
      <c r="V19" s="17">
        <f t="shared" si="10"/>
        <v>0.7075543216003134</v>
      </c>
      <c r="W19" s="17">
        <f t="shared" si="2"/>
        <v>0.15967075341367923</v>
      </c>
      <c r="X19" s="17">
        <f t="shared" si="11"/>
        <v>0.09066421548554479</v>
      </c>
      <c r="Y19" s="17"/>
      <c r="Z19" s="18">
        <f t="shared" si="3"/>
        <v>363585.381510757</v>
      </c>
      <c r="AA19" s="17">
        <f t="shared" si="12"/>
        <v>7.528710837273771</v>
      </c>
      <c r="AB19" s="13">
        <f t="shared" si="4"/>
        <v>328731.91114608943</v>
      </c>
      <c r="AC19" s="6">
        <f t="shared" si="19"/>
        <v>6.807004978361757</v>
      </c>
    </row>
    <row r="20" spans="1:29" ht="15">
      <c r="A20" s="5">
        <v>17</v>
      </c>
      <c r="B20" s="13">
        <f t="shared" si="13"/>
        <v>30510.16026572973</v>
      </c>
      <c r="C20" s="25">
        <f>'1) HOLD Pro Forma'!$B$45</f>
        <v>0.031</v>
      </c>
      <c r="D20" s="17">
        <f>'1) HOLD Pro Forma'!$B$24</f>
        <v>0.05</v>
      </c>
      <c r="E20" s="13">
        <f t="shared" si="6"/>
        <v>28984.652252443244</v>
      </c>
      <c r="F20" s="13">
        <f t="shared" si="14"/>
        <v>8007.480754563988</v>
      </c>
      <c r="G20" s="13">
        <f t="shared" si="7"/>
        <v>20977.171497879255</v>
      </c>
      <c r="H20" s="21">
        <f>IF('1) HOLD Pro Forma'!$B$14&lt;'2) HOLD ROI Analysis'!$A20,0,SUMIF('3) Interest Calculations'!$D$5:$D$364,$A20,'3) Interest Calculations'!B$5:B$364))</f>
        <v>5797.6764339692545</v>
      </c>
      <c r="I20" s="21">
        <f t="shared" si="15"/>
        <v>64776.67149002965</v>
      </c>
      <c r="J20" s="21">
        <f>IF('1) HOLD Pro Forma'!$B$14&lt;'2) HOLD ROI Analysis'!$A20,0,SUMIF('3) Interest Calculations'!$D$5:$D$364,$A20,'3) Interest Calculations'!C$5:C$364))</f>
        <v>6807.497265211488</v>
      </c>
      <c r="K20" s="13">
        <f t="shared" si="8"/>
        <v>8371.997798698512</v>
      </c>
      <c r="L20" s="13">
        <f t="shared" si="16"/>
        <v>497906.7194952514</v>
      </c>
      <c r="M20" s="13">
        <f>L20*'1) HOLD Pro Forma'!$B$44</f>
        <v>21907.89565779106</v>
      </c>
      <c r="N20" s="13">
        <f t="shared" si="17"/>
        <v>269814.6151530426</v>
      </c>
      <c r="O20" s="13">
        <f t="shared" si="18"/>
        <v>519814.6151530425</v>
      </c>
      <c r="P20" s="13">
        <f>O20*'1) HOLD Pro Forma'!$B$46</f>
        <v>36387.02306071298</v>
      </c>
      <c r="Q20" s="13">
        <f>'1) HOLD Pro Forma'!B$11-SUM(H$4:H20)</f>
        <v>115223.32850997035</v>
      </c>
      <c r="R20" s="13">
        <f t="shared" si="0"/>
        <v>404591.28664307215</v>
      </c>
      <c r="S20" s="13">
        <f t="shared" si="9"/>
        <v>65071.664758143605</v>
      </c>
      <c r="T20" s="13">
        <f>IF('1) HOLD Pro Forma'!$C$41&gt;0,'1) HOLD Pro Forma'!$B$40,$T19-'1) HOLD Pro Forma'!$C$41)</f>
        <v>48342.75288607262</v>
      </c>
      <c r="U20" s="13">
        <f t="shared" si="1"/>
        <v>36077.56989045883</v>
      </c>
      <c r="V20" s="17">
        <f t="shared" si="10"/>
        <v>0.7462870386277205</v>
      </c>
      <c r="W20" s="17">
        <f t="shared" si="2"/>
        <v>0.17317999697759157</v>
      </c>
      <c r="X20" s="17">
        <f t="shared" si="11"/>
        <v>0.08917040747416351</v>
      </c>
      <c r="Y20" s="17"/>
      <c r="Z20" s="18">
        <f t="shared" si="3"/>
        <v>399662.95140121586</v>
      </c>
      <c r="AA20" s="17">
        <f t="shared" si="12"/>
        <v>8.267277462313434</v>
      </c>
      <c r="AB20" s="13">
        <f t="shared" si="4"/>
        <v>363275.9283405029</v>
      </c>
      <c r="AC20" s="6">
        <f t="shared" si="19"/>
        <v>7.514589191819927</v>
      </c>
    </row>
    <row r="21" spans="1:29" ht="15">
      <c r="A21" s="5">
        <v>18</v>
      </c>
      <c r="B21" s="13">
        <f t="shared" si="13"/>
        <v>31455.97523396735</v>
      </c>
      <c r="C21" s="25">
        <f>'1) HOLD Pro Forma'!$B$45</f>
        <v>0.031</v>
      </c>
      <c r="D21" s="17">
        <f>'1) HOLD Pro Forma'!$B$24</f>
        <v>0.05</v>
      </c>
      <c r="E21" s="13">
        <f t="shared" si="6"/>
        <v>29883.176472268984</v>
      </c>
      <c r="F21" s="13">
        <f t="shared" si="14"/>
        <v>8223.682734937216</v>
      </c>
      <c r="G21" s="13">
        <f t="shared" si="7"/>
        <v>21659.493737331766</v>
      </c>
      <c r="H21" s="21">
        <f>IF('1) HOLD Pro Forma'!$B$14&lt;'2) HOLD ROI Analysis'!$A21,0,SUMIF('3) Interest Calculations'!$D$5:$D$364,$A21,'3) Interest Calculations'!B$5:B$364))</f>
        <v>6139.970272456088</v>
      </c>
      <c r="I21" s="21">
        <f t="shared" si="15"/>
        <v>70916.64176248574</v>
      </c>
      <c r="J21" s="21">
        <f>IF('1) HOLD Pro Forma'!$B$14&lt;'2) HOLD ROI Analysis'!$A21,0,SUMIF('3) Interest Calculations'!$D$5:$D$364,$A21,'3) Interest Calculations'!C$5:C$364))</f>
        <v>6465.2034267246545</v>
      </c>
      <c r="K21" s="13">
        <f t="shared" si="8"/>
        <v>9054.320038151023</v>
      </c>
      <c r="L21" s="13">
        <f t="shared" si="16"/>
        <v>519814.6151530425</v>
      </c>
      <c r="M21" s="13">
        <f>L21*'1) HOLD Pro Forma'!$B$44</f>
        <v>22871.84306673387</v>
      </c>
      <c r="N21" s="13">
        <f t="shared" si="17"/>
        <v>292686.45821977645</v>
      </c>
      <c r="O21" s="13">
        <f t="shared" si="18"/>
        <v>542686.4582197764</v>
      </c>
      <c r="P21" s="13">
        <f>O21*'1) HOLD Pro Forma'!$B$46</f>
        <v>37988.05207538435</v>
      </c>
      <c r="Q21" s="13">
        <f>'1) HOLD Pro Forma'!B$11-SUM(H$4:H21)</f>
        <v>109083.35823751426</v>
      </c>
      <c r="R21" s="13">
        <f t="shared" si="0"/>
        <v>433603.0999822621</v>
      </c>
      <c r="S21" s="13">
        <f t="shared" si="9"/>
        <v>74125.98479629462</v>
      </c>
      <c r="T21" s="13">
        <f>IF('1) HOLD Pro Forma'!$C$41&gt;0,'1) HOLD Pro Forma'!$B$40,$T20-'1) HOLD Pro Forma'!$C$41)</f>
        <v>48392.326585253366</v>
      </c>
      <c r="U21" s="13">
        <f t="shared" si="1"/>
        <v>38066.13337734098</v>
      </c>
      <c r="V21" s="17">
        <f t="shared" si="10"/>
        <v>0.7866150702690311</v>
      </c>
      <c r="W21" s="17">
        <f t="shared" si="2"/>
        <v>0.18710239157854736</v>
      </c>
      <c r="X21" s="17">
        <f t="shared" si="11"/>
        <v>0.08779027036222341</v>
      </c>
      <c r="Y21" s="17"/>
      <c r="Z21" s="18">
        <f t="shared" si="3"/>
        <v>437729.08477855683</v>
      </c>
      <c r="AA21" s="17">
        <f t="shared" si="12"/>
        <v>9.045423431076497</v>
      </c>
      <c r="AB21" s="13">
        <f t="shared" si="4"/>
        <v>399741.0327031725</v>
      </c>
      <c r="AC21" s="6">
        <f t="shared" si="19"/>
        <v>8.260421866655733</v>
      </c>
    </row>
    <row r="22" spans="1:29" ht="15">
      <c r="A22" s="5">
        <v>19</v>
      </c>
      <c r="B22" s="13">
        <f t="shared" si="13"/>
        <v>32431.11046622034</v>
      </c>
      <c r="C22" s="25">
        <f>'1) HOLD Pro Forma'!$B$45</f>
        <v>0.031</v>
      </c>
      <c r="D22" s="17">
        <f>'1) HOLD Pro Forma'!$B$24</f>
        <v>0.05</v>
      </c>
      <c r="E22" s="13">
        <f t="shared" si="6"/>
        <v>30809.554942909323</v>
      </c>
      <c r="F22" s="13">
        <f t="shared" si="14"/>
        <v>8445.722168780521</v>
      </c>
      <c r="G22" s="13">
        <f t="shared" si="7"/>
        <v>22363.8327741288</v>
      </c>
      <c r="H22" s="21">
        <f>IF('1) HOLD Pro Forma'!$B$14&lt;'2) HOLD ROI Analysis'!$A22,0,SUMIF('3) Interest Calculations'!$D$5:$D$364,$A22,'3) Interest Calculations'!B$5:B$364))</f>
        <v>6502.473081415917</v>
      </c>
      <c r="I22" s="21">
        <f t="shared" si="15"/>
        <v>77419.11484390165</v>
      </c>
      <c r="J22" s="21">
        <f>IF('1) HOLD Pro Forma'!$B$14&lt;'2) HOLD ROI Analysis'!$A22,0,SUMIF('3) Interest Calculations'!$D$5:$D$364,$A22,'3) Interest Calculations'!C$5:C$364))</f>
        <v>6102.700617764827</v>
      </c>
      <c r="K22" s="13">
        <f t="shared" si="8"/>
        <v>9758.659074948058</v>
      </c>
      <c r="L22" s="13">
        <f t="shared" si="16"/>
        <v>542686.4582197764</v>
      </c>
      <c r="M22" s="13">
        <f>L22*'1) HOLD Pro Forma'!$B$44</f>
        <v>23878.20416167016</v>
      </c>
      <c r="N22" s="13">
        <f t="shared" si="17"/>
        <v>316564.66238144663</v>
      </c>
      <c r="O22" s="13">
        <f t="shared" si="18"/>
        <v>566564.6623814466</v>
      </c>
      <c r="P22" s="13">
        <f>O22*'1) HOLD Pro Forma'!$B$46</f>
        <v>39659.52636670126</v>
      </c>
      <c r="Q22" s="13">
        <f>'1) HOLD Pro Forma'!B$11-SUM(H$4:H22)</f>
        <v>102580.88515609835</v>
      </c>
      <c r="R22" s="13">
        <f t="shared" si="0"/>
        <v>463983.7772253482</v>
      </c>
      <c r="S22" s="13">
        <f t="shared" si="9"/>
        <v>83884.64387124268</v>
      </c>
      <c r="T22" s="13">
        <f>IF('1) HOLD Pro Forma'!$C$41&gt;0,'1) HOLD Pro Forma'!$B$40,$T21-'1) HOLD Pro Forma'!$C$41)</f>
        <v>48441.90028443411</v>
      </c>
      <c r="U22" s="13">
        <f t="shared" si="1"/>
        <v>40139.33631803413</v>
      </c>
      <c r="V22" s="17">
        <f t="shared" si="10"/>
        <v>0.828607797843392</v>
      </c>
      <c r="W22" s="17">
        <f t="shared" si="2"/>
        <v>0.2014507898668009</v>
      </c>
      <c r="X22" s="17">
        <f t="shared" si="11"/>
        <v>0.08651021498654513</v>
      </c>
      <c r="Y22" s="17"/>
      <c r="Z22" s="18">
        <f t="shared" si="3"/>
        <v>477868.42109659093</v>
      </c>
      <c r="AA22" s="17">
        <f t="shared" si="12"/>
        <v>9.864774467779187</v>
      </c>
      <c r="AB22" s="13">
        <f t="shared" si="4"/>
        <v>438208.8947298897</v>
      </c>
      <c r="AC22" s="6">
        <f t="shared" si="19"/>
        <v>9.046071523967441</v>
      </c>
    </row>
    <row r="23" spans="1:29" ht="15">
      <c r="A23" s="5">
        <v>20</v>
      </c>
      <c r="B23" s="13">
        <f t="shared" si="13"/>
        <v>33436.47489067317</v>
      </c>
      <c r="C23" s="25">
        <f>'1) HOLD Pro Forma'!$B$45</f>
        <v>0.031</v>
      </c>
      <c r="D23" s="17">
        <f>'1) HOLD Pro Forma'!$B$24</f>
        <v>0.05</v>
      </c>
      <c r="E23" s="13">
        <f t="shared" si="6"/>
        <v>31764.65114613951</v>
      </c>
      <c r="F23" s="13">
        <f t="shared" si="14"/>
        <v>8673.756667337595</v>
      </c>
      <c r="G23" s="13">
        <f t="shared" si="7"/>
        <v>23090.894478801914</v>
      </c>
      <c r="H23" s="21">
        <f>IF('1) HOLD Pro Forma'!$B$14&lt;'2) HOLD ROI Analysis'!$A23,0,SUMIF('3) Interest Calculations'!$D$5:$D$364,$A23,'3) Interest Calculations'!B$5:B$364))</f>
        <v>6886.377995055836</v>
      </c>
      <c r="I23" s="21">
        <f t="shared" si="15"/>
        <v>84305.49283895749</v>
      </c>
      <c r="J23" s="21">
        <f>IF('1) HOLD Pro Forma'!$B$14&lt;'2) HOLD ROI Analysis'!$A23,0,SUMIF('3) Interest Calculations'!$D$5:$D$364,$A23,'3) Interest Calculations'!C$5:C$364))</f>
        <v>5718.795704124906</v>
      </c>
      <c r="K23" s="13">
        <f t="shared" si="8"/>
        <v>10485.720779621173</v>
      </c>
      <c r="L23" s="13">
        <f t="shared" si="16"/>
        <v>566564.6623814466</v>
      </c>
      <c r="M23" s="13">
        <f>L23*'1) HOLD Pro Forma'!$B$44</f>
        <v>24928.84514478365</v>
      </c>
      <c r="N23" s="13">
        <f t="shared" si="17"/>
        <v>341493.5075262303</v>
      </c>
      <c r="O23" s="13">
        <f t="shared" si="18"/>
        <v>591493.5075262302</v>
      </c>
      <c r="P23" s="13">
        <f>O23*'1) HOLD Pro Forma'!$B$46</f>
        <v>41404.54552683612</v>
      </c>
      <c r="Q23" s="13">
        <f>'1) HOLD Pro Forma'!B$11-SUM(H$4:H23)</f>
        <v>95694.50716104251</v>
      </c>
      <c r="R23" s="13">
        <f t="shared" si="0"/>
        <v>495799.00036518765</v>
      </c>
      <c r="S23" s="13">
        <f t="shared" si="9"/>
        <v>94370.36465086385</v>
      </c>
      <c r="T23" s="13">
        <f>IF('1) HOLD Pro Forma'!$C$41&gt;0,'1) HOLD Pro Forma'!$B$40,$T22-'1) HOLD Pro Forma'!$C$41)</f>
        <v>48491.47398361485</v>
      </c>
      <c r="U23" s="13">
        <f t="shared" si="1"/>
        <v>42300.94391946066</v>
      </c>
      <c r="V23" s="17">
        <f t="shared" si="10"/>
        <v>0.8723377625879973</v>
      </c>
      <c r="W23" s="17">
        <f t="shared" si="2"/>
        <v>0.21623844189937952</v>
      </c>
      <c r="X23" s="17">
        <f t="shared" si="11"/>
        <v>0.08531873579475414</v>
      </c>
      <c r="Y23" s="17"/>
      <c r="Z23" s="18">
        <f t="shared" si="3"/>
        <v>520169.3650160516</v>
      </c>
      <c r="AA23" s="17">
        <f t="shared" si="12"/>
        <v>10.727027295392496</v>
      </c>
      <c r="AB23" s="13">
        <f t="shared" si="4"/>
        <v>478764.8194892155</v>
      </c>
      <c r="AC23" s="6">
        <f t="shared" si="19"/>
        <v>9.873175223565879</v>
      </c>
    </row>
    <row r="24" spans="1:29" ht="15">
      <c r="A24" s="5">
        <v>21</v>
      </c>
      <c r="B24" s="13">
        <f t="shared" si="13"/>
        <v>34473.00561228404</v>
      </c>
      <c r="C24" s="25">
        <f>'1) HOLD Pro Forma'!$B$45</f>
        <v>0.031</v>
      </c>
      <c r="D24" s="17">
        <f>'1) HOLD Pro Forma'!$B$24</f>
        <v>0.05</v>
      </c>
      <c r="E24" s="13">
        <f t="shared" si="6"/>
        <v>32749.355331669838</v>
      </c>
      <c r="F24" s="13">
        <f t="shared" si="14"/>
        <v>8907.94809735571</v>
      </c>
      <c r="G24" s="13">
        <f t="shared" si="7"/>
        <v>23841.40723431413</v>
      </c>
      <c r="H24" s="21">
        <f>IF('1) HOLD Pro Forma'!$B$14&lt;'2) HOLD ROI Analysis'!$A24,0,SUMIF('3) Interest Calculations'!$D$5:$D$364,$A24,'3) Interest Calculations'!B$5:B$364))</f>
        <v>7292.948590025234</v>
      </c>
      <c r="I24" s="21">
        <f t="shared" si="15"/>
        <v>91598.44142898273</v>
      </c>
      <c r="J24" s="21">
        <f>IF('1) HOLD Pro Forma'!$B$14&lt;'2) HOLD ROI Analysis'!$A24,0,SUMIF('3) Interest Calculations'!$D$5:$D$364,$A24,'3) Interest Calculations'!C$5:C$364))</f>
        <v>5312.225109155508</v>
      </c>
      <c r="K24" s="13">
        <f t="shared" si="8"/>
        <v>11236.23353513339</v>
      </c>
      <c r="L24" s="13">
        <f t="shared" si="16"/>
        <v>591493.5075262302</v>
      </c>
      <c r="M24" s="13">
        <f>L24*'1) HOLD Pro Forma'!$B$44</f>
        <v>26025.714331154126</v>
      </c>
      <c r="N24" s="13">
        <f t="shared" si="17"/>
        <v>367519.22185738443</v>
      </c>
      <c r="O24" s="13">
        <f t="shared" si="18"/>
        <v>617519.2218573843</v>
      </c>
      <c r="P24" s="13">
        <f>O24*'1) HOLD Pro Forma'!$B$46</f>
        <v>43226.34553001691</v>
      </c>
      <c r="Q24" s="13">
        <f>'1) HOLD Pro Forma'!B$11-SUM(H$4:H24)</f>
        <v>88401.55857101727</v>
      </c>
      <c r="R24" s="13">
        <f t="shared" si="0"/>
        <v>529117.6632863671</v>
      </c>
      <c r="S24" s="13">
        <f t="shared" si="9"/>
        <v>105606.59818599724</v>
      </c>
      <c r="T24" s="13">
        <f>IF('1) HOLD Pro Forma'!$C$41&gt;0,'1) HOLD Pro Forma'!$B$40,$T23-'1) HOLD Pro Forma'!$C$41)</f>
        <v>48541.04768279559</v>
      </c>
      <c r="U24" s="13">
        <f t="shared" si="1"/>
        <v>44554.89645631275</v>
      </c>
      <c r="V24" s="17">
        <f t="shared" si="10"/>
        <v>0.9178808159945082</v>
      </c>
      <c r="W24" s="17">
        <f t="shared" si="2"/>
        <v>0.23147900738689348</v>
      </c>
      <c r="X24" s="17">
        <f t="shared" si="11"/>
        <v>0.084206027407176</v>
      </c>
      <c r="Y24" s="17"/>
      <c r="Z24" s="18">
        <f t="shared" si="3"/>
        <v>564724.2614723644</v>
      </c>
      <c r="AA24" s="17">
        <f t="shared" si="12"/>
        <v>11.633952879688662</v>
      </c>
      <c r="AB24" s="13">
        <f t="shared" si="4"/>
        <v>521497.9159423475</v>
      </c>
      <c r="AC24" s="6">
        <f t="shared" si="19"/>
        <v>10.743441702169564</v>
      </c>
    </row>
    <row r="25" spans="1:29" ht="15">
      <c r="A25" s="5">
        <v>22</v>
      </c>
      <c r="B25" s="13">
        <f t="shared" si="13"/>
        <v>35541.66878626485</v>
      </c>
      <c r="C25" s="25">
        <f>'1) HOLD Pro Forma'!$B$45</f>
        <v>0.031</v>
      </c>
      <c r="D25" s="17">
        <f>'1) HOLD Pro Forma'!$B$24</f>
        <v>0.05</v>
      </c>
      <c r="E25" s="13">
        <f t="shared" si="6"/>
        <v>33764.58534695161</v>
      </c>
      <c r="F25" s="13">
        <f t="shared" si="14"/>
        <v>9148.462695984314</v>
      </c>
      <c r="G25" s="13">
        <f t="shared" si="7"/>
        <v>24616.122650967292</v>
      </c>
      <c r="H25" s="21">
        <f>IF('1) HOLD Pro Forma'!$B$14&lt;'2) HOLD ROI Analysis'!$A25,0,SUMIF('3) Interest Calculations'!$D$5:$D$364,$A25,'3) Interest Calculations'!B$5:B$364))</f>
        <v>7723.523044325684</v>
      </c>
      <c r="I25" s="21">
        <f t="shared" si="15"/>
        <v>99321.96447330841</v>
      </c>
      <c r="J25" s="21">
        <f>IF('1) HOLD Pro Forma'!$B$14&lt;'2) HOLD ROI Analysis'!$A25,0,SUMIF('3) Interest Calculations'!$D$5:$D$364,$A25,'3) Interest Calculations'!C$5:C$364))</f>
        <v>4881.650654855059</v>
      </c>
      <c r="K25" s="13">
        <f t="shared" si="8"/>
        <v>12010.94895178655</v>
      </c>
      <c r="L25" s="13">
        <f t="shared" si="16"/>
        <v>617519.2218573843</v>
      </c>
      <c r="M25" s="13">
        <f>L25*'1) HOLD Pro Forma'!$B$44</f>
        <v>27170.845761724908</v>
      </c>
      <c r="N25" s="13">
        <f t="shared" si="17"/>
        <v>394690.06761910935</v>
      </c>
      <c r="O25" s="13">
        <f t="shared" si="18"/>
        <v>644690.0676191092</v>
      </c>
      <c r="P25" s="13">
        <f>O25*'1) HOLD Pro Forma'!$B$46</f>
        <v>45128.304733337645</v>
      </c>
      <c r="Q25" s="13">
        <f>'1) HOLD Pro Forma'!B$11-SUM(H$4:H25)</f>
        <v>80678.03552669159</v>
      </c>
      <c r="R25" s="13">
        <f t="shared" si="0"/>
        <v>564012.0320924176</v>
      </c>
      <c r="S25" s="13">
        <f t="shared" si="9"/>
        <v>117617.54713778378</v>
      </c>
      <c r="T25" s="13">
        <f>IF('1) HOLD Pro Forma'!$C$41&gt;0,'1) HOLD Pro Forma'!$B$40,$T24-'1) HOLD Pro Forma'!$C$41)</f>
        <v>48590.621381976336</v>
      </c>
      <c r="U25" s="13">
        <f t="shared" si="1"/>
        <v>46905.31775783715</v>
      </c>
      <c r="V25" s="17">
        <f t="shared" si="10"/>
        <v>0.9653162775818233</v>
      </c>
      <c r="W25" s="17">
        <f t="shared" si="2"/>
        <v>0.2471865683166949</v>
      </c>
      <c r="X25" s="17">
        <f t="shared" si="11"/>
        <v>0.0831636828452471</v>
      </c>
      <c r="Y25" s="17"/>
      <c r="Z25" s="18">
        <f t="shared" si="3"/>
        <v>611629.5792302015</v>
      </c>
      <c r="AA25" s="17">
        <f t="shared" si="12"/>
        <v>12.587399828088484</v>
      </c>
      <c r="AB25" s="13">
        <f t="shared" si="4"/>
        <v>566501.274496864</v>
      </c>
      <c r="AC25" s="6">
        <f t="shared" si="19"/>
        <v>11.65865466184377</v>
      </c>
    </row>
    <row r="26" spans="1:29" ht="15">
      <c r="A26" s="5">
        <v>23</v>
      </c>
      <c r="B26" s="13">
        <f t="shared" si="13"/>
        <v>36643.460518639054</v>
      </c>
      <c r="C26" s="25">
        <f>'1) HOLD Pro Forma'!$B$45</f>
        <v>0.031</v>
      </c>
      <c r="D26" s="17">
        <f>'1) HOLD Pro Forma'!$B$24</f>
        <v>0.05</v>
      </c>
      <c r="E26" s="13">
        <f t="shared" si="6"/>
        <v>34811.2874927071</v>
      </c>
      <c r="F26" s="13">
        <f t="shared" si="14"/>
        <v>9395.47118877589</v>
      </c>
      <c r="G26" s="13">
        <f t="shared" si="7"/>
        <v>25415.816303931213</v>
      </c>
      <c r="H26" s="21">
        <f>IF('1) HOLD Pro Forma'!$B$14&lt;'2) HOLD ROI Analysis'!$A26,0,SUMIF('3) Interest Calculations'!$D$5:$D$364,$A26,'3) Interest Calculations'!B$5:B$364))</f>
        <v>8179.518541762199</v>
      </c>
      <c r="I26" s="21">
        <f t="shared" si="15"/>
        <v>107501.48301507061</v>
      </c>
      <c r="J26" s="21">
        <f>IF('1) HOLD Pro Forma'!$B$14&lt;'2) HOLD ROI Analysis'!$A26,0,SUMIF('3) Interest Calculations'!$D$5:$D$364,$A26,'3) Interest Calculations'!C$5:C$364))</f>
        <v>4425.655157418545</v>
      </c>
      <c r="K26" s="13">
        <f t="shared" si="8"/>
        <v>12810.64260475047</v>
      </c>
      <c r="L26" s="13">
        <f t="shared" si="16"/>
        <v>644690.0676191092</v>
      </c>
      <c r="M26" s="13">
        <f>L26*'1) HOLD Pro Forma'!$B$44</f>
        <v>28366.3629752408</v>
      </c>
      <c r="N26" s="13">
        <f t="shared" si="17"/>
        <v>423056.43059435015</v>
      </c>
      <c r="O26" s="13">
        <f t="shared" si="18"/>
        <v>673056.43059435</v>
      </c>
      <c r="P26" s="13">
        <f>O26*'1) HOLD Pro Forma'!$B$46</f>
        <v>47113.9501416045</v>
      </c>
      <c r="Q26" s="13">
        <f>'1) HOLD Pro Forma'!B$11-SUM(H$4:H26)</f>
        <v>72498.51698492939</v>
      </c>
      <c r="R26" s="13">
        <f t="shared" si="0"/>
        <v>600557.9136094206</v>
      </c>
      <c r="S26" s="13">
        <f t="shared" si="9"/>
        <v>130428.18974253425</v>
      </c>
      <c r="T26" s="13">
        <f>IF('1) HOLD Pro Forma'!$C$41&gt;0,'1) HOLD Pro Forma'!$B$40,$T25-'1) HOLD Pro Forma'!$C$41)</f>
        <v>48640.19508115708</v>
      </c>
      <c r="U26" s="13">
        <f t="shared" si="1"/>
        <v>49356.52412175347</v>
      </c>
      <c r="V26" s="17">
        <f t="shared" si="10"/>
        <v>1.0147271004855385</v>
      </c>
      <c r="W26" s="17">
        <f t="shared" si="2"/>
        <v>0.26337564196392865</v>
      </c>
      <c r="X26" s="17">
        <f t="shared" si="11"/>
        <v>0.08218445382746721</v>
      </c>
      <c r="Y26" s="17"/>
      <c r="Z26" s="18">
        <f t="shared" si="3"/>
        <v>660986.1033519551</v>
      </c>
      <c r="AA26" s="17">
        <f t="shared" si="12"/>
        <v>13.589297950986573</v>
      </c>
      <c r="AB26" s="13">
        <f t="shared" si="4"/>
        <v>613872.1532103505</v>
      </c>
      <c r="AC26" s="6">
        <f t="shared" si="19"/>
        <v>12.620676216164293</v>
      </c>
    </row>
    <row r="27" spans="1:29" ht="15">
      <c r="A27" s="5">
        <v>24</v>
      </c>
      <c r="B27" s="13">
        <f t="shared" si="13"/>
        <v>37779.40779471686</v>
      </c>
      <c r="C27" s="25">
        <f>'1) HOLD Pro Forma'!$B$45</f>
        <v>0.031</v>
      </c>
      <c r="D27" s="17">
        <f>'1) HOLD Pro Forma'!$B$24</f>
        <v>0.05</v>
      </c>
      <c r="E27" s="13">
        <f t="shared" si="6"/>
        <v>35890.43740498102</v>
      </c>
      <c r="F27" s="13">
        <f t="shared" si="14"/>
        <v>9649.148910872838</v>
      </c>
      <c r="G27" s="13">
        <f t="shared" si="7"/>
        <v>26241.288494108183</v>
      </c>
      <c r="H27" s="21">
        <f>IF('1) HOLD Pro Forma'!$B$14&lt;'2) HOLD ROI Analysis'!$A27,0,SUMIF('3) Interest Calculations'!$D$5:$D$364,$A27,'3) Interest Calculations'!B$5:B$364))</f>
        <v>8662.435936432532</v>
      </c>
      <c r="I27" s="21">
        <f t="shared" si="15"/>
        <v>116163.91895150315</v>
      </c>
      <c r="J27" s="21">
        <f>IF('1) HOLD Pro Forma'!$B$14&lt;'2) HOLD ROI Analysis'!$A27,0,SUMIF('3) Interest Calculations'!$D$5:$D$364,$A27,'3) Interest Calculations'!C$5:C$364))</f>
        <v>3942.737762748213</v>
      </c>
      <c r="K27" s="13">
        <f t="shared" si="8"/>
        <v>13636.114794927438</v>
      </c>
      <c r="L27" s="13">
        <f t="shared" si="16"/>
        <v>673056.43059435</v>
      </c>
      <c r="M27" s="13">
        <f>L27*'1) HOLD Pro Forma'!$B$44</f>
        <v>29614.4829461514</v>
      </c>
      <c r="N27" s="13">
        <f t="shared" si="17"/>
        <v>452670.91354050155</v>
      </c>
      <c r="O27" s="13">
        <f t="shared" si="18"/>
        <v>702670.9135405014</v>
      </c>
      <c r="P27" s="13">
        <f>O27*'1) HOLD Pro Forma'!$B$46</f>
        <v>49186.9639478351</v>
      </c>
      <c r="Q27" s="13">
        <f>'1) HOLD Pro Forma'!B$11-SUM(H$4:H27)</f>
        <v>63836.08104849685</v>
      </c>
      <c r="R27" s="13">
        <f t="shared" si="0"/>
        <v>638834.8324920045</v>
      </c>
      <c r="S27" s="13">
        <f t="shared" si="9"/>
        <v>144064.3045374617</v>
      </c>
      <c r="T27" s="13">
        <f>IF('1) HOLD Pro Forma'!$C$41&gt;0,'1) HOLD Pro Forma'!$B$40,$T26-'1) HOLD Pro Forma'!$C$41)</f>
        <v>48689.76878033782</v>
      </c>
      <c r="U27" s="13">
        <f t="shared" si="1"/>
        <v>51913.03367751137</v>
      </c>
      <c r="V27" s="17">
        <f t="shared" si="10"/>
        <v>1.0662000452644413</v>
      </c>
      <c r="W27" s="17">
        <f t="shared" si="2"/>
        <v>0.2800611943023655</v>
      </c>
      <c r="X27" s="17">
        <f t="shared" si="11"/>
        <v>0.08126205873121532</v>
      </c>
      <c r="Y27" s="17"/>
      <c r="Z27" s="18">
        <f t="shared" si="3"/>
        <v>712899.1370294665</v>
      </c>
      <c r="AA27" s="17">
        <f t="shared" si="12"/>
        <v>14.641661993625105</v>
      </c>
      <c r="AB27" s="13">
        <f t="shared" si="4"/>
        <v>663712.1730816313</v>
      </c>
      <c r="AC27" s="6">
        <f t="shared" si="19"/>
        <v>13.63145050197189</v>
      </c>
    </row>
    <row r="28" spans="1:29" ht="15">
      <c r="A28" s="5">
        <v>25</v>
      </c>
      <c r="B28" s="13">
        <f t="shared" si="13"/>
        <v>38950.569436353086</v>
      </c>
      <c r="C28" s="25">
        <f>'1) HOLD Pro Forma'!$B$45</f>
        <v>0.031</v>
      </c>
      <c r="D28" s="17">
        <f>'1) HOLD Pro Forma'!$B$24</f>
        <v>0.05</v>
      </c>
      <c r="E28" s="13">
        <f t="shared" si="6"/>
        <v>37003.04096453543</v>
      </c>
      <c r="F28" s="13">
        <f t="shared" si="14"/>
        <v>9909.675931466405</v>
      </c>
      <c r="G28" s="13">
        <f t="shared" si="7"/>
        <v>27093.365033069025</v>
      </c>
      <c r="H28" s="21">
        <f>IF('1) HOLD Pro Forma'!$B$14&lt;'2) HOLD ROI Analysis'!$A28,0,SUMIF('3) Interest Calculations'!$D$5:$D$364,$A28,'3) Interest Calculations'!B$5:B$364))</f>
        <v>9173.864692607149</v>
      </c>
      <c r="I28" s="21">
        <f t="shared" si="15"/>
        <v>125337.7836441103</v>
      </c>
      <c r="J28" s="21">
        <f>IF('1) HOLD Pro Forma'!$B$14&lt;'2) HOLD ROI Analysis'!$A28,0,SUMIF('3) Interest Calculations'!$D$5:$D$364,$A28,'3) Interest Calculations'!C$5:C$364))</f>
        <v>3431.309006573595</v>
      </c>
      <c r="K28" s="13">
        <f t="shared" si="8"/>
        <v>14488.19133388828</v>
      </c>
      <c r="L28" s="13">
        <f t="shared" si="16"/>
        <v>702670.9135405014</v>
      </c>
      <c r="M28" s="13">
        <f>L28*'1) HOLD Pro Forma'!$B$44</f>
        <v>30917.520195782057</v>
      </c>
      <c r="N28" s="13">
        <f t="shared" si="17"/>
        <v>483588.4337362836</v>
      </c>
      <c r="O28" s="13">
        <f t="shared" si="18"/>
        <v>733588.4337362834</v>
      </c>
      <c r="P28" s="13">
        <f>O28*'1) HOLD Pro Forma'!$B$46</f>
        <v>51351.19036153985</v>
      </c>
      <c r="Q28" s="13">
        <f>'1) HOLD Pro Forma'!B$11-SUM(H$4:H28)</f>
        <v>54662.2163558897</v>
      </c>
      <c r="R28" s="13">
        <f t="shared" si="0"/>
        <v>678926.2173803938</v>
      </c>
      <c r="S28" s="13">
        <f t="shared" si="9"/>
        <v>158552.49587134997</v>
      </c>
      <c r="T28" s="13">
        <f>IF('1) HOLD Pro Forma'!$C$41&gt;0,'1) HOLD Pro Forma'!$B$40,$T27-'1) HOLD Pro Forma'!$C$41)</f>
        <v>48739.342479518564</v>
      </c>
      <c r="U28" s="13">
        <f t="shared" si="1"/>
        <v>54579.57622227749</v>
      </c>
      <c r="V28" s="17">
        <f t="shared" si="10"/>
        <v>1.119825862345458</v>
      </c>
      <c r="W28" s="17">
        <f t="shared" si="2"/>
        <v>0.2972586538272765</v>
      </c>
      <c r="X28" s="17">
        <f t="shared" si="11"/>
        <v>0.08039102751528777</v>
      </c>
      <c r="Y28" s="17"/>
      <c r="Z28" s="18">
        <f t="shared" si="3"/>
        <v>767478.7132517438</v>
      </c>
      <c r="AA28" s="17">
        <f t="shared" si="12"/>
        <v>15.746595547001002</v>
      </c>
      <c r="AB28" s="13">
        <f t="shared" si="4"/>
        <v>716127.522890204</v>
      </c>
      <c r="AC28" s="6">
        <f t="shared" si="19"/>
        <v>14.693007464988636</v>
      </c>
    </row>
    <row r="29" spans="1:29" ht="15">
      <c r="A29" s="5">
        <v>26</v>
      </c>
      <c r="B29" s="13">
        <f t="shared" si="13"/>
        <v>40158.03708888003</v>
      </c>
      <c r="C29" s="25">
        <f>'1) HOLD Pro Forma'!$B$45</f>
        <v>0.031</v>
      </c>
      <c r="D29" s="17">
        <f>'1) HOLD Pro Forma'!$B$24</f>
        <v>0.05</v>
      </c>
      <c r="E29" s="13">
        <f t="shared" si="6"/>
        <v>38150.13523443603</v>
      </c>
      <c r="F29" s="13">
        <f t="shared" si="14"/>
        <v>10177.237181615998</v>
      </c>
      <c r="G29" s="13">
        <f t="shared" si="7"/>
        <v>27972.89805282003</v>
      </c>
      <c r="H29" s="21">
        <f>IF('1) HOLD Pro Forma'!$B$14&lt;'2) HOLD ROI Analysis'!$A29,0,SUMIF('3) Interest Calculations'!$D$5:$D$364,$A29,'3) Interest Calculations'!B$5:B$364))</f>
        <v>9715.488116258872</v>
      </c>
      <c r="I29" s="21">
        <f t="shared" si="15"/>
        <v>135053.27176036919</v>
      </c>
      <c r="J29" s="21">
        <f>IF('1) HOLD Pro Forma'!$B$14&lt;'2) HOLD ROI Analysis'!$A29,0,SUMIF('3) Interest Calculations'!$D$5:$D$364,$A29,'3) Interest Calculations'!C$5:C$364))</f>
        <v>2889.6855829218703</v>
      </c>
      <c r="K29" s="13">
        <f t="shared" si="8"/>
        <v>15367.724353639289</v>
      </c>
      <c r="L29" s="13">
        <f t="shared" si="16"/>
        <v>733588.4337362834</v>
      </c>
      <c r="M29" s="13">
        <f>L29*'1) HOLD Pro Forma'!$B$44</f>
        <v>32277.89108439647</v>
      </c>
      <c r="N29" s="13">
        <f t="shared" si="17"/>
        <v>515866.3248206801</v>
      </c>
      <c r="O29" s="13">
        <f t="shared" si="18"/>
        <v>765866.32482068</v>
      </c>
      <c r="P29" s="13">
        <f>O29*'1) HOLD Pro Forma'!$B$46</f>
        <v>53610.642737447604</v>
      </c>
      <c r="Q29" s="13">
        <f>'1) HOLD Pro Forma'!B$11-SUM(H$4:H29)</f>
        <v>44946.728239630815</v>
      </c>
      <c r="R29" s="13">
        <f t="shared" si="0"/>
        <v>720919.5965810491</v>
      </c>
      <c r="S29" s="13">
        <f t="shared" si="9"/>
        <v>173920.22022498926</v>
      </c>
      <c r="T29" s="13">
        <f>IF('1) HOLD Pro Forma'!$C$41&gt;0,'1) HOLD Pro Forma'!$B$40,$T28-'1) HOLD Pro Forma'!$C$41)</f>
        <v>48788.916178699306</v>
      </c>
      <c r="U29" s="13">
        <f t="shared" si="1"/>
        <v>57361.103554294634</v>
      </c>
      <c r="V29" s="17">
        <f t="shared" si="10"/>
        <v>1.175699483550689</v>
      </c>
      <c r="W29" s="17">
        <f t="shared" si="2"/>
        <v>0.3149839258029811</v>
      </c>
      <c r="X29" s="17">
        <f t="shared" si="11"/>
        <v>0.07956657556033828</v>
      </c>
      <c r="Y29" s="17"/>
      <c r="Z29" s="18">
        <f t="shared" si="3"/>
        <v>824839.8168060385</v>
      </c>
      <c r="AA29" s="17">
        <f t="shared" si="12"/>
        <v>16.90629514672749</v>
      </c>
      <c r="AB29" s="13">
        <f t="shared" si="4"/>
        <v>771229.1740685909</v>
      </c>
      <c r="AC29" s="6">
        <f t="shared" si="19"/>
        <v>15.807466827994446</v>
      </c>
    </row>
    <row r="30" spans="1:29" ht="15">
      <c r="A30" s="5">
        <v>27</v>
      </c>
      <c r="B30" s="13">
        <f t="shared" si="13"/>
        <v>41402.93623863531</v>
      </c>
      <c r="C30" s="25">
        <f>'1) HOLD Pro Forma'!$B$45</f>
        <v>0.031</v>
      </c>
      <c r="D30" s="17">
        <f>'1) HOLD Pro Forma'!$B$24</f>
        <v>0.05</v>
      </c>
      <c r="E30" s="13">
        <f t="shared" si="6"/>
        <v>39332.789426703544</v>
      </c>
      <c r="F30" s="13">
        <f t="shared" si="14"/>
        <v>10452.02258551963</v>
      </c>
      <c r="G30" s="13">
        <f t="shared" si="7"/>
        <v>28880.766841183915</v>
      </c>
      <c r="H30" s="21">
        <f>IF('1) HOLD Pro Forma'!$B$14&lt;'2) HOLD ROI Analysis'!$A30,0,SUMIF('3) Interest Calculations'!$D$5:$D$364,$A30,'3) Interest Calculations'!B$5:B$364))</f>
        <v>10289.088895461155</v>
      </c>
      <c r="I30" s="21">
        <f t="shared" si="15"/>
        <v>145342.36065583033</v>
      </c>
      <c r="J30" s="21">
        <f>IF('1) HOLD Pro Forma'!$B$14&lt;'2) HOLD ROI Analysis'!$A30,0,SUMIF('3) Interest Calculations'!$D$5:$D$364,$A30,'3) Interest Calculations'!C$5:C$364))</f>
        <v>2316.084803719588</v>
      </c>
      <c r="K30" s="13">
        <f t="shared" si="8"/>
        <v>16275.593142003172</v>
      </c>
      <c r="L30" s="13">
        <f t="shared" si="16"/>
        <v>765866.32482068</v>
      </c>
      <c r="M30" s="13">
        <f>L30*'1) HOLD Pro Forma'!$B$44</f>
        <v>33698.11829210992</v>
      </c>
      <c r="N30" s="13">
        <f t="shared" si="17"/>
        <v>549564.44311279</v>
      </c>
      <c r="O30" s="13">
        <f t="shared" si="18"/>
        <v>799564.4431127899</v>
      </c>
      <c r="P30" s="13">
        <f>O30*'1) HOLD Pro Forma'!$B$46</f>
        <v>55969.5110178953</v>
      </c>
      <c r="Q30" s="13">
        <f>'1) HOLD Pro Forma'!B$11-SUM(H$4:H30)</f>
        <v>34657.63934416967</v>
      </c>
      <c r="R30" s="13">
        <f t="shared" si="0"/>
        <v>764906.8037686202</v>
      </c>
      <c r="S30" s="13">
        <f t="shared" si="9"/>
        <v>190195.81336699243</v>
      </c>
      <c r="T30" s="13">
        <f>IF('1) HOLD Pro Forma'!$C$41&gt;0,'1) HOLD Pro Forma'!$B$40,$T29-'1) HOLD Pro Forma'!$C$41)</f>
        <v>48838.48987788005</v>
      </c>
      <c r="U30" s="13">
        <f t="shared" si="1"/>
        <v>60262.80032957424</v>
      </c>
      <c r="V30" s="17">
        <f t="shared" si="10"/>
        <v>1.233920223173577</v>
      </c>
      <c r="W30" s="17">
        <f t="shared" si="2"/>
        <v>0.3332534069480867</v>
      </c>
      <c r="X30" s="17">
        <f t="shared" si="11"/>
        <v>0.07878450032430798</v>
      </c>
      <c r="Y30" s="17"/>
      <c r="Z30" s="18">
        <f t="shared" si="3"/>
        <v>885102.6171356128</v>
      </c>
      <c r="AA30" s="17">
        <f t="shared" si="12"/>
        <v>18.123054569230117</v>
      </c>
      <c r="AB30" s="13">
        <f t="shared" si="4"/>
        <v>829133.1061177175</v>
      </c>
      <c r="AC30" s="6">
        <f t="shared" si="19"/>
        <v>16.97704225071154</v>
      </c>
    </row>
    <row r="31" spans="1:29" ht="15">
      <c r="A31" s="5">
        <v>28</v>
      </c>
      <c r="B31" s="13">
        <f t="shared" si="13"/>
        <v>42686.427262033</v>
      </c>
      <c r="C31" s="25">
        <f>'1) HOLD Pro Forma'!$B$45</f>
        <v>0.031</v>
      </c>
      <c r="D31" s="17">
        <f>'1) HOLD Pro Forma'!$B$24</f>
        <v>0.05</v>
      </c>
      <c r="E31" s="13">
        <f t="shared" si="6"/>
        <v>40552.10589893135</v>
      </c>
      <c r="F31" s="13">
        <f t="shared" si="14"/>
        <v>10734.22719532866</v>
      </c>
      <c r="G31" s="13">
        <f t="shared" si="7"/>
        <v>29817.87870360269</v>
      </c>
      <c r="H31" s="21">
        <f>IF('1) HOLD Pro Forma'!$B$14&lt;'2) HOLD ROI Analysis'!$A31,0,SUMIF('3) Interest Calculations'!$D$5:$D$364,$A31,'3) Interest Calculations'!B$5:B$364))</f>
        <v>10896.554967890534</v>
      </c>
      <c r="I31" s="21">
        <f t="shared" si="15"/>
        <v>156238.91562372085</v>
      </c>
      <c r="J31" s="21">
        <f>IF('1) HOLD Pro Forma'!$B$14&lt;'2) HOLD ROI Analysis'!$A31,0,SUMIF('3) Interest Calculations'!$D$5:$D$364,$A31,'3) Interest Calculations'!C$5:C$364))</f>
        <v>1708.6187312902093</v>
      </c>
      <c r="K31" s="13">
        <f t="shared" si="8"/>
        <v>17212.70500442195</v>
      </c>
      <c r="L31" s="13">
        <f t="shared" si="16"/>
        <v>799564.4431127899</v>
      </c>
      <c r="M31" s="13">
        <f>L31*'1) HOLD Pro Forma'!$B$44</f>
        <v>35180.835496962754</v>
      </c>
      <c r="N31" s="13">
        <f t="shared" si="17"/>
        <v>584745.2786097528</v>
      </c>
      <c r="O31" s="13">
        <f t="shared" si="18"/>
        <v>834745.2786097527</v>
      </c>
      <c r="P31" s="13">
        <f>O31*'1) HOLD Pro Forma'!$B$46</f>
        <v>58432.16950268269</v>
      </c>
      <c r="Q31" s="13">
        <f>'1) HOLD Pro Forma'!B$11-SUM(H$4:H31)</f>
        <v>23761.08437627915</v>
      </c>
      <c r="R31" s="13">
        <f t="shared" si="0"/>
        <v>810984.1942334735</v>
      </c>
      <c r="S31" s="13">
        <f t="shared" si="9"/>
        <v>207408.5183714144</v>
      </c>
      <c r="T31" s="13">
        <f>IF('1) HOLD Pro Forma'!$C$41&gt;0,'1) HOLD Pro Forma'!$B$40,$T30-'1) HOLD Pro Forma'!$C$41)</f>
        <v>48888.06357706079</v>
      </c>
      <c r="U31" s="13">
        <f t="shared" si="1"/>
        <v>63290.09546927524</v>
      </c>
      <c r="V31" s="17">
        <f t="shared" si="10"/>
        <v>1.2945919890959263</v>
      </c>
      <c r="W31" s="17">
        <f t="shared" si="2"/>
        <v>0.35208400057183853</v>
      </c>
      <c r="X31" s="17">
        <f t="shared" si="11"/>
        <v>0.07804109613886595</v>
      </c>
      <c r="Y31" s="17"/>
      <c r="Z31" s="18">
        <f t="shared" si="3"/>
        <v>948392.712604888</v>
      </c>
      <c r="AA31" s="17">
        <f t="shared" si="12"/>
        <v>19.399269335140776</v>
      </c>
      <c r="AB31" s="13">
        <f t="shared" si="4"/>
        <v>889960.5431022053</v>
      </c>
      <c r="AC31" s="6">
        <f>AB31/T31</f>
        <v>18.204045691017953</v>
      </c>
    </row>
    <row r="32" spans="1:29" ht="15">
      <c r="A32" s="5">
        <v>29</v>
      </c>
      <c r="B32" s="13">
        <f t="shared" si="13"/>
        <v>44009.70650715602</v>
      </c>
      <c r="C32" s="25">
        <f>'1) HOLD Pro Forma'!$B$45</f>
        <v>0.031</v>
      </c>
      <c r="D32" s="17">
        <f>'1) HOLD Pro Forma'!$B$24</f>
        <v>0.05</v>
      </c>
      <c r="E32" s="13">
        <f t="shared" si="6"/>
        <v>41809.22118179822</v>
      </c>
      <c r="F32" s="13">
        <f t="shared" si="14"/>
        <v>11024.051329602535</v>
      </c>
      <c r="G32" s="13">
        <f t="shared" si="7"/>
        <v>30785.169852195682</v>
      </c>
      <c r="H32" s="21">
        <f>IF('1) HOLD Pro Forma'!$B$14&lt;'2) HOLD ROI Analysis'!$A32,0,SUMIF('3) Interest Calculations'!$D$5:$D$364,$A32,'3) Interest Calculations'!B$5:B$364))</f>
        <v>11539.885734745436</v>
      </c>
      <c r="I32" s="21">
        <f t="shared" si="15"/>
        <v>167778.8013584663</v>
      </c>
      <c r="J32" s="21">
        <f>IF('1) HOLD Pro Forma'!$B$14&lt;'2) HOLD ROI Analysis'!$A32,0,SUMIF('3) Interest Calculations'!$D$5:$D$364,$A32,'3) Interest Calculations'!C$5:C$364))</f>
        <v>1065.2879644353065</v>
      </c>
      <c r="K32" s="13">
        <f t="shared" si="8"/>
        <v>18179.99615301494</v>
      </c>
      <c r="L32" s="13">
        <f t="shared" si="16"/>
        <v>834745.2786097527</v>
      </c>
      <c r="M32" s="13">
        <f>L32*'1) HOLD Pro Forma'!$B$44</f>
        <v>36728.79225882911</v>
      </c>
      <c r="N32" s="13">
        <f t="shared" si="17"/>
        <v>621474.0708685819</v>
      </c>
      <c r="O32" s="13">
        <f t="shared" si="18"/>
        <v>871474.0708685818</v>
      </c>
      <c r="P32" s="13">
        <f>O32*'1) HOLD Pro Forma'!$B$46</f>
        <v>61003.18496080073</v>
      </c>
      <c r="Q32" s="13">
        <f>'1) HOLD Pro Forma'!B$11-SUM(H$4:H32)</f>
        <v>12221.198641533701</v>
      </c>
      <c r="R32" s="13">
        <f t="shared" si="0"/>
        <v>859252.872227048</v>
      </c>
      <c r="S32" s="13">
        <f t="shared" si="9"/>
        <v>225588.51452442934</v>
      </c>
      <c r="T32" s="13">
        <f>IF('1) HOLD Pro Forma'!$C$41&gt;0,'1) HOLD Pro Forma'!$B$40,$T31-'1) HOLD Pro Forma'!$C$41)</f>
        <v>48937.637276241534</v>
      </c>
      <c r="U32" s="13">
        <f t="shared" si="1"/>
        <v>66448.67414658949</v>
      </c>
      <c r="V32" s="17">
        <f t="shared" si="10"/>
        <v>1.3578235044634919</v>
      </c>
      <c r="W32" s="17">
        <f t="shared" si="2"/>
        <v>0.3714931321754074</v>
      </c>
      <c r="X32" s="17">
        <f t="shared" si="11"/>
        <v>0.07733308353612482</v>
      </c>
      <c r="Y32" s="17"/>
      <c r="Z32" s="18">
        <f t="shared" si="3"/>
        <v>1014841.3867514775</v>
      </c>
      <c r="AA32" s="17">
        <f t="shared" si="12"/>
        <v>20.73744143026225</v>
      </c>
      <c r="AB32" s="13">
        <f t="shared" si="4"/>
        <v>953838.2017906768</v>
      </c>
      <c r="AC32" s="6">
        <f>AB32/T32</f>
        <v>19.49089197760985</v>
      </c>
    </row>
    <row r="33" spans="1:29" ht="15">
      <c r="A33" s="5">
        <v>30</v>
      </c>
      <c r="B33" s="13">
        <f>(B32*C33)+B32</f>
        <v>45374.00740887786</v>
      </c>
      <c r="C33" s="25">
        <f>'1) HOLD Pro Forma'!$B$45</f>
        <v>0.031</v>
      </c>
      <c r="D33" s="17">
        <f>'1) HOLD Pro Forma'!$B$24</f>
        <v>0.05</v>
      </c>
      <c r="E33" s="13">
        <f t="shared" si="6"/>
        <v>43105.307038433966</v>
      </c>
      <c r="F33" s="13">
        <f t="shared" si="14"/>
        <v>11321.700715501804</v>
      </c>
      <c r="G33" s="13">
        <f t="shared" si="7"/>
        <v>31783.606322932163</v>
      </c>
      <c r="H33" s="21">
        <f>IF('1) HOLD Pro Forma'!$B$14&lt;'2) HOLD ROI Analysis'!$A33,0,SUMIF('3) Interest Calculations'!$D$5:$D$364,$A33,'3) Interest Calculations'!B$5:B$364))</f>
        <v>12221.198641533712</v>
      </c>
      <c r="I33" s="21">
        <f t="shared" si="15"/>
        <v>180000</v>
      </c>
      <c r="J33" s="21">
        <f>IF('1) HOLD Pro Forma'!$B$14&lt;'2) HOLD ROI Analysis'!$A33,0,SUMIF('3) Interest Calculations'!$D$5:$D$364,$A33,'3) Interest Calculations'!C$5:C$364))</f>
        <v>383.97505764703004</v>
      </c>
      <c r="K33" s="13">
        <f t="shared" si="8"/>
        <v>19178.43262375142</v>
      </c>
      <c r="L33" s="13">
        <f t="shared" si="16"/>
        <v>871474.0708685818</v>
      </c>
      <c r="M33" s="13">
        <f>L33*'1) HOLD Pro Forma'!$B$44</f>
        <v>38344.859118217595</v>
      </c>
      <c r="N33" s="13">
        <f t="shared" si="17"/>
        <v>659818.9299867995</v>
      </c>
      <c r="O33" s="13">
        <f t="shared" si="18"/>
        <v>909818.9299867994</v>
      </c>
      <c r="P33" s="13">
        <f>O33*'1) HOLD Pro Forma'!$B$46</f>
        <v>63687.32509907596</v>
      </c>
      <c r="Q33" s="13">
        <f>'1) HOLD Pro Forma'!B$11-SUM(H$4:H33)</f>
        <v>0</v>
      </c>
      <c r="R33" s="13">
        <f t="shared" si="0"/>
        <v>909818.9299867994</v>
      </c>
      <c r="S33" s="13">
        <f t="shared" si="9"/>
        <v>244766.94714818077</v>
      </c>
      <c r="T33" s="13">
        <f>IF('1) HOLD Pro Forma'!$C$41&gt;0,'1) HOLD Pro Forma'!$B$40,$T32-'1) HOLD Pro Forma'!$C$41)</f>
        <v>48987.21097542228</v>
      </c>
      <c r="U33" s="13">
        <f t="shared" si="1"/>
        <v>69744.49038350272</v>
      </c>
      <c r="V33" s="17">
        <f t="shared" si="10"/>
        <v>1.4237285404652804</v>
      </c>
      <c r="W33" s="17">
        <f t="shared" si="2"/>
        <v>0.3914987655323666</v>
      </c>
      <c r="X33" s="17">
        <f t="shared" si="11"/>
        <v>0.07665755029356737</v>
      </c>
      <c r="Y33" s="17"/>
      <c r="Z33" s="18">
        <f t="shared" si="3"/>
        <v>1084585.8771349802</v>
      </c>
      <c r="AA33" s="17">
        <f t="shared" si="12"/>
        <v>22.14018425501169</v>
      </c>
      <c r="AB33" s="13">
        <f t="shared" si="4"/>
        <v>1020898.5520359043</v>
      </c>
      <c r="AC33" s="6">
        <f>AB33/T33</f>
        <v>20.840103604757303</v>
      </c>
    </row>
    <row r="34" spans="4:28" ht="15">
      <c r="D34" s="26"/>
      <c r="H34" s="22"/>
      <c r="I34" s="22"/>
      <c r="J34" s="22"/>
      <c r="AB34" s="13"/>
    </row>
    <row r="35" spans="5:28" ht="15">
      <c r="E35" s="26"/>
      <c r="AB35" s="13"/>
    </row>
    <row r="36" spans="2:9" ht="14.25">
      <c r="B36" s="116" t="s">
        <v>45</v>
      </c>
      <c r="C36" s="116"/>
      <c r="D36" s="116"/>
      <c r="E36" s="116"/>
      <c r="F36" s="116"/>
      <c r="G36" s="116"/>
      <c r="H36" s="116"/>
      <c r="I36" s="116"/>
    </row>
    <row r="37" spans="2:9" ht="14.25">
      <c r="B37" s="116"/>
      <c r="C37" s="116"/>
      <c r="D37" s="116"/>
      <c r="E37" s="116"/>
      <c r="F37" s="116"/>
      <c r="G37" s="116"/>
      <c r="H37" s="116"/>
      <c r="I37" s="116"/>
    </row>
    <row r="38" spans="2:9" ht="14.25">
      <c r="B38" s="116"/>
      <c r="C38" s="116"/>
      <c r="D38" s="116"/>
      <c r="E38" s="116"/>
      <c r="F38" s="116"/>
      <c r="G38" s="116"/>
      <c r="H38" s="116"/>
      <c r="I38" s="116"/>
    </row>
    <row r="39" spans="2:9" ht="14.25">
      <c r="B39" s="116"/>
      <c r="C39" s="116"/>
      <c r="D39" s="116"/>
      <c r="E39" s="116"/>
      <c r="F39" s="116"/>
      <c r="G39" s="116"/>
      <c r="H39" s="116"/>
      <c r="I39" s="116"/>
    </row>
    <row r="40" spans="2:10" ht="14.25">
      <c r="B40" s="116"/>
      <c r="C40" s="116"/>
      <c r="D40" s="116"/>
      <c r="E40" s="116"/>
      <c r="F40" s="116"/>
      <c r="G40" s="116"/>
      <c r="H40" s="116"/>
      <c r="I40" s="116"/>
      <c r="J40" s="20"/>
    </row>
  </sheetData>
  <sheetProtection/>
  <mergeCells count="1">
    <mergeCell ref="B36:I40"/>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M364"/>
  <sheetViews>
    <sheetView showGridLines="0" zoomScalePageLayoutView="0" workbookViewId="0" topLeftCell="A1">
      <selection activeCell="F4" sqref="F4:M8"/>
    </sheetView>
  </sheetViews>
  <sheetFormatPr defaultColWidth="10.296875" defaultRowHeight="19.5" customHeight="1"/>
  <cols>
    <col min="1" max="1" width="10.19921875" style="1" customWidth="1"/>
    <col min="2" max="2" width="9.69921875" style="1" customWidth="1"/>
    <col min="3" max="3" width="8.19921875" style="1" customWidth="1"/>
    <col min="4" max="5" width="7.59765625" style="1" customWidth="1"/>
    <col min="6" max="16384" width="10.19921875" style="1" customWidth="1"/>
  </cols>
  <sheetData>
    <row r="1" spans="1:5" ht="12" customHeight="1">
      <c r="A1" s="3" t="s">
        <v>26</v>
      </c>
      <c r="B1" s="7">
        <f>'1) HOLD Pro Forma'!B11</f>
        <v>180000</v>
      </c>
      <c r="C1" s="3"/>
      <c r="D1" s="3"/>
      <c r="E1" s="3"/>
    </row>
    <row r="2" spans="1:5" ht="12" customHeight="1">
      <c r="A2" s="3" t="s">
        <v>5</v>
      </c>
      <c r="B2" s="8">
        <f>'1) HOLD Pro Forma'!B12</f>
        <v>0.0575</v>
      </c>
      <c r="C2" s="3"/>
      <c r="D2" s="3"/>
      <c r="E2" s="3"/>
    </row>
    <row r="3" spans="1:5" ht="12" customHeight="1">
      <c r="A3" s="3" t="s">
        <v>27</v>
      </c>
      <c r="B3" s="3">
        <f>'1) HOLD Pro Forma'!B14*12</f>
        <v>360</v>
      </c>
      <c r="C3" s="3"/>
      <c r="D3" s="3"/>
      <c r="E3" s="3"/>
    </row>
    <row r="4" spans="1:13" ht="12" customHeight="1">
      <c r="A4" s="3" t="s">
        <v>28</v>
      </c>
      <c r="B4" s="3" t="s">
        <v>29</v>
      </c>
      <c r="C4" s="3" t="s">
        <v>30</v>
      </c>
      <c r="D4" s="3" t="s">
        <v>24</v>
      </c>
      <c r="E4" s="3"/>
      <c r="F4" s="117" t="s">
        <v>82</v>
      </c>
      <c r="G4" s="117"/>
      <c r="H4" s="117"/>
      <c r="I4" s="117"/>
      <c r="J4" s="117"/>
      <c r="K4" s="117"/>
      <c r="L4" s="117"/>
      <c r="M4" s="117"/>
    </row>
    <row r="5" spans="1:13" ht="12" customHeight="1">
      <c r="A5" s="3">
        <v>1</v>
      </c>
      <c r="B5" s="9">
        <f>PPMT(B$2/12,A5,B$3,B$1*-1)</f>
        <v>187.93114159839524</v>
      </c>
      <c r="C5" s="9">
        <f>IPMT(B$2/12,A5,B$3,B$1*-1)</f>
        <v>862.5000000000001</v>
      </c>
      <c r="D5" s="10">
        <f>ROUNDUP(A5/12,0)</f>
        <v>1</v>
      </c>
      <c r="E5" s="3"/>
      <c r="F5" s="117"/>
      <c r="G5" s="117"/>
      <c r="H5" s="117"/>
      <c r="I5" s="117"/>
      <c r="J5" s="117"/>
      <c r="K5" s="117"/>
      <c r="L5" s="117"/>
      <c r="M5" s="117"/>
    </row>
    <row r="6" spans="1:13" ht="12" customHeight="1">
      <c r="A6" s="3">
        <v>2</v>
      </c>
      <c r="B6" s="9">
        <f aca="true" t="shared" si="0" ref="B6:B16">PPMT(B$2/12,A6,B$3,B$1*-1)</f>
        <v>188.8316449852208</v>
      </c>
      <c r="C6" s="9">
        <f aca="true" t="shared" si="1" ref="C6:C16">IPMT(B$2/12,A6,B$3,B$1*-1)</f>
        <v>861.5994966131746</v>
      </c>
      <c r="D6" s="10">
        <f>ROUNDUP(A6/12,0)</f>
        <v>1</v>
      </c>
      <c r="E6" s="3"/>
      <c r="F6" s="117"/>
      <c r="G6" s="117"/>
      <c r="H6" s="117"/>
      <c r="I6" s="117"/>
      <c r="J6" s="117"/>
      <c r="K6" s="117"/>
      <c r="L6" s="117"/>
      <c r="M6" s="117"/>
    </row>
    <row r="7" spans="1:13" ht="12" customHeight="1">
      <c r="A7" s="3">
        <v>3</v>
      </c>
      <c r="B7" s="9">
        <f t="shared" si="0"/>
        <v>189.73646328410834</v>
      </c>
      <c r="C7" s="9">
        <f t="shared" si="1"/>
        <v>860.694678314287</v>
      </c>
      <c r="D7" s="10">
        <f aca="true" t="shared" si="2" ref="D7:D70">ROUNDUP(A7/12,0)</f>
        <v>1</v>
      </c>
      <c r="E7" s="3"/>
      <c r="F7" s="117"/>
      <c r="G7" s="117"/>
      <c r="H7" s="117"/>
      <c r="I7" s="117"/>
      <c r="J7" s="117"/>
      <c r="K7" s="117"/>
      <c r="L7" s="117"/>
      <c r="M7" s="117"/>
    </row>
    <row r="8" spans="1:13" ht="12" customHeight="1">
      <c r="A8" s="3">
        <v>4</v>
      </c>
      <c r="B8" s="9">
        <f t="shared" si="0"/>
        <v>190.64561717067807</v>
      </c>
      <c r="C8" s="9">
        <f t="shared" si="1"/>
        <v>859.7855244277173</v>
      </c>
      <c r="D8" s="10">
        <f t="shared" si="2"/>
        <v>1</v>
      </c>
      <c r="E8" s="3"/>
      <c r="F8" s="117"/>
      <c r="G8" s="117"/>
      <c r="H8" s="117"/>
      <c r="I8" s="117"/>
      <c r="J8" s="117"/>
      <c r="K8" s="117"/>
      <c r="L8" s="117"/>
      <c r="M8" s="117"/>
    </row>
    <row r="9" spans="1:5" ht="12" customHeight="1">
      <c r="A9" s="3">
        <v>5</v>
      </c>
      <c r="B9" s="9">
        <f t="shared" si="0"/>
        <v>191.5591274196209</v>
      </c>
      <c r="C9" s="9">
        <f t="shared" si="1"/>
        <v>858.8720141787744</v>
      </c>
      <c r="D9" s="10">
        <f t="shared" si="2"/>
        <v>1</v>
      </c>
      <c r="E9" s="3"/>
    </row>
    <row r="10" spans="1:5" ht="12" customHeight="1">
      <c r="A10" s="3">
        <v>6</v>
      </c>
      <c r="B10" s="9">
        <f t="shared" si="0"/>
        <v>192.47701490517323</v>
      </c>
      <c r="C10" s="9">
        <f t="shared" si="1"/>
        <v>857.9541266932221</v>
      </c>
      <c r="D10" s="10">
        <f t="shared" si="2"/>
        <v>1</v>
      </c>
      <c r="E10" s="3"/>
    </row>
    <row r="11" spans="1:5" ht="12" customHeight="1">
      <c r="A11" s="3">
        <v>7</v>
      </c>
      <c r="B11" s="9">
        <f t="shared" si="0"/>
        <v>193.39930060159386</v>
      </c>
      <c r="C11" s="9">
        <f t="shared" si="1"/>
        <v>857.0318409968014</v>
      </c>
      <c r="D11" s="10">
        <f t="shared" si="2"/>
        <v>1</v>
      </c>
      <c r="E11" s="3"/>
    </row>
    <row r="12" spans="1:5" ht="12" customHeight="1">
      <c r="A12" s="3">
        <v>8</v>
      </c>
      <c r="B12" s="9">
        <f t="shared" si="0"/>
        <v>194.32600558364314</v>
      </c>
      <c r="C12" s="9">
        <f t="shared" si="1"/>
        <v>856.1051360147522</v>
      </c>
      <c r="D12" s="10">
        <f t="shared" si="2"/>
        <v>1</v>
      </c>
      <c r="E12" s="3"/>
    </row>
    <row r="13" spans="1:5" ht="12" customHeight="1">
      <c r="A13" s="3">
        <v>9</v>
      </c>
      <c r="B13" s="9">
        <f t="shared" si="0"/>
        <v>195.2571510270648</v>
      </c>
      <c r="C13" s="9">
        <f t="shared" si="1"/>
        <v>855.1739905713305</v>
      </c>
      <c r="D13" s="10">
        <f t="shared" si="2"/>
        <v>1</v>
      </c>
      <c r="E13" s="3"/>
    </row>
    <row r="14" spans="1:5" ht="12" customHeight="1">
      <c r="A14" s="3">
        <v>10</v>
      </c>
      <c r="B14" s="9">
        <f t="shared" si="0"/>
        <v>196.1927582090695</v>
      </c>
      <c r="C14" s="9">
        <f t="shared" si="1"/>
        <v>854.2383833893258</v>
      </c>
      <c r="D14" s="10">
        <f t="shared" si="2"/>
        <v>1</v>
      </c>
      <c r="E14" s="3"/>
    </row>
    <row r="15" spans="1:5" ht="12" customHeight="1">
      <c r="A15" s="3">
        <v>11</v>
      </c>
      <c r="B15" s="9">
        <f t="shared" si="0"/>
        <v>197.1328485088212</v>
      </c>
      <c r="C15" s="9">
        <f t="shared" si="1"/>
        <v>853.298293089574</v>
      </c>
      <c r="D15" s="10">
        <f t="shared" si="2"/>
        <v>1</v>
      </c>
      <c r="E15" s="3"/>
    </row>
    <row r="16" spans="1:5" ht="12" customHeight="1">
      <c r="A16" s="3">
        <v>12</v>
      </c>
      <c r="B16" s="9">
        <f t="shared" si="0"/>
        <v>198.077443407926</v>
      </c>
      <c r="C16" s="9">
        <f t="shared" si="1"/>
        <v>852.3536981904692</v>
      </c>
      <c r="D16" s="10">
        <f t="shared" si="2"/>
        <v>1</v>
      </c>
      <c r="E16" s="3"/>
    </row>
    <row r="17" spans="1:5" ht="12" customHeight="1">
      <c r="A17" s="3">
        <v>13</v>
      </c>
      <c r="B17" s="9">
        <f>PPMT(B$2/12,A17,B$3,B$1*-1)</f>
        <v>199.02656449092234</v>
      </c>
      <c r="C17" s="9">
        <f>IPMT(B$2/12,A17,B$3,B$1*-1)</f>
        <v>851.404577107473</v>
      </c>
      <c r="D17" s="10">
        <f t="shared" si="2"/>
        <v>2</v>
      </c>
      <c r="E17" s="3"/>
    </row>
    <row r="18" spans="1:5" ht="12" customHeight="1">
      <c r="A18" s="3">
        <v>14</v>
      </c>
      <c r="B18" s="9">
        <f aca="true" t="shared" si="3" ref="B18:B28">PPMT(B$2/12,A18,B$3,B$1*-1)</f>
        <v>199.9802334457747</v>
      </c>
      <c r="C18" s="9">
        <f aca="true" t="shared" si="4" ref="C18:C28">IPMT(B$2/12,A18,B$3,B$1*-1)</f>
        <v>850.4509081526206</v>
      </c>
      <c r="D18" s="10">
        <f t="shared" si="2"/>
        <v>2</v>
      </c>
      <c r="E18" s="3"/>
    </row>
    <row r="19" spans="1:5" ht="12" customHeight="1">
      <c r="A19" s="3">
        <v>15</v>
      </c>
      <c r="B19" s="9">
        <f t="shared" si="3"/>
        <v>200.93847206436902</v>
      </c>
      <c r="C19" s="9">
        <f t="shared" si="4"/>
        <v>849.4926695340264</v>
      </c>
      <c r="D19" s="10">
        <f t="shared" si="2"/>
        <v>2</v>
      </c>
      <c r="E19" s="3"/>
    </row>
    <row r="20" spans="1:5" ht="12" customHeight="1">
      <c r="A20" s="3">
        <v>16</v>
      </c>
      <c r="B20" s="9">
        <f t="shared" si="3"/>
        <v>201.90130224301078</v>
      </c>
      <c r="C20" s="9">
        <f t="shared" si="4"/>
        <v>848.5298393553844</v>
      </c>
      <c r="D20" s="10">
        <f t="shared" si="2"/>
        <v>2</v>
      </c>
      <c r="E20" s="3"/>
    </row>
    <row r="21" spans="1:5" ht="12" customHeight="1">
      <c r="A21" s="3">
        <v>17</v>
      </c>
      <c r="B21" s="9">
        <f t="shared" si="3"/>
        <v>202.86874598292522</v>
      </c>
      <c r="C21" s="9">
        <f t="shared" si="4"/>
        <v>847.56239561547</v>
      </c>
      <c r="D21" s="10">
        <f t="shared" si="2"/>
        <v>2</v>
      </c>
      <c r="E21" s="3"/>
    </row>
    <row r="22" spans="1:5" ht="12" customHeight="1">
      <c r="A22" s="3">
        <v>18</v>
      </c>
      <c r="B22" s="9">
        <f t="shared" si="3"/>
        <v>203.84082539076005</v>
      </c>
      <c r="C22" s="9">
        <f t="shared" si="4"/>
        <v>846.5903162076353</v>
      </c>
      <c r="D22" s="10">
        <f t="shared" si="2"/>
        <v>2</v>
      </c>
      <c r="E22" s="3"/>
    </row>
    <row r="23" spans="1:5" ht="12" customHeight="1">
      <c r="A23" s="3">
        <v>19</v>
      </c>
      <c r="B23" s="9">
        <f t="shared" si="3"/>
        <v>204.8175626790908</v>
      </c>
      <c r="C23" s="9">
        <f t="shared" si="4"/>
        <v>845.6135789193045</v>
      </c>
      <c r="D23" s="10">
        <f t="shared" si="2"/>
        <v>2</v>
      </c>
      <c r="E23" s="3"/>
    </row>
    <row r="24" spans="1:5" ht="12" customHeight="1">
      <c r="A24" s="3">
        <v>20</v>
      </c>
      <c r="B24" s="9">
        <f t="shared" si="3"/>
        <v>205.79898016692815</v>
      </c>
      <c r="C24" s="9">
        <f t="shared" si="4"/>
        <v>844.6321614314671</v>
      </c>
      <c r="D24" s="10">
        <f t="shared" si="2"/>
        <v>2</v>
      </c>
      <c r="E24" s="3"/>
    </row>
    <row r="25" spans="1:5" ht="12" customHeight="1">
      <c r="A25" s="3">
        <v>21</v>
      </c>
      <c r="B25" s="9">
        <f t="shared" si="3"/>
        <v>206.78510028022794</v>
      </c>
      <c r="C25" s="9">
        <f t="shared" si="4"/>
        <v>843.6460413181674</v>
      </c>
      <c r="D25" s="10">
        <f t="shared" si="2"/>
        <v>2</v>
      </c>
      <c r="E25" s="3"/>
    </row>
    <row r="26" spans="1:5" ht="12" customHeight="1">
      <c r="A26" s="3">
        <v>22</v>
      </c>
      <c r="B26" s="9">
        <f t="shared" si="3"/>
        <v>207.77594555240404</v>
      </c>
      <c r="C26" s="9">
        <f t="shared" si="4"/>
        <v>842.6551960459913</v>
      </c>
      <c r="D26" s="10">
        <f t="shared" si="2"/>
        <v>2</v>
      </c>
      <c r="E26" s="3"/>
    </row>
    <row r="27" spans="1:5" ht="12" customHeight="1">
      <c r="A27" s="3">
        <v>23</v>
      </c>
      <c r="B27" s="9">
        <f t="shared" si="3"/>
        <v>208.77153862484266</v>
      </c>
      <c r="C27" s="9">
        <f t="shared" si="4"/>
        <v>841.6596029735525</v>
      </c>
      <c r="D27" s="10">
        <f t="shared" si="2"/>
        <v>2</v>
      </c>
      <c r="E27" s="3"/>
    </row>
    <row r="28" spans="1:5" ht="12" customHeight="1">
      <c r="A28" s="3">
        <v>24</v>
      </c>
      <c r="B28" s="9">
        <f t="shared" si="3"/>
        <v>209.77190224742</v>
      </c>
      <c r="C28" s="9">
        <f t="shared" si="4"/>
        <v>840.6592393509753</v>
      </c>
      <c r="D28" s="10">
        <f t="shared" si="2"/>
        <v>2</v>
      </c>
      <c r="E28" s="3"/>
    </row>
    <row r="29" spans="1:5" ht="12" customHeight="1">
      <c r="A29" s="3">
        <v>25</v>
      </c>
      <c r="B29" s="9">
        <f>PPMT(B$2/12,A29,B$3,B$1*-1)</f>
        <v>210.77705927902227</v>
      </c>
      <c r="C29" s="9">
        <f>IPMT(B$2/12,A29,B$3,B$1*-1)</f>
        <v>839.654082319373</v>
      </c>
      <c r="D29" s="10">
        <f t="shared" si="2"/>
        <v>3</v>
      </c>
      <c r="E29" s="3"/>
    </row>
    <row r="30" spans="1:5" ht="12" customHeight="1">
      <c r="A30" s="3">
        <v>26</v>
      </c>
      <c r="B30" s="9">
        <f aca="true" t="shared" si="5" ref="B30:B93">PPMT(B$2/12,A30,B$3,B$1*-1)</f>
        <v>211.7870326880676</v>
      </c>
      <c r="C30" s="9">
        <f aca="true" t="shared" si="6" ref="C30:C41">IPMT(B$2/12,A30,B$3,B$1*-1)</f>
        <v>838.6441089103276</v>
      </c>
      <c r="D30" s="10">
        <f t="shared" si="2"/>
        <v>3</v>
      </c>
      <c r="E30" s="3"/>
    </row>
    <row r="31" spans="1:5" ht="12" customHeight="1">
      <c r="A31" s="3">
        <v>27</v>
      </c>
      <c r="B31" s="9">
        <f t="shared" si="5"/>
        <v>212.8018455530312</v>
      </c>
      <c r="C31" s="9">
        <f t="shared" si="6"/>
        <v>837.6292960453641</v>
      </c>
      <c r="D31" s="10">
        <f t="shared" si="2"/>
        <v>3</v>
      </c>
      <c r="E31" s="3"/>
    </row>
    <row r="32" spans="1:5" ht="12" customHeight="1">
      <c r="A32" s="3">
        <v>28</v>
      </c>
      <c r="B32" s="9">
        <f t="shared" si="5"/>
        <v>213.8215210629728</v>
      </c>
      <c r="C32" s="9">
        <f t="shared" si="6"/>
        <v>836.6096205354224</v>
      </c>
      <c r="D32" s="10">
        <f t="shared" si="2"/>
        <v>3</v>
      </c>
      <c r="E32" s="3"/>
    </row>
    <row r="33" spans="1:5" ht="12" customHeight="1">
      <c r="A33" s="3">
        <v>29</v>
      </c>
      <c r="B33" s="9">
        <f t="shared" si="5"/>
        <v>214.84608251806625</v>
      </c>
      <c r="C33" s="9">
        <f t="shared" si="6"/>
        <v>835.585059080329</v>
      </c>
      <c r="D33" s="10">
        <f t="shared" si="2"/>
        <v>3</v>
      </c>
      <c r="E33" s="3"/>
    </row>
    <row r="34" spans="1:5" ht="12" customHeight="1">
      <c r="A34" s="3">
        <v>30</v>
      </c>
      <c r="B34" s="9">
        <f t="shared" si="5"/>
        <v>215.87555333013196</v>
      </c>
      <c r="C34" s="9">
        <f t="shared" si="6"/>
        <v>834.5555882682634</v>
      </c>
      <c r="D34" s="10">
        <f t="shared" si="2"/>
        <v>3</v>
      </c>
      <c r="E34" s="3"/>
    </row>
    <row r="35" spans="1:5" ht="12" customHeight="1">
      <c r="A35" s="3">
        <v>31</v>
      </c>
      <c r="B35" s="9">
        <f t="shared" si="5"/>
        <v>216.9099570231722</v>
      </c>
      <c r="C35" s="9">
        <f t="shared" si="6"/>
        <v>833.5211845752232</v>
      </c>
      <c r="D35" s="10">
        <f t="shared" si="2"/>
        <v>3</v>
      </c>
      <c r="E35" s="3"/>
    </row>
    <row r="36" spans="1:5" ht="12" customHeight="1">
      <c r="A36" s="3">
        <v>32</v>
      </c>
      <c r="B36" s="9">
        <f t="shared" si="5"/>
        <v>217.94931723390826</v>
      </c>
      <c r="C36" s="9">
        <f t="shared" si="6"/>
        <v>832.481824364487</v>
      </c>
      <c r="D36" s="10">
        <f t="shared" si="2"/>
        <v>3</v>
      </c>
      <c r="E36" s="3"/>
    </row>
    <row r="37" spans="1:5" ht="12" customHeight="1">
      <c r="A37" s="3">
        <v>33</v>
      </c>
      <c r="B37" s="9">
        <f t="shared" si="5"/>
        <v>218.99365771232064</v>
      </c>
      <c r="C37" s="9">
        <f t="shared" si="6"/>
        <v>831.4374838860747</v>
      </c>
      <c r="D37" s="10">
        <f t="shared" si="2"/>
        <v>3</v>
      </c>
      <c r="E37" s="3"/>
    </row>
    <row r="38" spans="1:5" ht="12" customHeight="1">
      <c r="A38" s="3">
        <v>34</v>
      </c>
      <c r="B38" s="9">
        <f t="shared" si="5"/>
        <v>220.04300232219222</v>
      </c>
      <c r="C38" s="9">
        <f t="shared" si="6"/>
        <v>830.3881392762031</v>
      </c>
      <c r="D38" s="10">
        <f t="shared" si="2"/>
        <v>3</v>
      </c>
      <c r="E38" s="3"/>
    </row>
    <row r="39" spans="1:5" ht="12" customHeight="1">
      <c r="A39" s="3">
        <v>35</v>
      </c>
      <c r="B39" s="9">
        <f t="shared" si="5"/>
        <v>221.09737504165275</v>
      </c>
      <c r="C39" s="9">
        <f t="shared" si="6"/>
        <v>829.3337665567425</v>
      </c>
      <c r="D39" s="10">
        <f t="shared" si="2"/>
        <v>3</v>
      </c>
      <c r="E39" s="3"/>
    </row>
    <row r="40" spans="1:5" ht="12" customHeight="1">
      <c r="A40" s="3">
        <v>36</v>
      </c>
      <c r="B40" s="9">
        <f t="shared" si="5"/>
        <v>222.15679996372728</v>
      </c>
      <c r="C40" s="9">
        <f t="shared" si="6"/>
        <v>828.2743416346681</v>
      </c>
      <c r="D40" s="10">
        <f t="shared" si="2"/>
        <v>3</v>
      </c>
      <c r="E40" s="3"/>
    </row>
    <row r="41" spans="1:5" ht="12" customHeight="1">
      <c r="A41" s="3">
        <v>37</v>
      </c>
      <c r="B41" s="9">
        <f t="shared" si="5"/>
        <v>223.22130129688685</v>
      </c>
      <c r="C41" s="9">
        <f t="shared" si="6"/>
        <v>827.2098403015083</v>
      </c>
      <c r="D41" s="10">
        <f t="shared" si="2"/>
        <v>4</v>
      </c>
      <c r="E41" s="3"/>
    </row>
    <row r="42" spans="1:5" ht="12" customHeight="1">
      <c r="A42" s="3">
        <v>38</v>
      </c>
      <c r="B42" s="9">
        <f t="shared" si="5"/>
        <v>224.29090336560114</v>
      </c>
      <c r="C42" s="9">
        <f aca="true" t="shared" si="7" ref="C42:C105">IPMT(B$2/12,A42,B$3,B$1*-1)</f>
        <v>826.1402382327941</v>
      </c>
      <c r="D42" s="10">
        <f t="shared" si="2"/>
        <v>4</v>
      </c>
      <c r="E42" s="3"/>
    </row>
    <row r="43" spans="1:5" ht="12" customHeight="1">
      <c r="A43" s="3">
        <v>39</v>
      </c>
      <c r="B43" s="9">
        <f t="shared" si="5"/>
        <v>225.36563061089458</v>
      </c>
      <c r="C43" s="9">
        <f t="shared" si="7"/>
        <v>825.0655109875006</v>
      </c>
      <c r="D43" s="10">
        <f t="shared" si="2"/>
        <v>4</v>
      </c>
      <c r="E43" s="3"/>
    </row>
    <row r="44" spans="1:5" ht="12" customHeight="1">
      <c r="A44" s="3">
        <v>40</v>
      </c>
      <c r="B44" s="9">
        <f t="shared" si="5"/>
        <v>226.44550759090512</v>
      </c>
      <c r="C44" s="9">
        <f t="shared" si="7"/>
        <v>823.9856340074903</v>
      </c>
      <c r="D44" s="10">
        <f t="shared" si="2"/>
        <v>4</v>
      </c>
      <c r="E44" s="3"/>
    </row>
    <row r="45" spans="1:5" ht="12" customHeight="1">
      <c r="A45" s="3">
        <v>41</v>
      </c>
      <c r="B45" s="9">
        <f t="shared" si="5"/>
        <v>227.53055898144493</v>
      </c>
      <c r="C45" s="9">
        <f t="shared" si="7"/>
        <v>822.9005826169505</v>
      </c>
      <c r="D45" s="10">
        <f t="shared" si="2"/>
        <v>4</v>
      </c>
      <c r="E45" s="3"/>
    </row>
    <row r="46" spans="1:5" ht="12" customHeight="1">
      <c r="A46" s="3">
        <v>42</v>
      </c>
      <c r="B46" s="9">
        <f t="shared" si="5"/>
        <v>228.6208095765643</v>
      </c>
      <c r="C46" s="9">
        <f t="shared" si="7"/>
        <v>821.8103320218311</v>
      </c>
      <c r="D46" s="10">
        <f t="shared" si="2"/>
        <v>4</v>
      </c>
      <c r="E46" s="3"/>
    </row>
    <row r="47" spans="1:5" ht="12" customHeight="1">
      <c r="A47" s="3">
        <v>43</v>
      </c>
      <c r="B47" s="9">
        <f t="shared" si="5"/>
        <v>229.7162842891187</v>
      </c>
      <c r="C47" s="9">
        <f t="shared" si="7"/>
        <v>820.7148573092767</v>
      </c>
      <c r="D47" s="10">
        <f t="shared" si="2"/>
        <v>4</v>
      </c>
      <c r="E47" s="3"/>
    </row>
    <row r="48" spans="1:5" ht="12" customHeight="1">
      <c r="A48" s="3">
        <v>44</v>
      </c>
      <c r="B48" s="9">
        <f t="shared" si="5"/>
        <v>230.8170081513374</v>
      </c>
      <c r="C48" s="9">
        <f t="shared" si="7"/>
        <v>819.6141334470578</v>
      </c>
      <c r="D48" s="10">
        <f t="shared" si="2"/>
        <v>4</v>
      </c>
      <c r="E48" s="3"/>
    </row>
    <row r="49" spans="1:5" ht="12" customHeight="1">
      <c r="A49" s="3">
        <v>45</v>
      </c>
      <c r="B49" s="9">
        <f t="shared" si="5"/>
        <v>231.92300631539587</v>
      </c>
      <c r="C49" s="9">
        <f t="shared" si="7"/>
        <v>818.5081352829993</v>
      </c>
      <c r="D49" s="10">
        <f t="shared" si="2"/>
        <v>4</v>
      </c>
      <c r="E49" s="3"/>
    </row>
    <row r="50" spans="1:5" ht="12" customHeight="1">
      <c r="A50" s="3">
        <v>46</v>
      </c>
      <c r="B50" s="9">
        <f t="shared" si="5"/>
        <v>233.03430405399047</v>
      </c>
      <c r="C50" s="9">
        <f t="shared" si="7"/>
        <v>817.3968375444049</v>
      </c>
      <c r="D50" s="10">
        <f t="shared" si="2"/>
        <v>4</v>
      </c>
      <c r="E50" s="3"/>
    </row>
    <row r="51" spans="1:5" ht="12" customHeight="1">
      <c r="A51" s="3">
        <v>47</v>
      </c>
      <c r="B51" s="9">
        <f t="shared" si="5"/>
        <v>234.1509267609159</v>
      </c>
      <c r="C51" s="9">
        <f t="shared" si="7"/>
        <v>816.2802148374795</v>
      </c>
      <c r="D51" s="10">
        <f t="shared" si="2"/>
        <v>4</v>
      </c>
      <c r="E51" s="3"/>
    </row>
    <row r="52" spans="1:5" ht="12" customHeight="1">
      <c r="A52" s="3">
        <v>48</v>
      </c>
      <c r="B52" s="9">
        <f t="shared" si="5"/>
        <v>235.27289995164523</v>
      </c>
      <c r="C52" s="9">
        <f t="shared" si="7"/>
        <v>815.1582416467501</v>
      </c>
      <c r="D52" s="10">
        <f t="shared" si="2"/>
        <v>4</v>
      </c>
      <c r="E52" s="3"/>
    </row>
    <row r="53" spans="1:5" ht="12" customHeight="1">
      <c r="A53" s="3">
        <v>49</v>
      </c>
      <c r="B53" s="9">
        <f t="shared" si="5"/>
        <v>236.4002492639135</v>
      </c>
      <c r="C53" s="9">
        <f t="shared" si="7"/>
        <v>814.0308923344818</v>
      </c>
      <c r="D53" s="10">
        <f t="shared" si="2"/>
        <v>5</v>
      </c>
      <c r="E53" s="3"/>
    </row>
    <row r="54" spans="1:5" ht="12" customHeight="1">
      <c r="A54" s="3">
        <v>50</v>
      </c>
      <c r="B54" s="9">
        <f t="shared" si="5"/>
        <v>237.53300045830312</v>
      </c>
      <c r="C54" s="9">
        <f t="shared" si="7"/>
        <v>812.8981411400921</v>
      </c>
      <c r="D54" s="10">
        <f t="shared" si="2"/>
        <v>5</v>
      </c>
      <c r="E54" s="3"/>
    </row>
    <row r="55" spans="1:5" ht="12" customHeight="1">
      <c r="A55" s="3">
        <v>51</v>
      </c>
      <c r="B55" s="9">
        <f t="shared" si="5"/>
        <v>238.6711794188325</v>
      </c>
      <c r="C55" s="9">
        <f t="shared" si="7"/>
        <v>811.7599621795628</v>
      </c>
      <c r="D55" s="10">
        <f t="shared" si="2"/>
        <v>5</v>
      </c>
      <c r="E55" s="3"/>
    </row>
    <row r="56" spans="1:5" ht="12" customHeight="1">
      <c r="A56" s="3">
        <v>52</v>
      </c>
      <c r="B56" s="9">
        <f t="shared" si="5"/>
        <v>239.8148121535477</v>
      </c>
      <c r="C56" s="9">
        <f t="shared" si="7"/>
        <v>810.6163294448476</v>
      </c>
      <c r="D56" s="10">
        <f t="shared" si="2"/>
        <v>5</v>
      </c>
      <c r="E56" s="3"/>
    </row>
    <row r="57" spans="1:5" ht="12" customHeight="1">
      <c r="A57" s="3">
        <v>53</v>
      </c>
      <c r="B57" s="9">
        <f t="shared" si="5"/>
        <v>240.96392479511684</v>
      </c>
      <c r="C57" s="9">
        <f t="shared" si="7"/>
        <v>809.4672168032785</v>
      </c>
      <c r="D57" s="10">
        <f t="shared" si="2"/>
        <v>5</v>
      </c>
      <c r="E57" s="3"/>
    </row>
    <row r="58" spans="1:5" ht="12" customHeight="1">
      <c r="A58" s="3">
        <v>54</v>
      </c>
      <c r="B58" s="9">
        <f t="shared" si="5"/>
        <v>242.11854360142675</v>
      </c>
      <c r="C58" s="9">
        <f t="shared" si="7"/>
        <v>808.3125979969686</v>
      </c>
      <c r="D58" s="10">
        <f t="shared" si="2"/>
        <v>5</v>
      </c>
      <c r="E58" s="3"/>
    </row>
    <row r="59" spans="1:5" ht="12" customHeight="1">
      <c r="A59" s="3">
        <v>55</v>
      </c>
      <c r="B59" s="9">
        <f t="shared" si="5"/>
        <v>243.27869495618359</v>
      </c>
      <c r="C59" s="9">
        <f t="shared" si="7"/>
        <v>807.1524466422117</v>
      </c>
      <c r="D59" s="10">
        <f t="shared" si="2"/>
        <v>5</v>
      </c>
      <c r="E59" s="3"/>
    </row>
    <row r="60" spans="1:5" ht="12" customHeight="1">
      <c r="A60" s="3">
        <v>56</v>
      </c>
      <c r="B60" s="9">
        <f t="shared" si="5"/>
        <v>244.44440536951532</v>
      </c>
      <c r="C60" s="9">
        <f t="shared" si="7"/>
        <v>805.9867362288801</v>
      </c>
      <c r="D60" s="10">
        <f t="shared" si="2"/>
        <v>5</v>
      </c>
      <c r="E60" s="3"/>
    </row>
    <row r="61" spans="1:5" ht="12" customHeight="1">
      <c r="A61" s="3">
        <v>57</v>
      </c>
      <c r="B61" s="9">
        <f t="shared" si="5"/>
        <v>245.6157014785776</v>
      </c>
      <c r="C61" s="9">
        <f t="shared" si="7"/>
        <v>804.8154401198177</v>
      </c>
      <c r="D61" s="10">
        <f t="shared" si="2"/>
        <v>5</v>
      </c>
      <c r="E61" s="3"/>
    </row>
    <row r="62" spans="1:5" ht="12" customHeight="1">
      <c r="A62" s="3">
        <v>58</v>
      </c>
      <c r="B62" s="9">
        <f t="shared" si="5"/>
        <v>246.79261004816237</v>
      </c>
      <c r="C62" s="9">
        <f t="shared" si="7"/>
        <v>803.6385315502329</v>
      </c>
      <c r="D62" s="10">
        <f t="shared" si="2"/>
        <v>5</v>
      </c>
      <c r="E62" s="3"/>
    </row>
    <row r="63" spans="1:5" ht="12" customHeight="1">
      <c r="A63" s="3">
        <v>59</v>
      </c>
      <c r="B63" s="9">
        <f t="shared" si="5"/>
        <v>247.97515797130987</v>
      </c>
      <c r="C63" s="9">
        <f t="shared" si="7"/>
        <v>802.4559836270854</v>
      </c>
      <c r="D63" s="10">
        <f t="shared" si="2"/>
        <v>5</v>
      </c>
      <c r="E63" s="3"/>
    </row>
    <row r="64" spans="1:5" ht="12" customHeight="1">
      <c r="A64" s="3">
        <v>60</v>
      </c>
      <c r="B64" s="9">
        <f t="shared" si="5"/>
        <v>249.16337226992243</v>
      </c>
      <c r="C64" s="9">
        <f t="shared" si="7"/>
        <v>801.2677693284728</v>
      </c>
      <c r="D64" s="10">
        <f t="shared" si="2"/>
        <v>5</v>
      </c>
      <c r="E64" s="3"/>
    </row>
    <row r="65" spans="1:5" ht="12" customHeight="1">
      <c r="A65" s="3">
        <v>61</v>
      </c>
      <c r="B65" s="9">
        <f t="shared" si="5"/>
        <v>250.35728009538244</v>
      </c>
      <c r="C65" s="9">
        <f t="shared" si="7"/>
        <v>800.0738615030128</v>
      </c>
      <c r="D65" s="10">
        <f t="shared" si="2"/>
        <v>6</v>
      </c>
      <c r="E65" s="3"/>
    </row>
    <row r="66" spans="1:5" ht="12" customHeight="1">
      <c r="A66" s="3">
        <v>62</v>
      </c>
      <c r="B66" s="9">
        <f t="shared" si="5"/>
        <v>251.55690872917282</v>
      </c>
      <c r="C66" s="9">
        <f t="shared" si="7"/>
        <v>798.8742328692224</v>
      </c>
      <c r="D66" s="10">
        <f t="shared" si="2"/>
        <v>6</v>
      </c>
      <c r="E66" s="3"/>
    </row>
    <row r="67" spans="1:5" ht="12" customHeight="1">
      <c r="A67" s="3">
        <v>63</v>
      </c>
      <c r="B67" s="9">
        <f t="shared" si="5"/>
        <v>252.7622855835001</v>
      </c>
      <c r="C67" s="9">
        <f t="shared" si="7"/>
        <v>797.6688560148951</v>
      </c>
      <c r="D67" s="10">
        <f t="shared" si="2"/>
        <v>6</v>
      </c>
      <c r="E67" s="3"/>
    </row>
    <row r="68" spans="1:5" ht="12" customHeight="1">
      <c r="A68" s="3">
        <v>64</v>
      </c>
      <c r="B68" s="9">
        <f t="shared" si="5"/>
        <v>253.973438201921</v>
      </c>
      <c r="C68" s="9">
        <f t="shared" si="7"/>
        <v>796.4577033964742</v>
      </c>
      <c r="D68" s="10">
        <f t="shared" si="2"/>
        <v>6</v>
      </c>
      <c r="E68" s="3"/>
    </row>
    <row r="69" spans="1:5" ht="12" customHeight="1">
      <c r="A69" s="3">
        <v>65</v>
      </c>
      <c r="B69" s="9">
        <f t="shared" si="5"/>
        <v>255.19039425997192</v>
      </c>
      <c r="C69" s="9">
        <f t="shared" si="7"/>
        <v>795.2407473384234</v>
      </c>
      <c r="D69" s="10">
        <f t="shared" si="2"/>
        <v>6</v>
      </c>
      <c r="E69" s="3"/>
    </row>
    <row r="70" spans="1:5" ht="12" customHeight="1">
      <c r="A70" s="3">
        <v>66</v>
      </c>
      <c r="B70" s="9">
        <f t="shared" si="5"/>
        <v>256.413181565801</v>
      </c>
      <c r="C70" s="9">
        <f t="shared" si="7"/>
        <v>794.0179600325944</v>
      </c>
      <c r="D70" s="10">
        <f t="shared" si="2"/>
        <v>6</v>
      </c>
      <c r="E70" s="3"/>
    </row>
    <row r="71" spans="1:5" ht="12" customHeight="1">
      <c r="A71" s="3">
        <v>67</v>
      </c>
      <c r="B71" s="9">
        <f t="shared" si="5"/>
        <v>257.64182806080373</v>
      </c>
      <c r="C71" s="9">
        <f t="shared" si="7"/>
        <v>792.7893135375916</v>
      </c>
      <c r="D71" s="10">
        <f aca="true" t="shared" si="8" ref="D71:D134">ROUNDUP(A71/12,0)</f>
        <v>6</v>
      </c>
      <c r="E71" s="3"/>
    </row>
    <row r="72" spans="1:5" ht="12" customHeight="1">
      <c r="A72" s="3">
        <v>68</v>
      </c>
      <c r="B72" s="9">
        <f t="shared" si="5"/>
        <v>258.8763618202617</v>
      </c>
      <c r="C72" s="9">
        <f t="shared" si="7"/>
        <v>791.5547797781335</v>
      </c>
      <c r="D72" s="10">
        <f t="shared" si="8"/>
        <v>6</v>
      </c>
      <c r="E72" s="3"/>
    </row>
    <row r="73" spans="1:5" ht="12" customHeight="1">
      <c r="A73" s="3">
        <v>69</v>
      </c>
      <c r="B73" s="9">
        <f t="shared" si="5"/>
        <v>260.11681105398384</v>
      </c>
      <c r="C73" s="9">
        <f t="shared" si="7"/>
        <v>790.3143305444114</v>
      </c>
      <c r="D73" s="10">
        <f t="shared" si="8"/>
        <v>6</v>
      </c>
      <c r="E73" s="3"/>
    </row>
    <row r="74" spans="1:5" ht="12" customHeight="1">
      <c r="A74" s="3">
        <v>70</v>
      </c>
      <c r="B74" s="9">
        <f t="shared" si="5"/>
        <v>261.36320410695083</v>
      </c>
      <c r="C74" s="9">
        <f t="shared" si="7"/>
        <v>789.0679374914445</v>
      </c>
      <c r="D74" s="10">
        <f t="shared" si="8"/>
        <v>6</v>
      </c>
      <c r="E74" s="3"/>
    </row>
    <row r="75" spans="1:5" ht="12" customHeight="1">
      <c r="A75" s="3">
        <v>71</v>
      </c>
      <c r="B75" s="9">
        <f t="shared" si="5"/>
        <v>262.6155694599633</v>
      </c>
      <c r="C75" s="9">
        <f t="shared" si="7"/>
        <v>787.815572138432</v>
      </c>
      <c r="D75" s="10">
        <f t="shared" si="8"/>
        <v>6</v>
      </c>
      <c r="E75" s="3"/>
    </row>
    <row r="76" spans="1:5" ht="12" customHeight="1">
      <c r="A76" s="3">
        <v>72</v>
      </c>
      <c r="B76" s="9">
        <f t="shared" si="5"/>
        <v>263.8739357302923</v>
      </c>
      <c r="C76" s="9">
        <f t="shared" si="7"/>
        <v>786.5572058681031</v>
      </c>
      <c r="D76" s="10">
        <f t="shared" si="8"/>
        <v>6</v>
      </c>
      <c r="E76" s="3"/>
    </row>
    <row r="77" spans="1:5" ht="12" customHeight="1">
      <c r="A77" s="3">
        <v>73</v>
      </c>
      <c r="B77" s="9">
        <f t="shared" si="5"/>
        <v>265.13833167233327</v>
      </c>
      <c r="C77" s="9">
        <f t="shared" si="7"/>
        <v>785.292809926062</v>
      </c>
      <c r="D77" s="10">
        <f t="shared" si="8"/>
        <v>7</v>
      </c>
      <c r="E77" s="3"/>
    </row>
    <row r="78" spans="1:5" ht="12" customHeight="1">
      <c r="A78" s="3">
        <v>74</v>
      </c>
      <c r="B78" s="9">
        <f t="shared" si="5"/>
        <v>266.4087861782632</v>
      </c>
      <c r="C78" s="9">
        <f t="shared" si="7"/>
        <v>784.022355420132</v>
      </c>
      <c r="D78" s="10">
        <f t="shared" si="8"/>
        <v>7</v>
      </c>
      <c r="E78" s="3"/>
    </row>
    <row r="79" spans="1:5" ht="12" customHeight="1">
      <c r="A79" s="3">
        <v>75</v>
      </c>
      <c r="B79" s="9">
        <f t="shared" si="5"/>
        <v>267.6853282787008</v>
      </c>
      <c r="C79" s="9">
        <f t="shared" si="7"/>
        <v>782.7458133196945</v>
      </c>
      <c r="D79" s="10">
        <f t="shared" si="8"/>
        <v>7</v>
      </c>
      <c r="E79" s="3"/>
    </row>
    <row r="80" spans="1:5" ht="12" customHeight="1">
      <c r="A80" s="3">
        <v>76</v>
      </c>
      <c r="B80" s="9">
        <f t="shared" si="5"/>
        <v>268.9679871433695</v>
      </c>
      <c r="C80" s="9">
        <f t="shared" si="7"/>
        <v>781.4631544550258</v>
      </c>
      <c r="D80" s="10">
        <f t="shared" si="8"/>
        <v>7</v>
      </c>
      <c r="E80" s="3"/>
    </row>
    <row r="81" spans="1:5" ht="12" customHeight="1">
      <c r="A81" s="3">
        <v>77</v>
      </c>
      <c r="B81" s="9">
        <f t="shared" si="5"/>
        <v>270.2567920817648</v>
      </c>
      <c r="C81" s="9">
        <f t="shared" si="7"/>
        <v>780.1743495166305</v>
      </c>
      <c r="D81" s="10">
        <f t="shared" si="8"/>
        <v>7</v>
      </c>
      <c r="E81" s="3"/>
    </row>
    <row r="82" spans="1:5" ht="12" customHeight="1">
      <c r="A82" s="3">
        <v>78</v>
      </c>
      <c r="B82" s="9">
        <f t="shared" si="5"/>
        <v>271.5517725438233</v>
      </c>
      <c r="C82" s="9">
        <f t="shared" si="7"/>
        <v>778.879369054572</v>
      </c>
      <c r="D82" s="10">
        <f t="shared" si="8"/>
        <v>7</v>
      </c>
      <c r="E82" s="3"/>
    </row>
    <row r="83" spans="1:5" ht="12" customHeight="1">
      <c r="A83" s="3">
        <v>79</v>
      </c>
      <c r="B83" s="9">
        <f t="shared" si="5"/>
        <v>272.85295812059576</v>
      </c>
      <c r="C83" s="9">
        <f t="shared" si="7"/>
        <v>777.5781834777995</v>
      </c>
      <c r="D83" s="10">
        <f t="shared" si="8"/>
        <v>7</v>
      </c>
      <c r="E83" s="3"/>
    </row>
    <row r="84" spans="1:5" ht="12" customHeight="1">
      <c r="A84" s="3">
        <v>80</v>
      </c>
      <c r="B84" s="9">
        <f t="shared" si="5"/>
        <v>274.1603785449236</v>
      </c>
      <c r="C84" s="9">
        <f t="shared" si="7"/>
        <v>776.2707630534716</v>
      </c>
      <c r="D84" s="10">
        <f t="shared" si="8"/>
        <v>7</v>
      </c>
      <c r="E84" s="3"/>
    </row>
    <row r="85" spans="1:5" ht="12" customHeight="1">
      <c r="A85" s="3">
        <v>81</v>
      </c>
      <c r="B85" s="9">
        <f t="shared" si="5"/>
        <v>275.474063692118</v>
      </c>
      <c r="C85" s="9">
        <f t="shared" si="7"/>
        <v>774.9570779062773</v>
      </c>
      <c r="D85" s="10">
        <f t="shared" si="8"/>
        <v>7</v>
      </c>
      <c r="E85" s="3"/>
    </row>
    <row r="86" spans="1:5" ht="12" customHeight="1">
      <c r="A86" s="3">
        <v>82</v>
      </c>
      <c r="B86" s="9">
        <f t="shared" si="5"/>
        <v>276.7940435806427</v>
      </c>
      <c r="C86" s="9">
        <f t="shared" si="7"/>
        <v>773.6370980177527</v>
      </c>
      <c r="D86" s="10">
        <f t="shared" si="8"/>
        <v>7</v>
      </c>
      <c r="E86" s="3"/>
    </row>
    <row r="87" spans="1:5" ht="12" customHeight="1">
      <c r="A87" s="3">
        <v>83</v>
      </c>
      <c r="B87" s="9">
        <f t="shared" si="5"/>
        <v>278.12034837280004</v>
      </c>
      <c r="C87" s="9">
        <f t="shared" si="7"/>
        <v>772.3107932255954</v>
      </c>
      <c r="D87" s="10">
        <f t="shared" si="8"/>
        <v>7</v>
      </c>
      <c r="E87" s="3"/>
    </row>
    <row r="88" spans="1:5" ht="12" customHeight="1">
      <c r="A88" s="3">
        <v>84</v>
      </c>
      <c r="B88" s="9">
        <f t="shared" si="5"/>
        <v>279.4530083754197</v>
      </c>
      <c r="C88" s="9">
        <f t="shared" si="7"/>
        <v>770.9781332229757</v>
      </c>
      <c r="D88" s="10">
        <f t="shared" si="8"/>
        <v>7</v>
      </c>
      <c r="E88" s="3"/>
    </row>
    <row r="89" spans="1:5" ht="12" customHeight="1">
      <c r="A89" s="3">
        <v>85</v>
      </c>
      <c r="B89" s="9">
        <f t="shared" si="5"/>
        <v>280.7920540405519</v>
      </c>
      <c r="C89" s="9">
        <f t="shared" si="7"/>
        <v>769.6390875578434</v>
      </c>
      <c r="D89" s="10">
        <f t="shared" si="8"/>
        <v>8</v>
      </c>
      <c r="E89" s="3"/>
    </row>
    <row r="90" spans="1:5" ht="12" customHeight="1">
      <c r="A90" s="3">
        <v>86</v>
      </c>
      <c r="B90" s="9">
        <f t="shared" si="5"/>
        <v>282.1375159661629</v>
      </c>
      <c r="C90" s="9">
        <f t="shared" si="7"/>
        <v>768.2936256322325</v>
      </c>
      <c r="D90" s="10">
        <f t="shared" si="8"/>
        <v>8</v>
      </c>
      <c r="E90" s="3"/>
    </row>
    <row r="91" spans="1:5" ht="12" customHeight="1">
      <c r="A91" s="3">
        <v>87</v>
      </c>
      <c r="B91" s="9">
        <f t="shared" si="5"/>
        <v>283.48942489683407</v>
      </c>
      <c r="C91" s="9">
        <f t="shared" si="7"/>
        <v>766.9417167015613</v>
      </c>
      <c r="D91" s="10">
        <f t="shared" si="8"/>
        <v>8</v>
      </c>
      <c r="E91" s="3"/>
    </row>
    <row r="92" spans="1:5" ht="12" customHeight="1">
      <c r="A92" s="3">
        <v>88</v>
      </c>
      <c r="B92" s="9">
        <f t="shared" si="5"/>
        <v>284.84781172446475</v>
      </c>
      <c r="C92" s="9">
        <f t="shared" si="7"/>
        <v>765.5833298739306</v>
      </c>
      <c r="D92" s="10">
        <f t="shared" si="8"/>
        <v>8</v>
      </c>
      <c r="E92" s="3"/>
    </row>
    <row r="93" spans="1:5" ht="12" customHeight="1">
      <c r="A93" s="3">
        <v>89</v>
      </c>
      <c r="B93" s="9">
        <f t="shared" si="5"/>
        <v>286.2127074889778</v>
      </c>
      <c r="C93" s="9">
        <f t="shared" si="7"/>
        <v>764.2184341094176</v>
      </c>
      <c r="D93" s="10">
        <f t="shared" si="8"/>
        <v>8</v>
      </c>
      <c r="E93" s="3"/>
    </row>
    <row r="94" spans="1:5" ht="12" customHeight="1">
      <c r="A94" s="3">
        <v>90</v>
      </c>
      <c r="B94" s="9">
        <f aca="true" t="shared" si="9" ref="B94:B157">PPMT(B$2/12,A94,B$3,B$1*-1)</f>
        <v>287.5841433790292</v>
      </c>
      <c r="C94" s="9">
        <f t="shared" si="7"/>
        <v>762.8469982193662</v>
      </c>
      <c r="D94" s="10">
        <f t="shared" si="8"/>
        <v>8</v>
      </c>
      <c r="E94" s="3"/>
    </row>
    <row r="95" spans="1:5" ht="12" customHeight="1">
      <c r="A95" s="3">
        <v>91</v>
      </c>
      <c r="B95" s="9">
        <f t="shared" si="9"/>
        <v>288.9621507327204</v>
      </c>
      <c r="C95" s="9">
        <f t="shared" si="7"/>
        <v>761.468990865675</v>
      </c>
      <c r="D95" s="10">
        <f t="shared" si="8"/>
        <v>8</v>
      </c>
      <c r="E95" s="3"/>
    </row>
    <row r="96" spans="1:5" ht="12" customHeight="1">
      <c r="A96" s="3">
        <v>92</v>
      </c>
      <c r="B96" s="9">
        <f t="shared" si="9"/>
        <v>290.3467610383146</v>
      </c>
      <c r="C96" s="9">
        <f t="shared" si="7"/>
        <v>760.0843805600807</v>
      </c>
      <c r="D96" s="10">
        <f t="shared" si="8"/>
        <v>8</v>
      </c>
      <c r="E96" s="3"/>
    </row>
    <row r="97" spans="1:5" ht="12" customHeight="1">
      <c r="A97" s="3">
        <v>93</v>
      </c>
      <c r="B97" s="9">
        <f t="shared" si="9"/>
        <v>291.7380059349566</v>
      </c>
      <c r="C97" s="9">
        <f t="shared" si="7"/>
        <v>758.6931356634386</v>
      </c>
      <c r="D97" s="10">
        <f t="shared" si="8"/>
        <v>8</v>
      </c>
      <c r="E97" s="3"/>
    </row>
    <row r="98" spans="1:5" ht="12" customHeight="1">
      <c r="A98" s="3">
        <v>94</v>
      </c>
      <c r="B98" s="9">
        <f t="shared" si="9"/>
        <v>293.1359172133949</v>
      </c>
      <c r="C98" s="9">
        <f t="shared" si="7"/>
        <v>757.2952243850004</v>
      </c>
      <c r="D98" s="10">
        <f t="shared" si="8"/>
        <v>8</v>
      </c>
      <c r="E98" s="3"/>
    </row>
    <row r="99" spans="1:5" ht="12" customHeight="1">
      <c r="A99" s="3">
        <v>95</v>
      </c>
      <c r="B99" s="9">
        <f t="shared" si="9"/>
        <v>294.540526816709</v>
      </c>
      <c r="C99" s="9">
        <f t="shared" si="7"/>
        <v>755.8906147816862</v>
      </c>
      <c r="D99" s="10">
        <f t="shared" si="8"/>
        <v>8</v>
      </c>
      <c r="E99" s="3"/>
    </row>
    <row r="100" spans="1:5" ht="12" customHeight="1">
      <c r="A100" s="3">
        <v>96</v>
      </c>
      <c r="B100" s="9">
        <f t="shared" si="9"/>
        <v>295.95186684103913</v>
      </c>
      <c r="C100" s="9">
        <f t="shared" si="7"/>
        <v>754.479274757356</v>
      </c>
      <c r="D100" s="10">
        <f t="shared" si="8"/>
        <v>8</v>
      </c>
      <c r="E100" s="3"/>
    </row>
    <row r="101" spans="1:5" ht="12" customHeight="1">
      <c r="A101" s="3">
        <v>97</v>
      </c>
      <c r="B101" s="9">
        <f t="shared" si="9"/>
        <v>297.3699695363191</v>
      </c>
      <c r="C101" s="9">
        <f t="shared" si="7"/>
        <v>753.0611720620763</v>
      </c>
      <c r="D101" s="10">
        <f t="shared" si="8"/>
        <v>9</v>
      </c>
      <c r="E101" s="3"/>
    </row>
    <row r="102" spans="1:5" ht="12" customHeight="1">
      <c r="A102" s="3">
        <v>98</v>
      </c>
      <c r="B102" s="9">
        <f t="shared" si="9"/>
        <v>298.79486730701393</v>
      </c>
      <c r="C102" s="9">
        <f t="shared" si="7"/>
        <v>751.6362742913814</v>
      </c>
      <c r="D102" s="10">
        <f t="shared" si="8"/>
        <v>9</v>
      </c>
      <c r="E102" s="3"/>
    </row>
    <row r="103" spans="1:5" ht="12" customHeight="1">
      <c r="A103" s="3">
        <v>99</v>
      </c>
      <c r="B103" s="9">
        <f t="shared" si="9"/>
        <v>300.22659271286005</v>
      </c>
      <c r="C103" s="9">
        <f t="shared" si="7"/>
        <v>750.2045488855351</v>
      </c>
      <c r="D103" s="10">
        <f t="shared" si="8"/>
        <v>9</v>
      </c>
      <c r="E103" s="3"/>
    </row>
    <row r="104" spans="1:5" ht="12" customHeight="1">
      <c r="A104" s="3">
        <v>100</v>
      </c>
      <c r="B104" s="9">
        <f t="shared" si="9"/>
        <v>301.6651784696092</v>
      </c>
      <c r="C104" s="9">
        <f t="shared" si="7"/>
        <v>748.765963128786</v>
      </c>
      <c r="D104" s="10">
        <f t="shared" si="8"/>
        <v>9</v>
      </c>
      <c r="E104" s="3"/>
    </row>
    <row r="105" spans="1:5" ht="12" customHeight="1">
      <c r="A105" s="3">
        <v>101</v>
      </c>
      <c r="B105" s="9">
        <f t="shared" si="9"/>
        <v>303.1106574497761</v>
      </c>
      <c r="C105" s="9">
        <f t="shared" si="7"/>
        <v>747.3204841486192</v>
      </c>
      <c r="D105" s="10">
        <f t="shared" si="8"/>
        <v>9</v>
      </c>
      <c r="E105" s="3"/>
    </row>
    <row r="106" spans="1:5" ht="12" customHeight="1">
      <c r="A106" s="3">
        <v>102</v>
      </c>
      <c r="B106" s="9">
        <f t="shared" si="9"/>
        <v>304.56306268338955</v>
      </c>
      <c r="C106" s="9">
        <f aca="true" t="shared" si="10" ref="C106:C169">IPMT(B$2/12,A106,B$3,B$1*-1)</f>
        <v>745.8680789150058</v>
      </c>
      <c r="D106" s="10">
        <f t="shared" si="8"/>
        <v>9</v>
      </c>
      <c r="E106" s="3"/>
    </row>
    <row r="107" spans="1:5" ht="12" customHeight="1">
      <c r="A107" s="3">
        <v>103</v>
      </c>
      <c r="B107" s="9">
        <f t="shared" si="9"/>
        <v>306.0224273587475</v>
      </c>
      <c r="C107" s="9">
        <f t="shared" si="10"/>
        <v>744.4087142396478</v>
      </c>
      <c r="D107" s="10">
        <f t="shared" si="8"/>
        <v>9</v>
      </c>
      <c r="E107" s="3"/>
    </row>
    <row r="108" spans="1:5" ht="12" customHeight="1">
      <c r="A108" s="3">
        <v>104</v>
      </c>
      <c r="B108" s="9">
        <f t="shared" si="9"/>
        <v>307.4887848231748</v>
      </c>
      <c r="C108" s="9">
        <f t="shared" si="10"/>
        <v>742.9423567752206</v>
      </c>
      <c r="D108" s="10">
        <f t="shared" si="8"/>
        <v>9</v>
      </c>
      <c r="E108" s="3"/>
    </row>
    <row r="109" spans="1:5" ht="12" customHeight="1">
      <c r="A109" s="3">
        <v>105</v>
      </c>
      <c r="B109" s="9">
        <f t="shared" si="9"/>
        <v>308.9621685837859</v>
      </c>
      <c r="C109" s="9">
        <f t="shared" si="10"/>
        <v>741.4689730146093</v>
      </c>
      <c r="D109" s="10">
        <f t="shared" si="8"/>
        <v>9</v>
      </c>
      <c r="E109" s="3"/>
    </row>
    <row r="110" spans="1:5" ht="12" customHeight="1">
      <c r="A110" s="3">
        <v>106</v>
      </c>
      <c r="B110" s="9">
        <f t="shared" si="9"/>
        <v>310.44261230824986</v>
      </c>
      <c r="C110" s="9">
        <f t="shared" si="10"/>
        <v>739.9885292901454</v>
      </c>
      <c r="D110" s="10">
        <f t="shared" si="8"/>
        <v>9</v>
      </c>
      <c r="E110" s="3"/>
    </row>
    <row r="111" spans="1:5" ht="12" customHeight="1">
      <c r="A111" s="3">
        <v>107</v>
      </c>
      <c r="B111" s="9">
        <f t="shared" si="9"/>
        <v>311.9301498255602</v>
      </c>
      <c r="C111" s="9">
        <f t="shared" si="10"/>
        <v>738.5009917728352</v>
      </c>
      <c r="D111" s="10">
        <f t="shared" si="8"/>
        <v>9</v>
      </c>
      <c r="E111" s="3"/>
    </row>
    <row r="112" spans="1:5" ht="12" customHeight="1">
      <c r="A112" s="3">
        <v>108</v>
      </c>
      <c r="B112" s="9">
        <f t="shared" si="9"/>
        <v>313.4248151268077</v>
      </c>
      <c r="C112" s="9">
        <f t="shared" si="10"/>
        <v>737.0063264715877</v>
      </c>
      <c r="D112" s="10">
        <f t="shared" si="8"/>
        <v>9</v>
      </c>
      <c r="E112" s="3"/>
    </row>
    <row r="113" spans="1:5" ht="12" customHeight="1">
      <c r="A113" s="3">
        <v>109</v>
      </c>
      <c r="B113" s="9">
        <f t="shared" si="9"/>
        <v>314.926642365957</v>
      </c>
      <c r="C113" s="9">
        <f t="shared" si="10"/>
        <v>735.5044992324382</v>
      </c>
      <c r="D113" s="10">
        <f t="shared" si="8"/>
        <v>10</v>
      </c>
      <c r="E113" s="3"/>
    </row>
    <row r="114" spans="1:5" ht="12" customHeight="1">
      <c r="A114" s="3">
        <v>110</v>
      </c>
      <c r="B114" s="9">
        <f t="shared" si="9"/>
        <v>316.4356658606271</v>
      </c>
      <c r="C114" s="9">
        <f t="shared" si="10"/>
        <v>733.9954757377682</v>
      </c>
      <c r="D114" s="10">
        <f t="shared" si="8"/>
        <v>10</v>
      </c>
      <c r="E114" s="3"/>
    </row>
    <row r="115" spans="1:5" ht="12" customHeight="1">
      <c r="A115" s="3">
        <v>111</v>
      </c>
      <c r="B115" s="9">
        <f t="shared" si="9"/>
        <v>317.95192009287604</v>
      </c>
      <c r="C115" s="9">
        <f t="shared" si="10"/>
        <v>732.4792215055194</v>
      </c>
      <c r="D115" s="10">
        <f t="shared" si="8"/>
        <v>10</v>
      </c>
      <c r="E115" s="3"/>
    </row>
    <row r="116" spans="1:5" ht="12" customHeight="1">
      <c r="A116" s="3">
        <v>112</v>
      </c>
      <c r="B116" s="9">
        <f t="shared" si="9"/>
        <v>319.4754397099877</v>
      </c>
      <c r="C116" s="9">
        <f t="shared" si="10"/>
        <v>730.9557018884076</v>
      </c>
      <c r="D116" s="10">
        <f t="shared" si="8"/>
        <v>10</v>
      </c>
      <c r="E116" s="3"/>
    </row>
    <row r="117" spans="1:5" ht="12" customHeight="1">
      <c r="A117" s="3">
        <v>113</v>
      </c>
      <c r="B117" s="9">
        <f t="shared" si="9"/>
        <v>321.0062595252647</v>
      </c>
      <c r="C117" s="9">
        <f t="shared" si="10"/>
        <v>729.4248820731306</v>
      </c>
      <c r="D117" s="10">
        <f t="shared" si="8"/>
        <v>10</v>
      </c>
      <c r="E117" s="3"/>
    </row>
    <row r="118" spans="1:5" ht="12" customHeight="1">
      <c r="A118" s="3">
        <v>114</v>
      </c>
      <c r="B118" s="9">
        <f t="shared" si="9"/>
        <v>322.5444145188233</v>
      </c>
      <c r="C118" s="9">
        <f t="shared" si="10"/>
        <v>727.886727079572</v>
      </c>
      <c r="D118" s="10">
        <f t="shared" si="8"/>
        <v>10</v>
      </c>
      <c r="E118" s="3"/>
    </row>
    <row r="119" spans="1:5" ht="12" customHeight="1">
      <c r="A119" s="3">
        <v>115</v>
      </c>
      <c r="B119" s="9">
        <f t="shared" si="9"/>
        <v>324.0899398383927</v>
      </c>
      <c r="C119" s="9">
        <f t="shared" si="10"/>
        <v>726.3412017600026</v>
      </c>
      <c r="D119" s="10">
        <f t="shared" si="8"/>
        <v>10</v>
      </c>
      <c r="E119" s="3"/>
    </row>
    <row r="120" spans="1:5" ht="12" customHeight="1">
      <c r="A120" s="3">
        <v>116</v>
      </c>
      <c r="B120" s="9">
        <f t="shared" si="9"/>
        <v>325.64287080011826</v>
      </c>
      <c r="C120" s="9">
        <f t="shared" si="10"/>
        <v>724.7882707982769</v>
      </c>
      <c r="D120" s="10">
        <f t="shared" si="8"/>
        <v>10</v>
      </c>
      <c r="E120" s="3"/>
    </row>
    <row r="121" spans="1:5" ht="12" customHeight="1">
      <c r="A121" s="3">
        <v>117</v>
      </c>
      <c r="B121" s="9">
        <f t="shared" si="9"/>
        <v>327.2032428893688</v>
      </c>
      <c r="C121" s="9">
        <f t="shared" si="10"/>
        <v>723.2278987090265</v>
      </c>
      <c r="D121" s="10">
        <f t="shared" si="8"/>
        <v>10</v>
      </c>
      <c r="E121" s="3"/>
    </row>
    <row r="122" spans="1:5" ht="12" customHeight="1">
      <c r="A122" s="3">
        <v>118</v>
      </c>
      <c r="B122" s="9">
        <f t="shared" si="9"/>
        <v>328.77109176154715</v>
      </c>
      <c r="C122" s="9">
        <f t="shared" si="10"/>
        <v>721.6600498368482</v>
      </c>
      <c r="D122" s="10">
        <f t="shared" si="8"/>
        <v>10</v>
      </c>
      <c r="E122" s="3"/>
    </row>
    <row r="123" spans="1:5" ht="12" customHeight="1">
      <c r="A123" s="3">
        <v>119</v>
      </c>
      <c r="B123" s="9">
        <f t="shared" si="9"/>
        <v>330.3464532429045</v>
      </c>
      <c r="C123" s="9">
        <f t="shared" si="10"/>
        <v>720.0846883554909</v>
      </c>
      <c r="D123" s="10">
        <f t="shared" si="8"/>
        <v>10</v>
      </c>
      <c r="E123" s="3"/>
    </row>
    <row r="124" spans="1:5" ht="12" customHeight="1">
      <c r="A124" s="3">
        <v>120</v>
      </c>
      <c r="B124" s="9">
        <f t="shared" si="9"/>
        <v>331.9293633313601</v>
      </c>
      <c r="C124" s="9">
        <f t="shared" si="10"/>
        <v>718.5017782670353</v>
      </c>
      <c r="D124" s="10">
        <f t="shared" si="8"/>
        <v>10</v>
      </c>
      <c r="E124" s="3"/>
    </row>
    <row r="125" spans="1:5" ht="12" customHeight="1">
      <c r="A125" s="3">
        <v>121</v>
      </c>
      <c r="B125" s="9">
        <f t="shared" si="9"/>
        <v>333.5198581973229</v>
      </c>
      <c r="C125" s="9">
        <f t="shared" si="10"/>
        <v>716.9112834010724</v>
      </c>
      <c r="D125" s="10">
        <f t="shared" si="8"/>
        <v>11</v>
      </c>
      <c r="E125" s="3"/>
    </row>
    <row r="126" spans="1:5" ht="12" customHeight="1">
      <c r="A126" s="3">
        <v>122</v>
      </c>
      <c r="B126" s="9">
        <f t="shared" si="9"/>
        <v>335.1179741845183</v>
      </c>
      <c r="C126" s="9">
        <f t="shared" si="10"/>
        <v>715.313167413877</v>
      </c>
      <c r="D126" s="10">
        <f t="shared" si="8"/>
        <v>11</v>
      </c>
      <c r="E126" s="3"/>
    </row>
    <row r="127" spans="1:5" ht="12" customHeight="1">
      <c r="A127" s="3">
        <v>123</v>
      </c>
      <c r="B127" s="9">
        <f t="shared" si="9"/>
        <v>336.72374781081913</v>
      </c>
      <c r="C127" s="9">
        <f t="shared" si="10"/>
        <v>713.707393787576</v>
      </c>
      <c r="D127" s="10">
        <f t="shared" si="8"/>
        <v>11</v>
      </c>
      <c r="E127" s="3"/>
    </row>
    <row r="128" spans="1:5" ht="12" customHeight="1">
      <c r="A128" s="3">
        <v>124</v>
      </c>
      <c r="B128" s="9">
        <f t="shared" si="9"/>
        <v>338.33721576907936</v>
      </c>
      <c r="C128" s="9">
        <f t="shared" si="10"/>
        <v>712.0939258293159</v>
      </c>
      <c r="D128" s="10">
        <f t="shared" si="8"/>
        <v>11</v>
      </c>
      <c r="E128" s="3"/>
    </row>
    <row r="129" spans="1:5" ht="12" customHeight="1">
      <c r="A129" s="3">
        <v>125</v>
      </c>
      <c r="B129" s="9">
        <f t="shared" si="9"/>
        <v>339.9584149279729</v>
      </c>
      <c r="C129" s="9">
        <f t="shared" si="10"/>
        <v>710.4727266704224</v>
      </c>
      <c r="D129" s="10">
        <f t="shared" si="8"/>
        <v>11</v>
      </c>
      <c r="E129" s="3"/>
    </row>
    <row r="130" spans="1:5" ht="12" customHeight="1">
      <c r="A130" s="3">
        <v>126</v>
      </c>
      <c r="B130" s="9">
        <f t="shared" si="9"/>
        <v>341.58738233283606</v>
      </c>
      <c r="C130" s="9">
        <f t="shared" si="10"/>
        <v>708.8437592655594</v>
      </c>
      <c r="D130" s="10">
        <f t="shared" si="8"/>
        <v>11</v>
      </c>
      <c r="E130" s="3"/>
    </row>
    <row r="131" spans="1:5" ht="12" customHeight="1">
      <c r="A131" s="3">
        <v>127</v>
      </c>
      <c r="B131" s="9">
        <f t="shared" si="9"/>
        <v>343.22415520651424</v>
      </c>
      <c r="C131" s="9">
        <f t="shared" si="10"/>
        <v>707.2069863918811</v>
      </c>
      <c r="D131" s="10">
        <f t="shared" si="8"/>
        <v>11</v>
      </c>
      <c r="E131" s="3"/>
    </row>
    <row r="132" spans="1:5" ht="12" customHeight="1">
      <c r="A132" s="3">
        <v>128</v>
      </c>
      <c r="B132" s="9">
        <f t="shared" si="9"/>
        <v>344.86877095021214</v>
      </c>
      <c r="C132" s="9">
        <f t="shared" si="10"/>
        <v>705.5623706481832</v>
      </c>
      <c r="D132" s="10">
        <f t="shared" si="8"/>
        <v>11</v>
      </c>
      <c r="E132" s="3"/>
    </row>
    <row r="133" spans="1:5" ht="12" customHeight="1">
      <c r="A133" s="3">
        <v>129</v>
      </c>
      <c r="B133" s="9">
        <f t="shared" si="9"/>
        <v>346.52126714434854</v>
      </c>
      <c r="C133" s="9">
        <f t="shared" si="10"/>
        <v>703.9098744540468</v>
      </c>
      <c r="D133" s="10">
        <f t="shared" si="8"/>
        <v>11</v>
      </c>
      <c r="E133" s="3"/>
    </row>
    <row r="134" spans="1:5" ht="12" customHeight="1">
      <c r="A134" s="3">
        <v>130</v>
      </c>
      <c r="B134" s="9">
        <f t="shared" si="9"/>
        <v>348.1816815494152</v>
      </c>
      <c r="C134" s="9">
        <f t="shared" si="10"/>
        <v>702.24946004898</v>
      </c>
      <c r="D134" s="10">
        <f t="shared" si="8"/>
        <v>11</v>
      </c>
      <c r="E134" s="3"/>
    </row>
    <row r="135" spans="1:5" ht="12" customHeight="1">
      <c r="A135" s="3">
        <v>131</v>
      </c>
      <c r="B135" s="9">
        <f t="shared" si="9"/>
        <v>349.85005210683954</v>
      </c>
      <c r="C135" s="9">
        <f t="shared" si="10"/>
        <v>700.5810894915559</v>
      </c>
      <c r="D135" s="10">
        <f aca="true" t="shared" si="11" ref="D135:D198">ROUNDUP(A135/12,0)</f>
        <v>11</v>
      </c>
      <c r="E135" s="3"/>
    </row>
    <row r="136" spans="1:5" ht="12" customHeight="1">
      <c r="A136" s="3">
        <v>132</v>
      </c>
      <c r="B136" s="9">
        <f t="shared" si="9"/>
        <v>351.52641693985146</v>
      </c>
      <c r="C136" s="9">
        <f t="shared" si="10"/>
        <v>698.9047246585438</v>
      </c>
      <c r="D136" s="10">
        <f t="shared" si="11"/>
        <v>11</v>
      </c>
      <c r="E136" s="3"/>
    </row>
    <row r="137" spans="1:5" ht="12" customHeight="1">
      <c r="A137" s="3">
        <v>133</v>
      </c>
      <c r="B137" s="9">
        <f t="shared" si="9"/>
        <v>353.2108143543549</v>
      </c>
      <c r="C137" s="9">
        <f t="shared" si="10"/>
        <v>697.2203272440404</v>
      </c>
      <c r="D137" s="10">
        <f t="shared" si="11"/>
        <v>12</v>
      </c>
      <c r="E137" s="3"/>
    </row>
    <row r="138" spans="1:5" ht="12" customHeight="1">
      <c r="A138" s="3">
        <v>134</v>
      </c>
      <c r="B138" s="9">
        <f t="shared" si="9"/>
        <v>354.9032828398029</v>
      </c>
      <c r="C138" s="9">
        <f t="shared" si="10"/>
        <v>695.5278587585925</v>
      </c>
      <c r="D138" s="10">
        <f t="shared" si="11"/>
        <v>12</v>
      </c>
      <c r="E138" s="3"/>
    </row>
    <row r="139" spans="1:5" ht="12" customHeight="1">
      <c r="A139" s="3">
        <v>135</v>
      </c>
      <c r="B139" s="9">
        <f t="shared" si="9"/>
        <v>356.6038610700769</v>
      </c>
      <c r="C139" s="9">
        <f t="shared" si="10"/>
        <v>693.8272805283185</v>
      </c>
      <c r="D139" s="10">
        <f t="shared" si="11"/>
        <v>12</v>
      </c>
      <c r="E139" s="3"/>
    </row>
    <row r="140" spans="1:5" ht="12" customHeight="1">
      <c r="A140" s="3">
        <v>136</v>
      </c>
      <c r="B140" s="9">
        <f t="shared" si="9"/>
        <v>358.312587904371</v>
      </c>
      <c r="C140" s="9">
        <f t="shared" si="10"/>
        <v>692.1185536940243</v>
      </c>
      <c r="D140" s="10">
        <f t="shared" si="11"/>
        <v>12</v>
      </c>
      <c r="E140" s="3"/>
    </row>
    <row r="141" spans="1:5" ht="12" customHeight="1">
      <c r="A141" s="3">
        <v>137</v>
      </c>
      <c r="B141" s="9">
        <f t="shared" si="9"/>
        <v>360.0295023880795</v>
      </c>
      <c r="C141" s="9">
        <f t="shared" si="10"/>
        <v>690.4016392103157</v>
      </c>
      <c r="D141" s="10">
        <f t="shared" si="11"/>
        <v>12</v>
      </c>
      <c r="E141" s="3"/>
    </row>
    <row r="142" spans="1:5" ht="12" customHeight="1">
      <c r="A142" s="3">
        <v>138</v>
      </c>
      <c r="B142" s="9">
        <f t="shared" si="9"/>
        <v>361.75464375368904</v>
      </c>
      <c r="C142" s="9">
        <f t="shared" si="10"/>
        <v>688.6764978447062</v>
      </c>
      <c r="D142" s="10">
        <f t="shared" si="11"/>
        <v>12</v>
      </c>
      <c r="E142" s="3"/>
    </row>
    <row r="143" spans="1:5" ht="12" customHeight="1">
      <c r="A143" s="3">
        <v>139</v>
      </c>
      <c r="B143" s="9">
        <f t="shared" si="9"/>
        <v>363.4880514216755</v>
      </c>
      <c r="C143" s="9">
        <f t="shared" si="10"/>
        <v>686.9430901767198</v>
      </c>
      <c r="D143" s="10">
        <f t="shared" si="11"/>
        <v>12</v>
      </c>
      <c r="E143" s="3"/>
    </row>
    <row r="144" spans="1:5" ht="12" customHeight="1">
      <c r="A144" s="3">
        <v>140</v>
      </c>
      <c r="B144" s="9">
        <f t="shared" si="9"/>
        <v>365.22976500140436</v>
      </c>
      <c r="C144" s="9">
        <f t="shared" si="10"/>
        <v>685.2013765969909</v>
      </c>
      <c r="D144" s="10">
        <f t="shared" si="11"/>
        <v>12</v>
      </c>
      <c r="E144" s="3"/>
    </row>
    <row r="145" spans="1:5" ht="12" customHeight="1">
      <c r="A145" s="3">
        <v>141</v>
      </c>
      <c r="B145" s="9">
        <f t="shared" si="9"/>
        <v>366.979824292036</v>
      </c>
      <c r="C145" s="9">
        <f t="shared" si="10"/>
        <v>683.4513173063592</v>
      </c>
      <c r="D145" s="10">
        <f t="shared" si="11"/>
        <v>12</v>
      </c>
      <c r="E145" s="3"/>
    </row>
    <row r="146" spans="1:5" ht="12" customHeight="1">
      <c r="A146" s="3">
        <v>142</v>
      </c>
      <c r="B146" s="9">
        <f t="shared" si="9"/>
        <v>368.7382692834354</v>
      </c>
      <c r="C146" s="9">
        <f t="shared" si="10"/>
        <v>681.6928723149599</v>
      </c>
      <c r="D146" s="10">
        <f t="shared" si="11"/>
        <v>12</v>
      </c>
      <c r="E146" s="3"/>
    </row>
    <row r="147" spans="1:5" ht="12" customHeight="1">
      <c r="A147" s="3">
        <v>143</v>
      </c>
      <c r="B147" s="9">
        <f t="shared" si="9"/>
        <v>370.5051401570852</v>
      </c>
      <c r="C147" s="9">
        <f t="shared" si="10"/>
        <v>679.92600144131</v>
      </c>
      <c r="D147" s="10">
        <f t="shared" si="11"/>
        <v>12</v>
      </c>
      <c r="E147" s="3"/>
    </row>
    <row r="148" spans="1:5" ht="12" customHeight="1">
      <c r="A148" s="3">
        <v>144</v>
      </c>
      <c r="B148" s="9">
        <f t="shared" si="9"/>
        <v>372.2804772870045</v>
      </c>
      <c r="C148" s="9">
        <f t="shared" si="10"/>
        <v>678.1506643113909</v>
      </c>
      <c r="D148" s="10">
        <f t="shared" si="11"/>
        <v>12</v>
      </c>
      <c r="E148" s="3"/>
    </row>
    <row r="149" spans="1:5" ht="12" customHeight="1">
      <c r="A149" s="3">
        <v>145</v>
      </c>
      <c r="B149" s="9">
        <f t="shared" si="9"/>
        <v>374.0643212406714</v>
      </c>
      <c r="C149" s="9">
        <f t="shared" si="10"/>
        <v>676.3668203577239</v>
      </c>
      <c r="D149" s="10">
        <f t="shared" si="11"/>
        <v>13</v>
      </c>
      <c r="E149" s="3"/>
    </row>
    <row r="150" spans="1:5" ht="12" customHeight="1">
      <c r="A150" s="3">
        <v>146</v>
      </c>
      <c r="B150" s="9">
        <f t="shared" si="9"/>
        <v>375.8567127799497</v>
      </c>
      <c r="C150" s="9">
        <f t="shared" si="10"/>
        <v>674.5744288184457</v>
      </c>
      <c r="D150" s="10">
        <f t="shared" si="11"/>
        <v>13</v>
      </c>
      <c r="E150" s="3"/>
    </row>
    <row r="151" spans="1:5" ht="12" customHeight="1">
      <c r="A151" s="3">
        <v>147</v>
      </c>
      <c r="B151" s="9">
        <f t="shared" si="9"/>
        <v>377.6576928620202</v>
      </c>
      <c r="C151" s="9">
        <f t="shared" si="10"/>
        <v>672.773448736375</v>
      </c>
      <c r="D151" s="10">
        <f t="shared" si="11"/>
        <v>13</v>
      </c>
      <c r="E151" s="3"/>
    </row>
    <row r="152" spans="1:5" ht="12" customHeight="1">
      <c r="A152" s="3">
        <v>148</v>
      </c>
      <c r="B152" s="9">
        <f t="shared" si="9"/>
        <v>379.46730264031737</v>
      </c>
      <c r="C152" s="9">
        <f t="shared" si="10"/>
        <v>670.9638389580779</v>
      </c>
      <c r="D152" s="10">
        <f t="shared" si="11"/>
        <v>13</v>
      </c>
      <c r="E152" s="3"/>
    </row>
    <row r="153" spans="1:5" ht="12" customHeight="1">
      <c r="A153" s="3">
        <v>149</v>
      </c>
      <c r="B153" s="9">
        <f t="shared" si="9"/>
        <v>381.2855834654689</v>
      </c>
      <c r="C153" s="9">
        <f t="shared" si="10"/>
        <v>669.1455581329263</v>
      </c>
      <c r="D153" s="10">
        <f t="shared" si="11"/>
        <v>13</v>
      </c>
      <c r="E153" s="3"/>
    </row>
    <row r="154" spans="1:5" ht="12" customHeight="1">
      <c r="A154" s="3">
        <v>150</v>
      </c>
      <c r="B154" s="9">
        <f t="shared" si="9"/>
        <v>383.1125768862409</v>
      </c>
      <c r="C154" s="9">
        <f t="shared" si="10"/>
        <v>667.3185647121544</v>
      </c>
      <c r="D154" s="10">
        <f t="shared" si="11"/>
        <v>13</v>
      </c>
      <c r="E154" s="3"/>
    </row>
    <row r="155" spans="1:5" ht="12" customHeight="1">
      <c r="A155" s="3">
        <v>151</v>
      </c>
      <c r="B155" s="9">
        <f t="shared" si="9"/>
        <v>384.9483246504875</v>
      </c>
      <c r="C155" s="9">
        <f t="shared" si="10"/>
        <v>665.4828169479078</v>
      </c>
      <c r="D155" s="10">
        <f t="shared" si="11"/>
        <v>13</v>
      </c>
      <c r="E155" s="3"/>
    </row>
    <row r="156" spans="1:5" ht="12" customHeight="1">
      <c r="A156" s="3">
        <v>152</v>
      </c>
      <c r="B156" s="9">
        <f t="shared" si="9"/>
        <v>386.7928687061045</v>
      </c>
      <c r="C156" s="9">
        <f t="shared" si="10"/>
        <v>663.6382728922908</v>
      </c>
      <c r="D156" s="10">
        <f t="shared" si="11"/>
        <v>13</v>
      </c>
      <c r="E156" s="3"/>
    </row>
    <row r="157" spans="1:5" ht="12" customHeight="1">
      <c r="A157" s="3">
        <v>153</v>
      </c>
      <c r="B157" s="9">
        <f t="shared" si="9"/>
        <v>388.64625120198787</v>
      </c>
      <c r="C157" s="9">
        <f t="shared" si="10"/>
        <v>661.7848903964074</v>
      </c>
      <c r="D157" s="10">
        <f t="shared" si="11"/>
        <v>13</v>
      </c>
      <c r="E157" s="3"/>
    </row>
    <row r="158" spans="1:5" ht="12" customHeight="1">
      <c r="A158" s="3">
        <v>154</v>
      </c>
      <c r="B158" s="9">
        <f aca="true" t="shared" si="12" ref="B158:B221">PPMT(B$2/12,A158,B$3,B$1*-1)</f>
        <v>390.50851448899743</v>
      </c>
      <c r="C158" s="9">
        <f t="shared" si="10"/>
        <v>659.9226271093979</v>
      </c>
      <c r="D158" s="10">
        <f t="shared" si="11"/>
        <v>13</v>
      </c>
      <c r="E158" s="3"/>
    </row>
    <row r="159" spans="1:5" ht="12" customHeight="1">
      <c r="A159" s="3">
        <v>155</v>
      </c>
      <c r="B159" s="9">
        <f t="shared" si="12"/>
        <v>392.3797011209239</v>
      </c>
      <c r="C159" s="9">
        <f t="shared" si="10"/>
        <v>658.0514404774714</v>
      </c>
      <c r="D159" s="10">
        <f t="shared" si="11"/>
        <v>13</v>
      </c>
      <c r="E159" s="3"/>
    </row>
    <row r="160" spans="1:5" ht="12" customHeight="1">
      <c r="A160" s="3">
        <v>156</v>
      </c>
      <c r="B160" s="9">
        <f t="shared" si="12"/>
        <v>394.2598538554616</v>
      </c>
      <c r="C160" s="9">
        <f t="shared" si="10"/>
        <v>656.1712877429336</v>
      </c>
      <c r="D160" s="10">
        <f t="shared" si="11"/>
        <v>13</v>
      </c>
      <c r="E160" s="3"/>
    </row>
    <row r="161" spans="1:5" ht="12" customHeight="1">
      <c r="A161" s="3">
        <v>157</v>
      </c>
      <c r="B161" s="9">
        <f t="shared" si="12"/>
        <v>396.1490156551857</v>
      </c>
      <c r="C161" s="9">
        <f t="shared" si="10"/>
        <v>654.2821259432096</v>
      </c>
      <c r="D161" s="10">
        <f t="shared" si="11"/>
        <v>14</v>
      </c>
      <c r="E161" s="3"/>
    </row>
    <row r="162" spans="1:5" ht="12" customHeight="1">
      <c r="A162" s="3">
        <v>158</v>
      </c>
      <c r="B162" s="9">
        <f t="shared" si="12"/>
        <v>398.04722968853343</v>
      </c>
      <c r="C162" s="9">
        <f t="shared" si="10"/>
        <v>652.3839119098618</v>
      </c>
      <c r="D162" s="10">
        <f t="shared" si="11"/>
        <v>14</v>
      </c>
      <c r="E162" s="3"/>
    </row>
    <row r="163" spans="1:5" ht="12" customHeight="1">
      <c r="A163" s="3">
        <v>159</v>
      </c>
      <c r="B163" s="9">
        <f t="shared" si="12"/>
        <v>399.9545393307911</v>
      </c>
      <c r="C163" s="9">
        <f t="shared" si="10"/>
        <v>650.4766022676043</v>
      </c>
      <c r="D163" s="10">
        <f t="shared" si="11"/>
        <v>14</v>
      </c>
      <c r="E163" s="3"/>
    </row>
    <row r="164" spans="1:5" ht="12" customHeight="1">
      <c r="A164" s="3">
        <v>160</v>
      </c>
      <c r="B164" s="9">
        <f t="shared" si="12"/>
        <v>401.8709881650844</v>
      </c>
      <c r="C164" s="9">
        <f t="shared" si="10"/>
        <v>648.5601534333109</v>
      </c>
      <c r="D164" s="10">
        <f t="shared" si="11"/>
        <v>14</v>
      </c>
      <c r="E164" s="3"/>
    </row>
    <row r="165" spans="1:5" ht="12" customHeight="1">
      <c r="A165" s="3">
        <v>161</v>
      </c>
      <c r="B165" s="9">
        <f t="shared" si="12"/>
        <v>403.7966199833755</v>
      </c>
      <c r="C165" s="9">
        <f t="shared" si="10"/>
        <v>646.6345216150199</v>
      </c>
      <c r="D165" s="10">
        <f t="shared" si="11"/>
        <v>14</v>
      </c>
      <c r="E165" s="3"/>
    </row>
    <row r="166" spans="1:5" ht="12" customHeight="1">
      <c r="A166" s="3">
        <v>162</v>
      </c>
      <c r="B166" s="9">
        <f t="shared" si="12"/>
        <v>405.73147878746244</v>
      </c>
      <c r="C166" s="9">
        <f t="shared" si="10"/>
        <v>644.699662810933</v>
      </c>
      <c r="D166" s="10">
        <f t="shared" si="11"/>
        <v>14</v>
      </c>
      <c r="E166" s="3"/>
    </row>
    <row r="167" spans="1:5" ht="12" customHeight="1">
      <c r="A167" s="3">
        <v>163</v>
      </c>
      <c r="B167" s="9">
        <f t="shared" si="12"/>
        <v>407.6756087899857</v>
      </c>
      <c r="C167" s="9">
        <f t="shared" si="10"/>
        <v>642.7555328084095</v>
      </c>
      <c r="D167" s="10">
        <f t="shared" si="11"/>
        <v>14</v>
      </c>
      <c r="E167" s="3"/>
    </row>
    <row r="168" spans="1:5" ht="12" customHeight="1">
      <c r="A168" s="3">
        <v>164</v>
      </c>
      <c r="B168" s="9">
        <f t="shared" si="12"/>
        <v>409.62905441543774</v>
      </c>
      <c r="C168" s="9">
        <f t="shared" si="10"/>
        <v>640.8020871829575</v>
      </c>
      <c r="D168" s="10">
        <f t="shared" si="11"/>
        <v>14</v>
      </c>
      <c r="E168" s="3"/>
    </row>
    <row r="169" spans="1:5" ht="12" customHeight="1">
      <c r="A169" s="3">
        <v>165</v>
      </c>
      <c r="B169" s="9">
        <f t="shared" si="12"/>
        <v>411.5918603011783</v>
      </c>
      <c r="C169" s="9">
        <f t="shared" si="10"/>
        <v>638.839281297217</v>
      </c>
      <c r="D169" s="10">
        <f t="shared" si="11"/>
        <v>14</v>
      </c>
      <c r="E169" s="3"/>
    </row>
    <row r="170" spans="1:5" ht="12" customHeight="1">
      <c r="A170" s="3">
        <v>166</v>
      </c>
      <c r="B170" s="9">
        <f t="shared" si="12"/>
        <v>413.5640712984548</v>
      </c>
      <c r="C170" s="9">
        <f aca="true" t="shared" si="13" ref="C170:C233">IPMT(B$2/12,A170,B$3,B$1*-1)</f>
        <v>636.8670702999405</v>
      </c>
      <c r="D170" s="10">
        <f t="shared" si="11"/>
        <v>14</v>
      </c>
      <c r="E170" s="3"/>
    </row>
    <row r="171" spans="1:5" ht="12" customHeight="1">
      <c r="A171" s="3">
        <v>167</v>
      </c>
      <c r="B171" s="9">
        <f t="shared" si="12"/>
        <v>415.5457324734266</v>
      </c>
      <c r="C171" s="9">
        <f t="shared" si="13"/>
        <v>634.8854091249686</v>
      </c>
      <c r="D171" s="10">
        <f t="shared" si="11"/>
        <v>14</v>
      </c>
      <c r="E171" s="3"/>
    </row>
    <row r="172" spans="1:5" ht="12" customHeight="1">
      <c r="A172" s="3">
        <v>168</v>
      </c>
      <c r="B172" s="9">
        <f t="shared" si="12"/>
        <v>417.53688910819506</v>
      </c>
      <c r="C172" s="9">
        <f t="shared" si="13"/>
        <v>632.8942524902001</v>
      </c>
      <c r="D172" s="10">
        <f t="shared" si="11"/>
        <v>14</v>
      </c>
      <c r="E172" s="3"/>
    </row>
    <row r="173" spans="1:5" ht="12" customHeight="1">
      <c r="A173" s="3">
        <v>169</v>
      </c>
      <c r="B173" s="9">
        <f t="shared" si="12"/>
        <v>419.5375867018385</v>
      </c>
      <c r="C173" s="9">
        <f t="shared" si="13"/>
        <v>630.8935548965568</v>
      </c>
      <c r="D173" s="10">
        <f t="shared" si="11"/>
        <v>15</v>
      </c>
      <c r="E173" s="3"/>
    </row>
    <row r="174" spans="1:5" ht="12" customHeight="1">
      <c r="A174" s="3">
        <v>170</v>
      </c>
      <c r="B174" s="9">
        <f t="shared" si="12"/>
        <v>421.5478709714515</v>
      </c>
      <c r="C174" s="9">
        <f t="shared" si="13"/>
        <v>628.8832706269438</v>
      </c>
      <c r="D174" s="10">
        <f t="shared" si="11"/>
        <v>15</v>
      </c>
      <c r="E174" s="3"/>
    </row>
    <row r="175" spans="1:5" ht="12" customHeight="1">
      <c r="A175" s="3">
        <v>171</v>
      </c>
      <c r="B175" s="9">
        <f t="shared" si="12"/>
        <v>423.5677878531897</v>
      </c>
      <c r="C175" s="9">
        <f t="shared" si="13"/>
        <v>626.8633537452056</v>
      </c>
      <c r="D175" s="10">
        <f t="shared" si="11"/>
        <v>15</v>
      </c>
      <c r="E175" s="3"/>
    </row>
    <row r="176" spans="1:5" ht="12" customHeight="1">
      <c r="A176" s="3">
        <v>172</v>
      </c>
      <c r="B176" s="9">
        <f t="shared" si="12"/>
        <v>425.5973835033196</v>
      </c>
      <c r="C176" s="9">
        <f t="shared" si="13"/>
        <v>624.8337580950757</v>
      </c>
      <c r="D176" s="10">
        <f t="shared" si="11"/>
        <v>15</v>
      </c>
      <c r="E176" s="3"/>
    </row>
    <row r="177" spans="1:5" ht="12" customHeight="1">
      <c r="A177" s="3">
        <v>173</v>
      </c>
      <c r="B177" s="9">
        <f t="shared" si="12"/>
        <v>427.636704299273</v>
      </c>
      <c r="C177" s="9">
        <f t="shared" si="13"/>
        <v>622.7944372991223</v>
      </c>
      <c r="D177" s="10">
        <f t="shared" si="11"/>
        <v>15</v>
      </c>
      <c r="E177" s="3"/>
    </row>
    <row r="178" spans="1:5" ht="12" customHeight="1">
      <c r="A178" s="3">
        <v>174</v>
      </c>
      <c r="B178" s="9">
        <f t="shared" si="12"/>
        <v>429.68579684070704</v>
      </c>
      <c r="C178" s="9">
        <f t="shared" si="13"/>
        <v>620.7453447576884</v>
      </c>
      <c r="D178" s="10">
        <f t="shared" si="11"/>
        <v>15</v>
      </c>
      <c r="E178" s="3"/>
    </row>
    <row r="179" spans="1:5" ht="12" customHeight="1">
      <c r="A179" s="3">
        <v>175</v>
      </c>
      <c r="B179" s="9">
        <f t="shared" si="12"/>
        <v>431.7447079505688</v>
      </c>
      <c r="C179" s="9">
        <f t="shared" si="13"/>
        <v>618.6864336478266</v>
      </c>
      <c r="D179" s="10">
        <f t="shared" si="11"/>
        <v>15</v>
      </c>
      <c r="E179" s="3"/>
    </row>
    <row r="180" spans="1:5" ht="12" customHeight="1">
      <c r="A180" s="3">
        <v>176</v>
      </c>
      <c r="B180" s="9">
        <f t="shared" si="12"/>
        <v>433.81348467616516</v>
      </c>
      <c r="C180" s="9">
        <f t="shared" si="13"/>
        <v>616.6176569222299</v>
      </c>
      <c r="D180" s="10">
        <f t="shared" si="11"/>
        <v>15</v>
      </c>
      <c r="E180" s="3"/>
    </row>
    <row r="181" spans="1:5" ht="12" customHeight="1">
      <c r="A181" s="3">
        <v>177</v>
      </c>
      <c r="B181" s="9">
        <f t="shared" si="12"/>
        <v>435.8921742902385</v>
      </c>
      <c r="C181" s="9">
        <f t="shared" si="13"/>
        <v>614.5389673081569</v>
      </c>
      <c r="D181" s="10">
        <f t="shared" si="11"/>
        <v>15</v>
      </c>
      <c r="E181" s="3"/>
    </row>
    <row r="182" spans="1:5" ht="12" customHeight="1">
      <c r="A182" s="3">
        <v>178</v>
      </c>
      <c r="B182" s="9">
        <f t="shared" si="12"/>
        <v>437.9808242920459</v>
      </c>
      <c r="C182" s="9">
        <f t="shared" si="13"/>
        <v>612.4503173063495</v>
      </c>
      <c r="D182" s="10">
        <f t="shared" si="11"/>
        <v>15</v>
      </c>
      <c r="E182" s="3"/>
    </row>
    <row r="183" spans="1:5" ht="12" customHeight="1">
      <c r="A183" s="3">
        <v>179</v>
      </c>
      <c r="B183" s="9">
        <f t="shared" si="12"/>
        <v>440.07948240844524</v>
      </c>
      <c r="C183" s="9">
        <f t="shared" si="13"/>
        <v>610.35165918995</v>
      </c>
      <c r="D183" s="10">
        <f t="shared" si="11"/>
        <v>15</v>
      </c>
      <c r="E183" s="3"/>
    </row>
    <row r="184" spans="1:5" ht="12" customHeight="1">
      <c r="A184" s="3">
        <v>180</v>
      </c>
      <c r="B184" s="9">
        <f t="shared" si="12"/>
        <v>442.18819659498575</v>
      </c>
      <c r="C184" s="9">
        <f t="shared" si="13"/>
        <v>608.2429450034094</v>
      </c>
      <c r="D184" s="10">
        <f t="shared" si="11"/>
        <v>15</v>
      </c>
      <c r="E184" s="3"/>
    </row>
    <row r="185" spans="1:5" ht="12" customHeight="1">
      <c r="A185" s="3">
        <v>181</v>
      </c>
      <c r="B185" s="9">
        <f t="shared" si="12"/>
        <v>444.3070150370034</v>
      </c>
      <c r="C185" s="9">
        <f t="shared" si="13"/>
        <v>606.1241265613919</v>
      </c>
      <c r="D185" s="10">
        <f t="shared" si="11"/>
        <v>16</v>
      </c>
      <c r="E185" s="3"/>
    </row>
    <row r="186" spans="1:5" ht="12" customHeight="1">
      <c r="A186" s="3">
        <v>182</v>
      </c>
      <c r="B186" s="9">
        <f t="shared" si="12"/>
        <v>446.43598615072233</v>
      </c>
      <c r="C186" s="9">
        <f t="shared" si="13"/>
        <v>603.9951554476729</v>
      </c>
      <c r="D186" s="10">
        <f t="shared" si="11"/>
        <v>16</v>
      </c>
      <c r="E186" s="3"/>
    </row>
    <row r="187" spans="1:5" ht="12" customHeight="1">
      <c r="A187" s="3">
        <v>183</v>
      </c>
      <c r="B187" s="9">
        <f t="shared" si="12"/>
        <v>448.5751585843612</v>
      </c>
      <c r="C187" s="9">
        <f t="shared" si="13"/>
        <v>601.8559830140341</v>
      </c>
      <c r="D187" s="10">
        <f t="shared" si="11"/>
        <v>16</v>
      </c>
      <c r="E187" s="3"/>
    </row>
    <row r="188" spans="1:5" ht="12" customHeight="1">
      <c r="A188" s="3">
        <v>184</v>
      </c>
      <c r="B188" s="9">
        <f t="shared" si="12"/>
        <v>450.72458121924467</v>
      </c>
      <c r="C188" s="9">
        <f t="shared" si="13"/>
        <v>599.7065603791507</v>
      </c>
      <c r="D188" s="10">
        <f t="shared" si="11"/>
        <v>16</v>
      </c>
      <c r="E188" s="3"/>
    </row>
    <row r="189" spans="1:5" ht="12" customHeight="1">
      <c r="A189" s="3">
        <v>185</v>
      </c>
      <c r="B189" s="9">
        <f t="shared" si="12"/>
        <v>452.88430317092013</v>
      </c>
      <c r="C189" s="9">
        <f t="shared" si="13"/>
        <v>597.5468384274751</v>
      </c>
      <c r="D189" s="10">
        <f t="shared" si="11"/>
        <v>16</v>
      </c>
      <c r="E189" s="3"/>
    </row>
    <row r="190" spans="1:5" ht="12" customHeight="1">
      <c r="A190" s="3">
        <v>186</v>
      </c>
      <c r="B190" s="9">
        <f t="shared" si="12"/>
        <v>455.05437379028075</v>
      </c>
      <c r="C190" s="9">
        <f t="shared" si="13"/>
        <v>595.3767678081146</v>
      </c>
      <c r="D190" s="10">
        <f t="shared" si="11"/>
        <v>16</v>
      </c>
      <c r="E190" s="3"/>
    </row>
    <row r="191" spans="1:5" ht="12" customHeight="1">
      <c r="A191" s="3">
        <v>187</v>
      </c>
      <c r="B191" s="9">
        <f t="shared" si="12"/>
        <v>457.23484266469256</v>
      </c>
      <c r="C191" s="9">
        <f t="shared" si="13"/>
        <v>593.1962989337027</v>
      </c>
      <c r="D191" s="10">
        <f t="shared" si="11"/>
        <v>16</v>
      </c>
      <c r="E191" s="3"/>
    </row>
    <row r="192" spans="1:5" ht="12" customHeight="1">
      <c r="A192" s="3">
        <v>188</v>
      </c>
      <c r="B192" s="9">
        <f t="shared" si="12"/>
        <v>459.4257596191276</v>
      </c>
      <c r="C192" s="9">
        <f t="shared" si="13"/>
        <v>591.0053819792677</v>
      </c>
      <c r="D192" s="10">
        <f t="shared" si="11"/>
        <v>16</v>
      </c>
      <c r="E192" s="3"/>
    </row>
    <row r="193" spans="1:5" ht="12" customHeight="1">
      <c r="A193" s="3">
        <v>189</v>
      </c>
      <c r="B193" s="9">
        <f t="shared" si="12"/>
        <v>461.6271747173026</v>
      </c>
      <c r="C193" s="9">
        <f t="shared" si="13"/>
        <v>588.8039668810927</v>
      </c>
      <c r="D193" s="10">
        <f t="shared" si="11"/>
        <v>16</v>
      </c>
      <c r="E193" s="3"/>
    </row>
    <row r="194" spans="1:5" ht="12" customHeight="1">
      <c r="A194" s="3">
        <v>190</v>
      </c>
      <c r="B194" s="9">
        <f t="shared" si="12"/>
        <v>463.83913826282304</v>
      </c>
      <c r="C194" s="9">
        <f t="shared" si="13"/>
        <v>586.5920033355723</v>
      </c>
      <c r="D194" s="10">
        <f t="shared" si="11"/>
        <v>16</v>
      </c>
      <c r="E194" s="3"/>
    </row>
    <row r="195" spans="1:5" ht="12" customHeight="1">
      <c r="A195" s="3">
        <v>191</v>
      </c>
      <c r="B195" s="9">
        <f t="shared" si="12"/>
        <v>466.0617008003323</v>
      </c>
      <c r="C195" s="9">
        <f t="shared" si="13"/>
        <v>584.369440798063</v>
      </c>
      <c r="D195" s="10">
        <f t="shared" si="11"/>
        <v>16</v>
      </c>
      <c r="E195" s="3"/>
    </row>
    <row r="196" spans="1:5" ht="12" customHeight="1">
      <c r="A196" s="3">
        <v>192</v>
      </c>
      <c r="B196" s="9">
        <f t="shared" si="12"/>
        <v>468.2949131166673</v>
      </c>
      <c r="C196" s="9">
        <f t="shared" si="13"/>
        <v>582.136228481728</v>
      </c>
      <c r="D196" s="10">
        <f t="shared" si="11"/>
        <v>16</v>
      </c>
      <c r="E196" s="3"/>
    </row>
    <row r="197" spans="1:5" ht="12" customHeight="1">
      <c r="A197" s="3">
        <v>193</v>
      </c>
      <c r="B197" s="9">
        <f t="shared" si="12"/>
        <v>470.538826242018</v>
      </c>
      <c r="C197" s="9">
        <f t="shared" si="13"/>
        <v>579.8923153563773</v>
      </c>
      <c r="D197" s="10">
        <f t="shared" si="11"/>
        <v>17</v>
      </c>
      <c r="E197" s="3"/>
    </row>
    <row r="198" spans="1:5" ht="12" customHeight="1">
      <c r="A198" s="3">
        <v>194</v>
      </c>
      <c r="B198" s="9">
        <f t="shared" si="12"/>
        <v>472.7934914510943</v>
      </c>
      <c r="C198" s="9">
        <f t="shared" si="13"/>
        <v>577.637650147301</v>
      </c>
      <c r="D198" s="10">
        <f t="shared" si="11"/>
        <v>17</v>
      </c>
      <c r="E198" s="3"/>
    </row>
    <row r="199" spans="1:5" ht="12" customHeight="1">
      <c r="A199" s="3">
        <v>195</v>
      </c>
      <c r="B199" s="9">
        <f t="shared" si="12"/>
        <v>475.0589602642974</v>
      </c>
      <c r="C199" s="9">
        <f t="shared" si="13"/>
        <v>575.3721813340978</v>
      </c>
      <c r="D199" s="10">
        <f aca="true" t="shared" si="14" ref="D199:D262">ROUNDUP(A199/12,0)</f>
        <v>17</v>
      </c>
      <c r="E199" s="3"/>
    </row>
    <row r="200" spans="1:5" ht="12" customHeight="1">
      <c r="A200" s="3">
        <v>196</v>
      </c>
      <c r="B200" s="9">
        <f t="shared" si="12"/>
        <v>477.3352844488972</v>
      </c>
      <c r="C200" s="9">
        <f t="shared" si="13"/>
        <v>573.095857149498</v>
      </c>
      <c r="D200" s="10">
        <f t="shared" si="14"/>
        <v>17</v>
      </c>
      <c r="E200" s="3"/>
    </row>
    <row r="201" spans="1:5" ht="12" customHeight="1">
      <c r="A201" s="3">
        <v>197</v>
      </c>
      <c r="B201" s="9">
        <f t="shared" si="12"/>
        <v>479.62251602021485</v>
      </c>
      <c r="C201" s="9">
        <f t="shared" si="13"/>
        <v>570.8086255781805</v>
      </c>
      <c r="D201" s="10">
        <f t="shared" si="14"/>
        <v>17</v>
      </c>
      <c r="E201" s="3"/>
    </row>
    <row r="202" spans="1:5" ht="12" customHeight="1">
      <c r="A202" s="3">
        <v>198</v>
      </c>
      <c r="B202" s="9">
        <f t="shared" si="12"/>
        <v>481.9207072428117</v>
      </c>
      <c r="C202" s="9">
        <f t="shared" si="13"/>
        <v>568.5104343555836</v>
      </c>
      <c r="D202" s="10">
        <f t="shared" si="14"/>
        <v>17</v>
      </c>
      <c r="E202" s="3"/>
    </row>
    <row r="203" spans="1:5" ht="12" customHeight="1">
      <c r="A203" s="3">
        <v>199</v>
      </c>
      <c r="B203" s="9">
        <f t="shared" si="12"/>
        <v>484.22991063168354</v>
      </c>
      <c r="C203" s="9">
        <f t="shared" si="13"/>
        <v>566.2012309667118</v>
      </c>
      <c r="D203" s="10">
        <f t="shared" si="14"/>
        <v>17</v>
      </c>
      <c r="E203" s="3"/>
    </row>
    <row r="204" spans="1:5" ht="12" customHeight="1">
      <c r="A204" s="3">
        <v>200</v>
      </c>
      <c r="B204" s="9">
        <f t="shared" si="12"/>
        <v>486.5501789534603</v>
      </c>
      <c r="C204" s="9">
        <f t="shared" si="13"/>
        <v>563.8809626449349</v>
      </c>
      <c r="D204" s="10">
        <f t="shared" si="14"/>
        <v>17</v>
      </c>
      <c r="E204" s="3"/>
    </row>
    <row r="205" spans="1:5" ht="12" customHeight="1">
      <c r="A205" s="3">
        <v>201</v>
      </c>
      <c r="B205" s="9">
        <f t="shared" si="12"/>
        <v>488.8815652276123</v>
      </c>
      <c r="C205" s="9">
        <f t="shared" si="13"/>
        <v>561.5495763707829</v>
      </c>
      <c r="D205" s="10">
        <f t="shared" si="14"/>
        <v>17</v>
      </c>
      <c r="E205" s="3"/>
    </row>
    <row r="206" spans="1:5" ht="12" customHeight="1">
      <c r="A206" s="3">
        <v>202</v>
      </c>
      <c r="B206" s="9">
        <f t="shared" si="12"/>
        <v>491.2241227276613</v>
      </c>
      <c r="C206" s="9">
        <f t="shared" si="13"/>
        <v>559.2070188707339</v>
      </c>
      <c r="D206" s="10">
        <f t="shared" si="14"/>
        <v>17</v>
      </c>
      <c r="E206" s="3"/>
    </row>
    <row r="207" spans="1:5" ht="12" customHeight="1">
      <c r="A207" s="3">
        <v>203</v>
      </c>
      <c r="B207" s="9">
        <f t="shared" si="12"/>
        <v>493.577904982398</v>
      </c>
      <c r="C207" s="9">
        <f t="shared" si="13"/>
        <v>556.8532366159973</v>
      </c>
      <c r="D207" s="10">
        <f t="shared" si="14"/>
        <v>17</v>
      </c>
      <c r="E207" s="3"/>
    </row>
    <row r="208" spans="1:5" ht="12" customHeight="1">
      <c r="A208" s="3">
        <v>204</v>
      </c>
      <c r="B208" s="9">
        <f t="shared" si="12"/>
        <v>495.94296577710537</v>
      </c>
      <c r="C208" s="9">
        <f t="shared" si="13"/>
        <v>554.4881758212899</v>
      </c>
      <c r="D208" s="10">
        <f t="shared" si="14"/>
        <v>17</v>
      </c>
      <c r="E208" s="3"/>
    </row>
    <row r="209" spans="1:5" ht="12" customHeight="1">
      <c r="A209" s="3">
        <v>205</v>
      </c>
      <c r="B209" s="9">
        <f t="shared" si="12"/>
        <v>498.3193591547873</v>
      </c>
      <c r="C209" s="9">
        <f t="shared" si="13"/>
        <v>552.111782443608</v>
      </c>
      <c r="D209" s="10">
        <f t="shared" si="14"/>
        <v>18</v>
      </c>
      <c r="E209" s="3"/>
    </row>
    <row r="210" spans="1:5" ht="12" customHeight="1">
      <c r="A210" s="3">
        <v>206</v>
      </c>
      <c r="B210" s="9">
        <f t="shared" si="12"/>
        <v>500.707139417404</v>
      </c>
      <c r="C210" s="9">
        <f t="shared" si="13"/>
        <v>549.7240021809913</v>
      </c>
      <c r="D210" s="10">
        <f t="shared" si="14"/>
        <v>18</v>
      </c>
      <c r="E210" s="3"/>
    </row>
    <row r="211" spans="1:5" ht="12" customHeight="1">
      <c r="A211" s="3">
        <v>207</v>
      </c>
      <c r="B211" s="9">
        <f t="shared" si="12"/>
        <v>503.1063611271124</v>
      </c>
      <c r="C211" s="9">
        <f t="shared" si="13"/>
        <v>547.3247804712829</v>
      </c>
      <c r="D211" s="10">
        <f t="shared" si="14"/>
        <v>18</v>
      </c>
      <c r="E211" s="3"/>
    </row>
    <row r="212" spans="1:5" ht="12" customHeight="1">
      <c r="A212" s="3">
        <v>208</v>
      </c>
      <c r="B212" s="9">
        <f t="shared" si="12"/>
        <v>505.5170791075131</v>
      </c>
      <c r="C212" s="9">
        <f t="shared" si="13"/>
        <v>544.9140624908821</v>
      </c>
      <c r="D212" s="10">
        <f t="shared" si="14"/>
        <v>18</v>
      </c>
      <c r="E212" s="3"/>
    </row>
    <row r="213" spans="1:5" ht="12" customHeight="1">
      <c r="A213" s="3">
        <v>209</v>
      </c>
      <c r="B213" s="9">
        <f t="shared" si="12"/>
        <v>507.9393484449033</v>
      </c>
      <c r="C213" s="9">
        <f t="shared" si="13"/>
        <v>542.4917931534919</v>
      </c>
      <c r="D213" s="10">
        <f t="shared" si="14"/>
        <v>18</v>
      </c>
      <c r="E213" s="3"/>
    </row>
    <row r="214" spans="1:5" ht="12" customHeight="1">
      <c r="A214" s="3">
        <v>210</v>
      </c>
      <c r="B214" s="9">
        <f t="shared" si="12"/>
        <v>510.3732244895351</v>
      </c>
      <c r="C214" s="9">
        <f t="shared" si="13"/>
        <v>540.0579171088602</v>
      </c>
      <c r="D214" s="10">
        <f t="shared" si="14"/>
        <v>18</v>
      </c>
      <c r="E214" s="3"/>
    </row>
    <row r="215" spans="1:5" ht="12" customHeight="1">
      <c r="A215" s="3">
        <v>211</v>
      </c>
      <c r="B215" s="9">
        <f t="shared" si="12"/>
        <v>512.8187628568808</v>
      </c>
      <c r="C215" s="9">
        <f t="shared" si="13"/>
        <v>537.6123787415145</v>
      </c>
      <c r="D215" s="10">
        <f t="shared" si="14"/>
        <v>18</v>
      </c>
      <c r="E215" s="3"/>
    </row>
    <row r="216" spans="1:5" ht="12" customHeight="1">
      <c r="A216" s="3">
        <v>212</v>
      </c>
      <c r="B216" s="9">
        <f t="shared" si="12"/>
        <v>515.2760194289034</v>
      </c>
      <c r="C216" s="9">
        <f t="shared" si="13"/>
        <v>535.1551221694918</v>
      </c>
      <c r="D216" s="10">
        <f t="shared" si="14"/>
        <v>18</v>
      </c>
      <c r="E216" s="3"/>
    </row>
    <row r="217" spans="1:5" ht="12" customHeight="1">
      <c r="A217" s="3">
        <v>213</v>
      </c>
      <c r="B217" s="9">
        <f t="shared" si="12"/>
        <v>517.7450503553335</v>
      </c>
      <c r="C217" s="9">
        <f t="shared" si="13"/>
        <v>532.6860912430617</v>
      </c>
      <c r="D217" s="10">
        <f t="shared" si="14"/>
        <v>18</v>
      </c>
      <c r="E217" s="3"/>
    </row>
    <row r="218" spans="1:5" ht="12" customHeight="1">
      <c r="A218" s="3">
        <v>214</v>
      </c>
      <c r="B218" s="9">
        <f t="shared" si="12"/>
        <v>520.2259120549528</v>
      </c>
      <c r="C218" s="9">
        <f t="shared" si="13"/>
        <v>530.2052295434424</v>
      </c>
      <c r="D218" s="10">
        <f t="shared" si="14"/>
        <v>18</v>
      </c>
      <c r="E218" s="3"/>
    </row>
    <row r="219" spans="1:5" ht="12" customHeight="1">
      <c r="A219" s="3">
        <v>215</v>
      </c>
      <c r="B219" s="9">
        <f t="shared" si="12"/>
        <v>522.7186612168828</v>
      </c>
      <c r="C219" s="9">
        <f t="shared" si="13"/>
        <v>527.7124803815125</v>
      </c>
      <c r="D219" s="10">
        <f t="shared" si="14"/>
        <v>18</v>
      </c>
      <c r="E219" s="3"/>
    </row>
    <row r="220" spans="1:5" ht="12" customHeight="1">
      <c r="A220" s="3">
        <v>216</v>
      </c>
      <c r="B220" s="9">
        <f t="shared" si="12"/>
        <v>525.2233548018804</v>
      </c>
      <c r="C220" s="9">
        <f t="shared" si="13"/>
        <v>525.2077867965149</v>
      </c>
      <c r="D220" s="10">
        <f t="shared" si="14"/>
        <v>18</v>
      </c>
      <c r="E220" s="3"/>
    </row>
    <row r="221" spans="1:5" ht="12" customHeight="1">
      <c r="A221" s="3">
        <v>217</v>
      </c>
      <c r="B221" s="9">
        <f t="shared" si="12"/>
        <v>527.7400500436394</v>
      </c>
      <c r="C221" s="9">
        <f t="shared" si="13"/>
        <v>522.6910915547559</v>
      </c>
      <c r="D221" s="10">
        <f t="shared" si="14"/>
        <v>19</v>
      </c>
      <c r="E221" s="3"/>
    </row>
    <row r="222" spans="1:5" ht="12" customHeight="1">
      <c r="A222" s="3">
        <v>218</v>
      </c>
      <c r="B222" s="9">
        <f aca="true" t="shared" si="15" ref="B222:B285">PPMT(B$2/12,A222,B$3,B$1*-1)</f>
        <v>530.2688044500985</v>
      </c>
      <c r="C222" s="9">
        <f t="shared" si="13"/>
        <v>520.1623371482968</v>
      </c>
      <c r="D222" s="10">
        <f t="shared" si="14"/>
        <v>19</v>
      </c>
      <c r="E222" s="3"/>
    </row>
    <row r="223" spans="1:5" ht="12" customHeight="1">
      <c r="A223" s="3">
        <v>219</v>
      </c>
      <c r="B223" s="9">
        <f t="shared" si="15"/>
        <v>532.8096758047552</v>
      </c>
      <c r="C223" s="9">
        <f t="shared" si="13"/>
        <v>517.62146579364</v>
      </c>
      <c r="D223" s="10">
        <f t="shared" si="14"/>
        <v>19</v>
      </c>
      <c r="E223" s="3"/>
    </row>
    <row r="224" spans="1:5" ht="12" customHeight="1">
      <c r="A224" s="3">
        <v>220</v>
      </c>
      <c r="B224" s="9">
        <f t="shared" si="15"/>
        <v>535.3627221679862</v>
      </c>
      <c r="C224" s="9">
        <f t="shared" si="13"/>
        <v>515.0684194304089</v>
      </c>
      <c r="D224" s="10">
        <f t="shared" si="14"/>
        <v>19</v>
      </c>
      <c r="E224" s="3"/>
    </row>
    <row r="225" spans="1:5" ht="12" customHeight="1">
      <c r="A225" s="3">
        <v>221</v>
      </c>
      <c r="B225" s="9">
        <f t="shared" si="15"/>
        <v>537.9280018783746</v>
      </c>
      <c r="C225" s="9">
        <f t="shared" si="13"/>
        <v>512.5031397200207</v>
      </c>
      <c r="D225" s="10">
        <f t="shared" si="14"/>
        <v>19</v>
      </c>
      <c r="E225" s="3"/>
    </row>
    <row r="226" spans="1:5" ht="12" customHeight="1">
      <c r="A226" s="3">
        <v>222</v>
      </c>
      <c r="B226" s="9">
        <f t="shared" si="15"/>
        <v>540.5055735540418</v>
      </c>
      <c r="C226" s="9">
        <f t="shared" si="13"/>
        <v>509.9255680443535</v>
      </c>
      <c r="D226" s="10">
        <f t="shared" si="14"/>
        <v>19</v>
      </c>
      <c r="E226" s="3"/>
    </row>
    <row r="227" spans="1:5" ht="12" customHeight="1">
      <c r="A227" s="3">
        <v>223</v>
      </c>
      <c r="B227" s="9">
        <f t="shared" si="15"/>
        <v>543.0954960939883</v>
      </c>
      <c r="C227" s="9">
        <f t="shared" si="13"/>
        <v>507.33564550440707</v>
      </c>
      <c r="D227" s="10">
        <f t="shared" si="14"/>
        <v>19</v>
      </c>
      <c r="E227" s="3"/>
    </row>
    <row r="228" spans="1:5" ht="12" customHeight="1">
      <c r="A228" s="3">
        <v>224</v>
      </c>
      <c r="B228" s="9">
        <f t="shared" si="15"/>
        <v>545.6978286794387</v>
      </c>
      <c r="C228" s="9">
        <f t="shared" si="13"/>
        <v>504.7333129189566</v>
      </c>
      <c r="D228" s="10">
        <f t="shared" si="14"/>
        <v>19</v>
      </c>
      <c r="E228" s="3"/>
    </row>
    <row r="229" spans="1:5" ht="12" customHeight="1">
      <c r="A229" s="3">
        <v>225</v>
      </c>
      <c r="B229" s="9">
        <f t="shared" si="15"/>
        <v>548.3126307751943</v>
      </c>
      <c r="C229" s="9">
        <f t="shared" si="13"/>
        <v>502.118510823201</v>
      </c>
      <c r="D229" s="10">
        <f t="shared" si="14"/>
        <v>19</v>
      </c>
      <c r="E229" s="3"/>
    </row>
    <row r="230" spans="1:5" ht="12" customHeight="1">
      <c r="A230" s="3">
        <v>226</v>
      </c>
      <c r="B230" s="9">
        <f t="shared" si="15"/>
        <v>550.9399621309921</v>
      </c>
      <c r="C230" s="9">
        <f t="shared" si="13"/>
        <v>499.4911794674032</v>
      </c>
      <c r="D230" s="10">
        <f t="shared" si="14"/>
        <v>19</v>
      </c>
      <c r="E230" s="3"/>
    </row>
    <row r="231" spans="1:5" ht="12" customHeight="1">
      <c r="A231" s="3">
        <v>227</v>
      </c>
      <c r="B231" s="9">
        <f t="shared" si="15"/>
        <v>553.5798827828697</v>
      </c>
      <c r="C231" s="9">
        <f t="shared" si="13"/>
        <v>496.85125881552557</v>
      </c>
      <c r="D231" s="10">
        <f t="shared" si="14"/>
        <v>19</v>
      </c>
      <c r="E231" s="3"/>
    </row>
    <row r="232" spans="1:5" ht="12" customHeight="1">
      <c r="A232" s="3">
        <v>228</v>
      </c>
      <c r="B232" s="9">
        <f t="shared" si="15"/>
        <v>556.2324530545377</v>
      </c>
      <c r="C232" s="9">
        <f t="shared" si="13"/>
        <v>494.1986885438577</v>
      </c>
      <c r="D232" s="10">
        <f t="shared" si="14"/>
        <v>19</v>
      </c>
      <c r="E232" s="3"/>
    </row>
    <row r="233" spans="1:5" ht="12" customHeight="1">
      <c r="A233" s="3">
        <v>229</v>
      </c>
      <c r="B233" s="9">
        <f t="shared" si="15"/>
        <v>558.8977335587573</v>
      </c>
      <c r="C233" s="9">
        <f t="shared" si="13"/>
        <v>491.5334080396379</v>
      </c>
      <c r="D233" s="10">
        <f t="shared" si="14"/>
        <v>20</v>
      </c>
      <c r="E233" s="3"/>
    </row>
    <row r="234" spans="1:5" ht="12" customHeight="1">
      <c r="A234" s="3">
        <v>230</v>
      </c>
      <c r="B234" s="9">
        <f t="shared" si="15"/>
        <v>561.5757851987264</v>
      </c>
      <c r="C234" s="9">
        <f aca="true" t="shared" si="16" ref="C234:C297">IPMT(B$2/12,A234,B$3,B$1*-1)</f>
        <v>488.85535639966895</v>
      </c>
      <c r="D234" s="10">
        <f t="shared" si="14"/>
        <v>20</v>
      </c>
      <c r="E234" s="3"/>
    </row>
    <row r="235" spans="1:5" ht="12" customHeight="1">
      <c r="A235" s="3">
        <v>231</v>
      </c>
      <c r="B235" s="9">
        <f t="shared" si="15"/>
        <v>564.2666691694702</v>
      </c>
      <c r="C235" s="9">
        <f t="shared" si="16"/>
        <v>486.16447242892497</v>
      </c>
      <c r="D235" s="10">
        <f t="shared" si="14"/>
        <v>20</v>
      </c>
      <c r="E235" s="3"/>
    </row>
    <row r="236" spans="1:5" ht="12" customHeight="1">
      <c r="A236" s="3">
        <v>232</v>
      </c>
      <c r="B236" s="9">
        <f t="shared" si="15"/>
        <v>566.9704469592408</v>
      </c>
      <c r="C236" s="9">
        <f t="shared" si="16"/>
        <v>483.4606946391546</v>
      </c>
      <c r="D236" s="10">
        <f t="shared" si="14"/>
        <v>20</v>
      </c>
      <c r="E236" s="3"/>
    </row>
    <row r="237" spans="1:5" ht="12" customHeight="1">
      <c r="A237" s="3">
        <v>233</v>
      </c>
      <c r="B237" s="9">
        <f t="shared" si="15"/>
        <v>569.6871803509204</v>
      </c>
      <c r="C237" s="9">
        <f t="shared" si="16"/>
        <v>480.74396124747494</v>
      </c>
      <c r="D237" s="10">
        <f t="shared" si="14"/>
        <v>20</v>
      </c>
      <c r="E237" s="3"/>
    </row>
    <row r="238" spans="1:5" ht="12" customHeight="1">
      <c r="A238" s="3">
        <v>234</v>
      </c>
      <c r="B238" s="9">
        <f t="shared" si="15"/>
        <v>572.4169314234351</v>
      </c>
      <c r="C238" s="9">
        <f t="shared" si="16"/>
        <v>478.0142101749601</v>
      </c>
      <c r="D238" s="10">
        <f t="shared" si="14"/>
        <v>20</v>
      </c>
      <c r="E238" s="3"/>
    </row>
    <row r="239" spans="1:5" ht="12" customHeight="1">
      <c r="A239" s="3">
        <v>235</v>
      </c>
      <c r="B239" s="9">
        <f t="shared" si="15"/>
        <v>575.1597625531724</v>
      </c>
      <c r="C239" s="9">
        <f t="shared" si="16"/>
        <v>475.2713790452228</v>
      </c>
      <c r="D239" s="10">
        <f t="shared" si="14"/>
        <v>20</v>
      </c>
      <c r="E239" s="3"/>
    </row>
    <row r="240" spans="1:5" ht="12" customHeight="1">
      <c r="A240" s="3">
        <v>236</v>
      </c>
      <c r="B240" s="9">
        <f t="shared" si="15"/>
        <v>577.9157364154065</v>
      </c>
      <c r="C240" s="9">
        <f t="shared" si="16"/>
        <v>472.5154051829889</v>
      </c>
      <c r="D240" s="10">
        <f t="shared" si="14"/>
        <v>20</v>
      </c>
      <c r="E240" s="3"/>
    </row>
    <row r="241" spans="1:5" ht="12" customHeight="1">
      <c r="A241" s="3">
        <v>237</v>
      </c>
      <c r="B241" s="9">
        <f t="shared" si="15"/>
        <v>580.6849159857302</v>
      </c>
      <c r="C241" s="9">
        <f t="shared" si="16"/>
        <v>469.74622561266506</v>
      </c>
      <c r="D241" s="10">
        <f t="shared" si="14"/>
        <v>20</v>
      </c>
      <c r="E241" s="3"/>
    </row>
    <row r="242" spans="1:5" ht="12" customHeight="1">
      <c r="A242" s="3">
        <v>238</v>
      </c>
      <c r="B242" s="9">
        <f t="shared" si="15"/>
        <v>583.4673645414952</v>
      </c>
      <c r="C242" s="9">
        <f t="shared" si="16"/>
        <v>466.9637770569</v>
      </c>
      <c r="D242" s="10">
        <f t="shared" si="14"/>
        <v>20</v>
      </c>
      <c r="E242" s="3"/>
    </row>
    <row r="243" spans="1:5" ht="12" customHeight="1">
      <c r="A243" s="3">
        <v>239</v>
      </c>
      <c r="B243" s="9">
        <f t="shared" si="15"/>
        <v>586.2631456632565</v>
      </c>
      <c r="C243" s="9">
        <f t="shared" si="16"/>
        <v>464.1679959351388</v>
      </c>
      <c r="D243" s="10">
        <f t="shared" si="14"/>
        <v>20</v>
      </c>
      <c r="E243" s="3"/>
    </row>
    <row r="244" spans="1:5" ht="12" customHeight="1">
      <c r="A244" s="3">
        <v>240</v>
      </c>
      <c r="B244" s="9">
        <f t="shared" si="15"/>
        <v>589.0723232362263</v>
      </c>
      <c r="C244" s="9">
        <f t="shared" si="16"/>
        <v>461.3588183621691</v>
      </c>
      <c r="D244" s="10">
        <f t="shared" si="14"/>
        <v>20</v>
      </c>
      <c r="E244" s="3"/>
    </row>
    <row r="245" spans="1:5" ht="12" customHeight="1">
      <c r="A245" s="3">
        <v>241</v>
      </c>
      <c r="B245" s="9">
        <f t="shared" si="15"/>
        <v>591.8949614517333</v>
      </c>
      <c r="C245" s="9">
        <f t="shared" si="16"/>
        <v>458.53618014666205</v>
      </c>
      <c r="D245" s="10">
        <f t="shared" si="14"/>
        <v>21</v>
      </c>
      <c r="E245" s="3"/>
    </row>
    <row r="246" spans="1:5" ht="12" customHeight="1">
      <c r="A246" s="3">
        <v>242</v>
      </c>
      <c r="B246" s="9">
        <f t="shared" si="15"/>
        <v>594.7311248086894</v>
      </c>
      <c r="C246" s="9">
        <f t="shared" si="16"/>
        <v>455.70001678970584</v>
      </c>
      <c r="D246" s="10">
        <f t="shared" si="14"/>
        <v>21</v>
      </c>
      <c r="E246" s="3"/>
    </row>
    <row r="247" spans="1:5" ht="12" customHeight="1">
      <c r="A247" s="3">
        <v>243</v>
      </c>
      <c r="B247" s="9">
        <f t="shared" si="15"/>
        <v>597.5808781150645</v>
      </c>
      <c r="C247" s="9">
        <f t="shared" si="16"/>
        <v>452.85026348333076</v>
      </c>
      <c r="D247" s="10">
        <f t="shared" si="14"/>
        <v>21</v>
      </c>
      <c r="E247" s="3"/>
    </row>
    <row r="248" spans="1:5" ht="12" customHeight="1">
      <c r="A248" s="3">
        <v>244</v>
      </c>
      <c r="B248" s="9">
        <f t="shared" si="15"/>
        <v>600.4442864893658</v>
      </c>
      <c r="C248" s="9">
        <f t="shared" si="16"/>
        <v>449.9868551090295</v>
      </c>
      <c r="D248" s="10">
        <f t="shared" si="14"/>
        <v>21</v>
      </c>
      <c r="E248" s="3"/>
    </row>
    <row r="249" spans="1:5" ht="12" customHeight="1">
      <c r="A249" s="3">
        <v>245</v>
      </c>
      <c r="B249" s="9">
        <f t="shared" si="15"/>
        <v>603.3214153621273</v>
      </c>
      <c r="C249" s="9">
        <f t="shared" si="16"/>
        <v>447.109726236268</v>
      </c>
      <c r="D249" s="10">
        <f t="shared" si="14"/>
        <v>21</v>
      </c>
      <c r="E249" s="3"/>
    </row>
    <row r="250" spans="1:5" ht="12" customHeight="1">
      <c r="A250" s="3">
        <v>246</v>
      </c>
      <c r="B250" s="9">
        <f t="shared" si="15"/>
        <v>606.2123304774043</v>
      </c>
      <c r="C250" s="9">
        <f t="shared" si="16"/>
        <v>444.21881112099106</v>
      </c>
      <c r="D250" s="10">
        <f t="shared" si="14"/>
        <v>21</v>
      </c>
      <c r="E250" s="3"/>
    </row>
    <row r="251" spans="1:5" ht="12" customHeight="1">
      <c r="A251" s="3">
        <v>247</v>
      </c>
      <c r="B251" s="9">
        <f t="shared" si="15"/>
        <v>609.117097894275</v>
      </c>
      <c r="C251" s="9">
        <f t="shared" si="16"/>
        <v>441.31404370412025</v>
      </c>
      <c r="D251" s="10">
        <f t="shared" si="14"/>
        <v>21</v>
      </c>
      <c r="E251" s="3"/>
    </row>
    <row r="252" spans="1:5" ht="12" customHeight="1">
      <c r="A252" s="3">
        <v>248</v>
      </c>
      <c r="B252" s="9">
        <f t="shared" si="15"/>
        <v>612.0357839883518</v>
      </c>
      <c r="C252" s="9">
        <f t="shared" si="16"/>
        <v>438.39535761004345</v>
      </c>
      <c r="D252" s="10">
        <f t="shared" si="14"/>
        <v>21</v>
      </c>
      <c r="E252" s="3"/>
    </row>
    <row r="253" spans="1:5" ht="12" customHeight="1">
      <c r="A253" s="3">
        <v>249</v>
      </c>
      <c r="B253" s="9">
        <f t="shared" si="15"/>
        <v>614.9684554532961</v>
      </c>
      <c r="C253" s="9">
        <f t="shared" si="16"/>
        <v>435.4626861450993</v>
      </c>
      <c r="D253" s="10">
        <f t="shared" si="14"/>
        <v>21</v>
      </c>
      <c r="E253" s="3"/>
    </row>
    <row r="254" spans="1:5" ht="12" customHeight="1">
      <c r="A254" s="3">
        <v>250</v>
      </c>
      <c r="B254" s="9">
        <f t="shared" si="15"/>
        <v>617.9151793023431</v>
      </c>
      <c r="C254" s="9">
        <f t="shared" si="16"/>
        <v>432.5159622960523</v>
      </c>
      <c r="D254" s="10">
        <f t="shared" si="14"/>
        <v>21</v>
      </c>
      <c r="E254" s="3"/>
    </row>
    <row r="255" spans="1:5" ht="12" customHeight="1">
      <c r="A255" s="3">
        <v>251</v>
      </c>
      <c r="B255" s="9">
        <f t="shared" si="15"/>
        <v>620.8760228698334</v>
      </c>
      <c r="C255" s="9">
        <f t="shared" si="16"/>
        <v>429.5551187285619</v>
      </c>
      <c r="D255" s="10">
        <f t="shared" si="14"/>
        <v>21</v>
      </c>
      <c r="E255" s="3"/>
    </row>
    <row r="256" spans="1:5" ht="12" customHeight="1">
      <c r="A256" s="3">
        <v>252</v>
      </c>
      <c r="B256" s="9">
        <f t="shared" si="15"/>
        <v>623.8510538127515</v>
      </c>
      <c r="C256" s="9">
        <f t="shared" si="16"/>
        <v>426.5800877856439</v>
      </c>
      <c r="D256" s="10">
        <f t="shared" si="14"/>
        <v>21</v>
      </c>
      <c r="E256" s="3"/>
    </row>
    <row r="257" spans="1:5" ht="12" customHeight="1">
      <c r="A257" s="3">
        <v>253</v>
      </c>
      <c r="B257" s="9">
        <f t="shared" si="15"/>
        <v>626.8403401122708</v>
      </c>
      <c r="C257" s="9">
        <f t="shared" si="16"/>
        <v>423.59080148612446</v>
      </c>
      <c r="D257" s="10">
        <f t="shared" si="14"/>
        <v>22</v>
      </c>
      <c r="E257" s="3"/>
    </row>
    <row r="258" spans="1:5" ht="12" customHeight="1">
      <c r="A258" s="3">
        <v>254</v>
      </c>
      <c r="B258" s="9">
        <f t="shared" si="15"/>
        <v>629.8439500753087</v>
      </c>
      <c r="C258" s="9">
        <f t="shared" si="16"/>
        <v>420.5871915230866</v>
      </c>
      <c r="D258" s="10">
        <f t="shared" si="14"/>
        <v>22</v>
      </c>
      <c r="E258" s="3"/>
    </row>
    <row r="259" spans="1:5" ht="12" customHeight="1">
      <c r="A259" s="3">
        <v>255</v>
      </c>
      <c r="B259" s="9">
        <f t="shared" si="15"/>
        <v>632.8619523360863</v>
      </c>
      <c r="C259" s="9">
        <f t="shared" si="16"/>
        <v>417.569189262309</v>
      </c>
      <c r="D259" s="10">
        <f t="shared" si="14"/>
        <v>22</v>
      </c>
      <c r="E259" s="3"/>
    </row>
    <row r="260" spans="1:5" ht="12" customHeight="1">
      <c r="A260" s="3">
        <v>256</v>
      </c>
      <c r="B260" s="9">
        <f t="shared" si="15"/>
        <v>635.8944158576967</v>
      </c>
      <c r="C260" s="9">
        <f t="shared" si="16"/>
        <v>414.5367257406986</v>
      </c>
      <c r="D260" s="10">
        <f t="shared" si="14"/>
        <v>22</v>
      </c>
      <c r="E260" s="3"/>
    </row>
    <row r="261" spans="1:5" ht="12" customHeight="1">
      <c r="A261" s="3">
        <v>257</v>
      </c>
      <c r="B261" s="9">
        <f t="shared" si="15"/>
        <v>638.9414099336815</v>
      </c>
      <c r="C261" s="9">
        <f t="shared" si="16"/>
        <v>411.48973166471376</v>
      </c>
      <c r="D261" s="10">
        <f t="shared" si="14"/>
        <v>22</v>
      </c>
      <c r="E261" s="3"/>
    </row>
    <row r="262" spans="1:5" ht="12" customHeight="1">
      <c r="A262" s="3">
        <v>258</v>
      </c>
      <c r="B262" s="9">
        <f t="shared" si="15"/>
        <v>642.0030041896139</v>
      </c>
      <c r="C262" s="9">
        <f t="shared" si="16"/>
        <v>408.4281374087816</v>
      </c>
      <c r="D262" s="10">
        <f t="shared" si="14"/>
        <v>22</v>
      </c>
      <c r="E262" s="3"/>
    </row>
    <row r="263" spans="1:5" ht="12" customHeight="1">
      <c r="A263" s="3">
        <v>259</v>
      </c>
      <c r="B263" s="9">
        <f t="shared" si="15"/>
        <v>645.0792685846891</v>
      </c>
      <c r="C263" s="9">
        <f t="shared" si="16"/>
        <v>405.35187301370627</v>
      </c>
      <c r="D263" s="10">
        <f aca="true" t="shared" si="17" ref="D263:D326">ROUNDUP(A263/12,0)</f>
        <v>22</v>
      </c>
      <c r="E263" s="3"/>
    </row>
    <row r="264" spans="1:5" ht="12" customHeight="1">
      <c r="A264" s="3">
        <v>260</v>
      </c>
      <c r="B264" s="9">
        <f t="shared" si="15"/>
        <v>648.1702734133239</v>
      </c>
      <c r="C264" s="9">
        <f t="shared" si="16"/>
        <v>402.26086818507133</v>
      </c>
      <c r="D264" s="10">
        <f t="shared" si="17"/>
        <v>22</v>
      </c>
      <c r="E264" s="3"/>
    </row>
    <row r="265" spans="1:5" ht="12" customHeight="1">
      <c r="A265" s="3">
        <v>261</v>
      </c>
      <c r="B265" s="9">
        <f t="shared" si="15"/>
        <v>651.2760893067627</v>
      </c>
      <c r="C265" s="9">
        <f t="shared" si="16"/>
        <v>399.1550522916325</v>
      </c>
      <c r="D265" s="10">
        <f t="shared" si="17"/>
        <v>22</v>
      </c>
      <c r="E265" s="3"/>
    </row>
    <row r="266" spans="1:5" ht="12" customHeight="1">
      <c r="A266" s="3">
        <v>262</v>
      </c>
      <c r="B266" s="9">
        <f t="shared" si="15"/>
        <v>654.3967872346909</v>
      </c>
      <c r="C266" s="9">
        <f t="shared" si="16"/>
        <v>396.03435436370427</v>
      </c>
      <c r="D266" s="10">
        <f t="shared" si="17"/>
        <v>22</v>
      </c>
      <c r="E266" s="3"/>
    </row>
    <row r="267" spans="1:5" ht="12" customHeight="1">
      <c r="A267" s="3">
        <v>263</v>
      </c>
      <c r="B267" s="9">
        <f t="shared" si="15"/>
        <v>657.5324385068573</v>
      </c>
      <c r="C267" s="9">
        <f t="shared" si="16"/>
        <v>392.898703091538</v>
      </c>
      <c r="D267" s="10">
        <f t="shared" si="17"/>
        <v>22</v>
      </c>
      <c r="E267" s="3"/>
    </row>
    <row r="268" spans="1:5" ht="12" customHeight="1">
      <c r="A268" s="3">
        <v>264</v>
      </c>
      <c r="B268" s="9">
        <f t="shared" si="15"/>
        <v>660.6831147747026</v>
      </c>
      <c r="C268" s="9">
        <f t="shared" si="16"/>
        <v>389.7480268236927</v>
      </c>
      <c r="D268" s="10">
        <f t="shared" si="17"/>
        <v>22</v>
      </c>
      <c r="E268" s="3"/>
    </row>
    <row r="269" spans="1:5" ht="12" customHeight="1">
      <c r="A269" s="3">
        <v>265</v>
      </c>
      <c r="B269" s="9">
        <f t="shared" si="15"/>
        <v>663.848888032998</v>
      </c>
      <c r="C269" s="9">
        <f t="shared" si="16"/>
        <v>386.58225356539725</v>
      </c>
      <c r="D269" s="10">
        <f t="shared" si="17"/>
        <v>23</v>
      </c>
      <c r="E269" s="3"/>
    </row>
    <row r="270" spans="1:5" ht="12" customHeight="1">
      <c r="A270" s="3">
        <v>266</v>
      </c>
      <c r="B270" s="9">
        <f t="shared" si="15"/>
        <v>667.0298306214896</v>
      </c>
      <c r="C270" s="9">
        <f t="shared" si="16"/>
        <v>383.4013109769058</v>
      </c>
      <c r="D270" s="10">
        <f t="shared" si="17"/>
        <v>23</v>
      </c>
      <c r="E270" s="3"/>
    </row>
    <row r="271" spans="1:5" ht="12" customHeight="1">
      <c r="A271" s="3">
        <v>267</v>
      </c>
      <c r="B271" s="9">
        <f t="shared" si="15"/>
        <v>670.2260152265508</v>
      </c>
      <c r="C271" s="9">
        <f t="shared" si="16"/>
        <v>380.2051263718444</v>
      </c>
      <c r="D271" s="10">
        <f t="shared" si="17"/>
        <v>23</v>
      </c>
      <c r="E271" s="3"/>
    </row>
    <row r="272" spans="1:5" ht="12" customHeight="1">
      <c r="A272" s="3">
        <v>268</v>
      </c>
      <c r="B272" s="9">
        <f t="shared" si="15"/>
        <v>673.4375148828447</v>
      </c>
      <c r="C272" s="9">
        <f t="shared" si="16"/>
        <v>376.99362671555053</v>
      </c>
      <c r="D272" s="10">
        <f t="shared" si="17"/>
        <v>23</v>
      </c>
      <c r="E272" s="3"/>
    </row>
    <row r="273" spans="1:5" ht="12" customHeight="1">
      <c r="A273" s="3">
        <v>269</v>
      </c>
      <c r="B273" s="9">
        <f t="shared" si="15"/>
        <v>676.6644029749917</v>
      </c>
      <c r="C273" s="9">
        <f t="shared" si="16"/>
        <v>373.7667386234037</v>
      </c>
      <c r="D273" s="10">
        <f t="shared" si="17"/>
        <v>23</v>
      </c>
      <c r="E273" s="3"/>
    </row>
    <row r="274" spans="1:5" ht="12" customHeight="1">
      <c r="A274" s="3">
        <v>270</v>
      </c>
      <c r="B274" s="9">
        <f t="shared" si="15"/>
        <v>679.9067532392469</v>
      </c>
      <c r="C274" s="9">
        <f t="shared" si="16"/>
        <v>370.52438835914836</v>
      </c>
      <c r="D274" s="10">
        <f t="shared" si="17"/>
        <v>23</v>
      </c>
      <c r="E274" s="3"/>
    </row>
    <row r="275" spans="1:5" ht="12" customHeight="1">
      <c r="A275" s="3">
        <v>271</v>
      </c>
      <c r="B275" s="9">
        <f t="shared" si="15"/>
        <v>683.1646397651849</v>
      </c>
      <c r="C275" s="9">
        <f t="shared" si="16"/>
        <v>367.2665018332104</v>
      </c>
      <c r="D275" s="10">
        <f t="shared" si="17"/>
        <v>23</v>
      </c>
      <c r="E275" s="3"/>
    </row>
    <row r="276" spans="1:5" ht="12" customHeight="1">
      <c r="A276" s="3">
        <v>272</v>
      </c>
      <c r="B276" s="9">
        <f t="shared" si="15"/>
        <v>686.4381369973931</v>
      </c>
      <c r="C276" s="9">
        <f t="shared" si="16"/>
        <v>363.9930046010022</v>
      </c>
      <c r="D276" s="10">
        <f t="shared" si="17"/>
        <v>23</v>
      </c>
      <c r="E276" s="3"/>
    </row>
    <row r="277" spans="1:5" ht="12" customHeight="1">
      <c r="A277" s="3">
        <v>273</v>
      </c>
      <c r="B277" s="9">
        <f t="shared" si="15"/>
        <v>689.7273197371721</v>
      </c>
      <c r="C277" s="9">
        <f t="shared" si="16"/>
        <v>360.7038218612231</v>
      </c>
      <c r="D277" s="10">
        <f t="shared" si="17"/>
        <v>23</v>
      </c>
      <c r="E277" s="3"/>
    </row>
    <row r="278" spans="1:5" ht="12" customHeight="1">
      <c r="A278" s="3">
        <v>274</v>
      </c>
      <c r="B278" s="9">
        <f t="shared" si="15"/>
        <v>693.0322631442461</v>
      </c>
      <c r="C278" s="9">
        <f t="shared" si="16"/>
        <v>357.3988784541491</v>
      </c>
      <c r="D278" s="10">
        <f t="shared" si="17"/>
        <v>23</v>
      </c>
      <c r="E278" s="3"/>
    </row>
    <row r="279" spans="1:5" ht="12" customHeight="1">
      <c r="A279" s="3">
        <v>275</v>
      </c>
      <c r="B279" s="9">
        <f t="shared" si="15"/>
        <v>696.3530427384791</v>
      </c>
      <c r="C279" s="9">
        <f t="shared" si="16"/>
        <v>354.0780988599163</v>
      </c>
      <c r="D279" s="10">
        <f t="shared" si="17"/>
        <v>23</v>
      </c>
      <c r="E279" s="3"/>
    </row>
    <row r="280" spans="1:5" ht="12" customHeight="1">
      <c r="A280" s="3">
        <v>276</v>
      </c>
      <c r="B280" s="9">
        <f t="shared" si="15"/>
        <v>699.689734401601</v>
      </c>
      <c r="C280" s="9">
        <f t="shared" si="16"/>
        <v>350.7414071967944</v>
      </c>
      <c r="D280" s="10">
        <f t="shared" si="17"/>
        <v>23</v>
      </c>
      <c r="E280" s="3"/>
    </row>
    <row r="281" spans="1:5" ht="12" customHeight="1">
      <c r="A281" s="3">
        <v>277</v>
      </c>
      <c r="B281" s="9">
        <f t="shared" si="15"/>
        <v>703.0424143789419</v>
      </c>
      <c r="C281" s="9">
        <f t="shared" si="16"/>
        <v>347.38872721945336</v>
      </c>
      <c r="D281" s="10">
        <f t="shared" si="17"/>
        <v>24</v>
      </c>
      <c r="E281" s="3"/>
    </row>
    <row r="282" spans="1:5" ht="12" customHeight="1">
      <c r="A282" s="3">
        <v>278</v>
      </c>
      <c r="B282" s="9">
        <f t="shared" si="15"/>
        <v>706.4111592811744</v>
      </c>
      <c r="C282" s="9">
        <f t="shared" si="16"/>
        <v>344.0199823172209</v>
      </c>
      <c r="D282" s="10">
        <f t="shared" si="17"/>
        <v>24</v>
      </c>
      <c r="E282" s="3"/>
    </row>
    <row r="283" spans="1:5" ht="12" customHeight="1">
      <c r="A283" s="3">
        <v>279</v>
      </c>
      <c r="B283" s="9">
        <f t="shared" si="15"/>
        <v>709.7960460860633</v>
      </c>
      <c r="C283" s="9">
        <f t="shared" si="16"/>
        <v>340.63509551233193</v>
      </c>
      <c r="D283" s="10">
        <f t="shared" si="17"/>
        <v>24</v>
      </c>
      <c r="E283" s="3"/>
    </row>
    <row r="284" spans="1:5" ht="12" customHeight="1">
      <c r="A284" s="3">
        <v>280</v>
      </c>
      <c r="B284" s="9">
        <f t="shared" si="15"/>
        <v>713.1971521402256</v>
      </c>
      <c r="C284" s="9">
        <f t="shared" si="16"/>
        <v>337.23398945816956</v>
      </c>
      <c r="D284" s="10">
        <f t="shared" si="17"/>
        <v>24</v>
      </c>
      <c r="E284" s="3"/>
    </row>
    <row r="285" spans="1:5" ht="12" customHeight="1">
      <c r="A285" s="3">
        <v>281</v>
      </c>
      <c r="B285" s="9">
        <f t="shared" si="15"/>
        <v>716.6145551608976</v>
      </c>
      <c r="C285" s="9">
        <f t="shared" si="16"/>
        <v>333.8165864374976</v>
      </c>
      <c r="D285" s="10">
        <f t="shared" si="17"/>
        <v>24</v>
      </c>
      <c r="E285" s="3"/>
    </row>
    <row r="286" spans="1:5" ht="12" customHeight="1">
      <c r="A286" s="3">
        <v>282</v>
      </c>
      <c r="B286" s="9">
        <f aca="true" t="shared" si="18" ref="B286:B349">PPMT(B$2/12,A286,B$3,B$1*-1)</f>
        <v>720.0483332377103</v>
      </c>
      <c r="C286" s="9">
        <f t="shared" si="16"/>
        <v>330.38280836068503</v>
      </c>
      <c r="D286" s="10">
        <f t="shared" si="17"/>
        <v>24</v>
      </c>
      <c r="E286" s="3"/>
    </row>
    <row r="287" spans="1:5" ht="12" customHeight="1">
      <c r="A287" s="3">
        <v>283</v>
      </c>
      <c r="B287" s="9">
        <f t="shared" si="18"/>
        <v>723.4985648344742</v>
      </c>
      <c r="C287" s="9">
        <f t="shared" si="16"/>
        <v>326.93257676392096</v>
      </c>
      <c r="D287" s="10">
        <f t="shared" si="17"/>
        <v>24</v>
      </c>
      <c r="E287" s="3"/>
    </row>
    <row r="288" spans="1:5" ht="12" customHeight="1">
      <c r="A288" s="3">
        <v>284</v>
      </c>
      <c r="B288" s="9">
        <f t="shared" si="18"/>
        <v>726.9653287909728</v>
      </c>
      <c r="C288" s="9">
        <f t="shared" si="16"/>
        <v>323.4658128074225</v>
      </c>
      <c r="D288" s="10">
        <f t="shared" si="17"/>
        <v>24</v>
      </c>
      <c r="E288" s="3"/>
    </row>
    <row r="289" spans="1:5" ht="12" customHeight="1">
      <c r="A289" s="3">
        <v>285</v>
      </c>
      <c r="B289" s="9">
        <f t="shared" si="18"/>
        <v>730.448704324763</v>
      </c>
      <c r="C289" s="9">
        <f t="shared" si="16"/>
        <v>319.9824372736324</v>
      </c>
      <c r="D289" s="10">
        <f t="shared" si="17"/>
        <v>24</v>
      </c>
      <c r="E289" s="3"/>
    </row>
    <row r="290" spans="1:5" ht="12" customHeight="1">
      <c r="A290" s="3">
        <v>286</v>
      </c>
      <c r="B290" s="9">
        <f t="shared" si="18"/>
        <v>733.9487710329857</v>
      </c>
      <c r="C290" s="9">
        <f t="shared" si="16"/>
        <v>316.4823705654096</v>
      </c>
      <c r="D290" s="10">
        <f t="shared" si="17"/>
        <v>24</v>
      </c>
      <c r="E290" s="3"/>
    </row>
    <row r="291" spans="1:5" ht="12" customHeight="1">
      <c r="A291" s="3">
        <v>287</v>
      </c>
      <c r="B291" s="9">
        <f t="shared" si="18"/>
        <v>737.4656088941854</v>
      </c>
      <c r="C291" s="9">
        <f t="shared" si="16"/>
        <v>312.96553270420986</v>
      </c>
      <c r="D291" s="10">
        <f t="shared" si="17"/>
        <v>24</v>
      </c>
      <c r="E291" s="3"/>
    </row>
    <row r="292" spans="1:5" ht="12" customHeight="1">
      <c r="A292" s="3">
        <v>288</v>
      </c>
      <c r="B292" s="9">
        <f t="shared" si="18"/>
        <v>740.9992982701368</v>
      </c>
      <c r="C292" s="9">
        <f t="shared" si="16"/>
        <v>309.43184332825854</v>
      </c>
      <c r="D292" s="10">
        <f t="shared" si="17"/>
        <v>24</v>
      </c>
      <c r="E292" s="3"/>
    </row>
    <row r="293" spans="1:5" ht="12" customHeight="1">
      <c r="A293" s="3">
        <v>289</v>
      </c>
      <c r="B293" s="9">
        <f t="shared" si="18"/>
        <v>744.5499199076812</v>
      </c>
      <c r="C293" s="9">
        <f t="shared" si="16"/>
        <v>305.88122169071414</v>
      </c>
      <c r="D293" s="10">
        <f t="shared" si="17"/>
        <v>25</v>
      </c>
      <c r="E293" s="3"/>
    </row>
    <row r="294" spans="1:5" ht="12" customHeight="1">
      <c r="A294" s="3">
        <v>290</v>
      </c>
      <c r="B294" s="9">
        <f t="shared" si="18"/>
        <v>748.1175549405721</v>
      </c>
      <c r="C294" s="9">
        <f t="shared" si="16"/>
        <v>302.3135866578232</v>
      </c>
      <c r="D294" s="10">
        <f t="shared" si="17"/>
        <v>25</v>
      </c>
      <c r="E294" s="3"/>
    </row>
    <row r="295" spans="1:5" ht="12" customHeight="1">
      <c r="A295" s="3">
        <v>291</v>
      </c>
      <c r="B295" s="9">
        <f t="shared" si="18"/>
        <v>751.702284891329</v>
      </c>
      <c r="C295" s="9">
        <f t="shared" si="16"/>
        <v>298.72885670706626</v>
      </c>
      <c r="D295" s="10">
        <f t="shared" si="17"/>
        <v>25</v>
      </c>
      <c r="E295" s="3"/>
    </row>
    <row r="296" spans="1:5" ht="12" customHeight="1">
      <c r="A296" s="3">
        <v>292</v>
      </c>
      <c r="B296" s="9">
        <f t="shared" si="18"/>
        <v>755.3041916730998</v>
      </c>
      <c r="C296" s="9">
        <f t="shared" si="16"/>
        <v>295.1269499252953</v>
      </c>
      <c r="D296" s="10">
        <f t="shared" si="17"/>
        <v>25</v>
      </c>
      <c r="E296" s="3"/>
    </row>
    <row r="297" spans="1:5" ht="12" customHeight="1">
      <c r="A297" s="3">
        <v>293</v>
      </c>
      <c r="B297" s="9">
        <f t="shared" si="18"/>
        <v>758.9233575915335</v>
      </c>
      <c r="C297" s="9">
        <f t="shared" si="16"/>
        <v>291.5077840068617</v>
      </c>
      <c r="D297" s="10">
        <f t="shared" si="17"/>
        <v>25</v>
      </c>
      <c r="E297" s="3"/>
    </row>
    <row r="298" spans="1:5" ht="12" customHeight="1">
      <c r="A298" s="3">
        <v>294</v>
      </c>
      <c r="B298" s="9">
        <f t="shared" si="18"/>
        <v>762.5598653466596</v>
      </c>
      <c r="C298" s="9">
        <f aca="true" t="shared" si="19" ref="C298:C361">IPMT(B$2/12,A298,B$3,B$1*-1)</f>
        <v>287.8712762517356</v>
      </c>
      <c r="D298" s="10">
        <f t="shared" si="17"/>
        <v>25</v>
      </c>
      <c r="E298" s="3"/>
    </row>
    <row r="299" spans="1:5" ht="12" customHeight="1">
      <c r="A299" s="3">
        <v>295</v>
      </c>
      <c r="B299" s="9">
        <f t="shared" si="18"/>
        <v>766.2137980347791</v>
      </c>
      <c r="C299" s="9">
        <f t="shared" si="19"/>
        <v>284.21734356361617</v>
      </c>
      <c r="D299" s="10">
        <f t="shared" si="17"/>
        <v>25</v>
      </c>
      <c r="E299" s="3"/>
    </row>
    <row r="300" spans="1:5" ht="12" customHeight="1">
      <c r="A300" s="3">
        <v>296</v>
      </c>
      <c r="B300" s="9">
        <f t="shared" si="18"/>
        <v>769.8852391503623</v>
      </c>
      <c r="C300" s="9">
        <f t="shared" si="19"/>
        <v>280.5459024480329</v>
      </c>
      <c r="D300" s="10">
        <f t="shared" si="17"/>
        <v>25</v>
      </c>
      <c r="E300" s="3"/>
    </row>
    <row r="301" spans="1:5" ht="12" customHeight="1">
      <c r="A301" s="3">
        <v>297</v>
      </c>
      <c r="B301" s="9">
        <f t="shared" si="18"/>
        <v>773.5742725879578</v>
      </c>
      <c r="C301" s="9">
        <f t="shared" si="19"/>
        <v>276.8568690104374</v>
      </c>
      <c r="D301" s="10">
        <f t="shared" si="17"/>
        <v>25</v>
      </c>
      <c r="E301" s="3"/>
    </row>
    <row r="302" spans="1:5" ht="12" customHeight="1">
      <c r="A302" s="3">
        <v>298</v>
      </c>
      <c r="B302" s="9">
        <f t="shared" si="18"/>
        <v>777.2809826441085</v>
      </c>
      <c r="C302" s="9">
        <f t="shared" si="19"/>
        <v>273.1501589542867</v>
      </c>
      <c r="D302" s="10">
        <f t="shared" si="17"/>
        <v>25</v>
      </c>
      <c r="E302" s="3"/>
    </row>
    <row r="303" spans="1:5" ht="12" customHeight="1">
      <c r="A303" s="3">
        <v>299</v>
      </c>
      <c r="B303" s="9">
        <f t="shared" si="18"/>
        <v>781.0054540192781</v>
      </c>
      <c r="C303" s="9">
        <f t="shared" si="19"/>
        <v>269.4256875791171</v>
      </c>
      <c r="D303" s="10">
        <f t="shared" si="17"/>
        <v>25</v>
      </c>
      <c r="E303" s="3"/>
    </row>
    <row r="304" spans="1:5" ht="12" customHeight="1">
      <c r="A304" s="3">
        <v>300</v>
      </c>
      <c r="B304" s="9">
        <f t="shared" si="18"/>
        <v>784.7477718197872</v>
      </c>
      <c r="C304" s="9">
        <f t="shared" si="19"/>
        <v>265.68336977860804</v>
      </c>
      <c r="D304" s="10">
        <f t="shared" si="17"/>
        <v>25</v>
      </c>
      <c r="E304" s="3"/>
    </row>
    <row r="305" spans="1:5" ht="12" customHeight="1">
      <c r="A305" s="3">
        <v>301</v>
      </c>
      <c r="B305" s="9">
        <f t="shared" si="18"/>
        <v>788.508021559757</v>
      </c>
      <c r="C305" s="9">
        <f t="shared" si="19"/>
        <v>261.92312003863816</v>
      </c>
      <c r="D305" s="10">
        <f t="shared" si="17"/>
        <v>26</v>
      </c>
      <c r="E305" s="3"/>
    </row>
    <row r="306" spans="1:5" ht="12" customHeight="1">
      <c r="A306" s="3">
        <v>302</v>
      </c>
      <c r="B306" s="9">
        <f t="shared" si="18"/>
        <v>792.2862891630642</v>
      </c>
      <c r="C306" s="9">
        <f t="shared" si="19"/>
        <v>258.1448524353311</v>
      </c>
      <c r="D306" s="10">
        <f t="shared" si="17"/>
        <v>26</v>
      </c>
      <c r="E306" s="3"/>
    </row>
    <row r="307" spans="1:5" ht="12" customHeight="1">
      <c r="A307" s="3">
        <v>303</v>
      </c>
      <c r="B307" s="9">
        <f t="shared" si="18"/>
        <v>796.0826609653041</v>
      </c>
      <c r="C307" s="9">
        <f t="shared" si="19"/>
        <v>254.3484806330914</v>
      </c>
      <c r="D307" s="10">
        <f t="shared" si="17"/>
        <v>26</v>
      </c>
      <c r="E307" s="3"/>
    </row>
    <row r="308" spans="1:5" ht="12" customHeight="1">
      <c r="A308" s="3">
        <v>304</v>
      </c>
      <c r="B308" s="9">
        <f t="shared" si="18"/>
        <v>799.8972237157626</v>
      </c>
      <c r="C308" s="9">
        <f t="shared" si="19"/>
        <v>250.53391788263266</v>
      </c>
      <c r="D308" s="10">
        <f t="shared" si="17"/>
        <v>26</v>
      </c>
      <c r="E308" s="3"/>
    </row>
    <row r="309" spans="1:5" ht="12" customHeight="1">
      <c r="A309" s="3">
        <v>305</v>
      </c>
      <c r="B309" s="9">
        <f t="shared" si="18"/>
        <v>803.7300645794007</v>
      </c>
      <c r="C309" s="9">
        <f t="shared" si="19"/>
        <v>246.70107701899454</v>
      </c>
      <c r="D309" s="10">
        <f t="shared" si="17"/>
        <v>26</v>
      </c>
      <c r="E309" s="3"/>
    </row>
    <row r="310" spans="1:5" ht="12" customHeight="1">
      <c r="A310" s="3">
        <v>306</v>
      </c>
      <c r="B310" s="9">
        <f t="shared" si="18"/>
        <v>807.5812711388436</v>
      </c>
      <c r="C310" s="9">
        <f t="shared" si="19"/>
        <v>242.84987045955162</v>
      </c>
      <c r="D310" s="10">
        <f t="shared" si="17"/>
        <v>26</v>
      </c>
      <c r="E310" s="3"/>
    </row>
    <row r="311" spans="1:5" ht="12" customHeight="1">
      <c r="A311" s="3">
        <v>307</v>
      </c>
      <c r="B311" s="9">
        <f t="shared" si="18"/>
        <v>811.4509313963839</v>
      </c>
      <c r="C311" s="9">
        <f t="shared" si="19"/>
        <v>238.98021020201134</v>
      </c>
      <c r="D311" s="10">
        <f t="shared" si="17"/>
        <v>26</v>
      </c>
      <c r="E311" s="3"/>
    </row>
    <row r="312" spans="1:5" ht="12" customHeight="1">
      <c r="A312" s="3">
        <v>308</v>
      </c>
      <c r="B312" s="9">
        <f t="shared" si="18"/>
        <v>815.3391337759915</v>
      </c>
      <c r="C312" s="9">
        <f t="shared" si="19"/>
        <v>235.09200782240364</v>
      </c>
      <c r="D312" s="10">
        <f t="shared" si="17"/>
        <v>26</v>
      </c>
      <c r="E312" s="3"/>
    </row>
    <row r="313" spans="1:5" ht="12" customHeight="1">
      <c r="A313" s="3">
        <v>309</v>
      </c>
      <c r="B313" s="9">
        <f t="shared" si="18"/>
        <v>819.245967125335</v>
      </c>
      <c r="C313" s="9">
        <f t="shared" si="19"/>
        <v>231.18517447306036</v>
      </c>
      <c r="D313" s="10">
        <f t="shared" si="17"/>
        <v>26</v>
      </c>
      <c r="E313" s="3"/>
    </row>
    <row r="314" spans="1:5" ht="12" customHeight="1">
      <c r="A314" s="3">
        <v>310</v>
      </c>
      <c r="B314" s="9">
        <f t="shared" si="18"/>
        <v>823.1715207178105</v>
      </c>
      <c r="C314" s="9">
        <f t="shared" si="19"/>
        <v>227.2596208805848</v>
      </c>
      <c r="D314" s="10">
        <f t="shared" si="17"/>
        <v>26</v>
      </c>
      <c r="E314" s="3"/>
    </row>
    <row r="315" spans="1:5" ht="12" customHeight="1">
      <c r="A315" s="3">
        <v>311</v>
      </c>
      <c r="B315" s="9">
        <f t="shared" si="18"/>
        <v>827.1158842545833</v>
      </c>
      <c r="C315" s="9">
        <f t="shared" si="19"/>
        <v>223.31525734381196</v>
      </c>
      <c r="D315" s="10">
        <f t="shared" si="17"/>
        <v>26</v>
      </c>
      <c r="E315" s="3"/>
    </row>
    <row r="316" spans="1:5" ht="12" customHeight="1">
      <c r="A316" s="3">
        <v>312</v>
      </c>
      <c r="B316" s="9">
        <f t="shared" si="18"/>
        <v>831.0791478666366</v>
      </c>
      <c r="C316" s="9">
        <f t="shared" si="19"/>
        <v>219.35199373175874</v>
      </c>
      <c r="D316" s="10">
        <f t="shared" si="17"/>
        <v>26</v>
      </c>
      <c r="E316" s="3"/>
    </row>
    <row r="317" spans="1:5" ht="12" customHeight="1">
      <c r="A317" s="3">
        <v>313</v>
      </c>
      <c r="B317" s="9">
        <f t="shared" si="18"/>
        <v>835.0614021168308</v>
      </c>
      <c r="C317" s="9">
        <f t="shared" si="19"/>
        <v>215.36973948156444</v>
      </c>
      <c r="D317" s="10">
        <f t="shared" si="17"/>
        <v>27</v>
      </c>
      <c r="E317" s="3"/>
    </row>
    <row r="318" spans="1:5" ht="12" customHeight="1">
      <c r="A318" s="3">
        <v>314</v>
      </c>
      <c r="B318" s="9">
        <f t="shared" si="18"/>
        <v>839.062738001974</v>
      </c>
      <c r="C318" s="9">
        <f t="shared" si="19"/>
        <v>211.36840359642133</v>
      </c>
      <c r="D318" s="10">
        <f t="shared" si="17"/>
        <v>27</v>
      </c>
      <c r="E318" s="3"/>
    </row>
    <row r="319" spans="1:5" ht="12" customHeight="1">
      <c r="A319" s="3">
        <v>315</v>
      </c>
      <c r="B319" s="9">
        <f t="shared" si="18"/>
        <v>843.0832469549001</v>
      </c>
      <c r="C319" s="9">
        <f t="shared" si="19"/>
        <v>207.34789464349518</v>
      </c>
      <c r="D319" s="10">
        <f t="shared" si="17"/>
        <v>27</v>
      </c>
      <c r="E319" s="3"/>
    </row>
    <row r="320" spans="1:5" ht="12" customHeight="1">
      <c r="A320" s="3">
        <v>316</v>
      </c>
      <c r="B320" s="9">
        <f t="shared" si="18"/>
        <v>847.123020846559</v>
      </c>
      <c r="C320" s="9">
        <f t="shared" si="19"/>
        <v>203.30812075183627</v>
      </c>
      <c r="D320" s="10">
        <f t="shared" si="17"/>
        <v>27</v>
      </c>
      <c r="E320" s="3"/>
    </row>
    <row r="321" spans="1:5" ht="12" customHeight="1">
      <c r="A321" s="3">
        <v>317</v>
      </c>
      <c r="B321" s="9">
        <f t="shared" si="18"/>
        <v>851.1821519881154</v>
      </c>
      <c r="C321" s="9">
        <f t="shared" si="19"/>
        <v>199.24898961027984</v>
      </c>
      <c r="D321" s="10">
        <f t="shared" si="17"/>
        <v>27</v>
      </c>
      <c r="E321" s="3"/>
    </row>
    <row r="322" spans="1:5" ht="12" customHeight="1">
      <c r="A322" s="3">
        <v>318</v>
      </c>
      <c r="B322" s="9">
        <f t="shared" si="18"/>
        <v>855.2607331330585</v>
      </c>
      <c r="C322" s="9">
        <f t="shared" si="19"/>
        <v>195.1704084653368</v>
      </c>
      <c r="D322" s="10">
        <f t="shared" si="17"/>
        <v>27</v>
      </c>
      <c r="E322" s="3"/>
    </row>
    <row r="323" spans="1:5" ht="12" customHeight="1">
      <c r="A323" s="3">
        <v>319</v>
      </c>
      <c r="B323" s="9">
        <f t="shared" si="18"/>
        <v>859.3588574793209</v>
      </c>
      <c r="C323" s="9">
        <f t="shared" si="19"/>
        <v>191.07228411907428</v>
      </c>
      <c r="D323" s="10">
        <f t="shared" si="17"/>
        <v>27</v>
      </c>
      <c r="E323" s="3"/>
    </row>
    <row r="324" spans="1:5" ht="12" customHeight="1">
      <c r="A324" s="3">
        <v>320</v>
      </c>
      <c r="B324" s="9">
        <f t="shared" si="18"/>
        <v>863.4766186714095</v>
      </c>
      <c r="C324" s="9">
        <f t="shared" si="19"/>
        <v>186.95452292698587</v>
      </c>
      <c r="D324" s="10">
        <f t="shared" si="17"/>
        <v>27</v>
      </c>
      <c r="E324" s="3"/>
    </row>
    <row r="325" spans="1:5" ht="12" customHeight="1">
      <c r="A325" s="3">
        <v>321</v>
      </c>
      <c r="B325" s="9">
        <f t="shared" si="18"/>
        <v>867.6141108025433</v>
      </c>
      <c r="C325" s="9">
        <f t="shared" si="19"/>
        <v>182.817030795852</v>
      </c>
      <c r="D325" s="10">
        <f t="shared" si="17"/>
        <v>27</v>
      </c>
      <c r="E325" s="3"/>
    </row>
    <row r="326" spans="1:5" ht="12" customHeight="1">
      <c r="A326" s="3">
        <v>322</v>
      </c>
      <c r="B326" s="9">
        <f t="shared" si="18"/>
        <v>871.7714284168055</v>
      </c>
      <c r="C326" s="9">
        <f t="shared" si="19"/>
        <v>178.65971318158978</v>
      </c>
      <c r="D326" s="10">
        <f t="shared" si="17"/>
        <v>27</v>
      </c>
      <c r="E326" s="3"/>
    </row>
    <row r="327" spans="1:5" ht="12" customHeight="1">
      <c r="A327" s="3">
        <v>323</v>
      </c>
      <c r="B327" s="9">
        <f t="shared" si="18"/>
        <v>875.9486665113027</v>
      </c>
      <c r="C327" s="9">
        <f t="shared" si="19"/>
        <v>174.4824750870926</v>
      </c>
      <c r="D327" s="10">
        <f aca="true" t="shared" si="20" ref="D327:D364">ROUNDUP(A327/12,0)</f>
        <v>27</v>
      </c>
      <c r="E327" s="3"/>
    </row>
    <row r="328" spans="1:5" ht="12" customHeight="1">
      <c r="A328" s="3">
        <v>324</v>
      </c>
      <c r="B328" s="9">
        <f t="shared" si="18"/>
        <v>880.145920538336</v>
      </c>
      <c r="C328" s="9">
        <f t="shared" si="19"/>
        <v>170.28522106005929</v>
      </c>
      <c r="D328" s="10">
        <f t="shared" si="20"/>
        <v>27</v>
      </c>
      <c r="E328" s="3"/>
    </row>
    <row r="329" spans="1:5" ht="12" customHeight="1">
      <c r="A329" s="3">
        <v>325</v>
      </c>
      <c r="B329" s="9">
        <f t="shared" si="18"/>
        <v>884.3632864075821</v>
      </c>
      <c r="C329" s="9">
        <f t="shared" si="19"/>
        <v>166.0678551908131</v>
      </c>
      <c r="D329" s="10">
        <f t="shared" si="20"/>
        <v>28</v>
      </c>
      <c r="E329" s="3"/>
    </row>
    <row r="330" spans="1:5" ht="12" customHeight="1">
      <c r="A330" s="3">
        <v>326</v>
      </c>
      <c r="B330" s="9">
        <f t="shared" si="18"/>
        <v>888.6008604882852</v>
      </c>
      <c r="C330" s="9">
        <f t="shared" si="19"/>
        <v>161.8302811101101</v>
      </c>
      <c r="D330" s="10">
        <f t="shared" si="20"/>
        <v>28</v>
      </c>
      <c r="E330" s="3"/>
    </row>
    <row r="331" spans="1:5" ht="12" customHeight="1">
      <c r="A331" s="3">
        <v>327</v>
      </c>
      <c r="B331" s="9">
        <f t="shared" si="18"/>
        <v>892.8587396114583</v>
      </c>
      <c r="C331" s="9">
        <f t="shared" si="19"/>
        <v>157.57240198693708</v>
      </c>
      <c r="D331" s="10">
        <f t="shared" si="20"/>
        <v>28</v>
      </c>
      <c r="E331" s="3"/>
    </row>
    <row r="332" spans="1:5" ht="12" customHeight="1">
      <c r="A332" s="3">
        <v>328</v>
      </c>
      <c r="B332" s="9">
        <f t="shared" si="18"/>
        <v>897.1370210720964</v>
      </c>
      <c r="C332" s="9">
        <f t="shared" si="19"/>
        <v>153.2941205262988</v>
      </c>
      <c r="D332" s="10">
        <f t="shared" si="20"/>
        <v>28</v>
      </c>
      <c r="E332" s="3"/>
    </row>
    <row r="333" spans="1:5" ht="12" customHeight="1">
      <c r="A333" s="3">
        <v>329</v>
      </c>
      <c r="B333" s="9">
        <f t="shared" si="18"/>
        <v>901.4358026314003</v>
      </c>
      <c r="C333" s="9">
        <f t="shared" si="19"/>
        <v>148.995338966995</v>
      </c>
      <c r="D333" s="10">
        <f t="shared" si="20"/>
        <v>28</v>
      </c>
      <c r="E333" s="3"/>
    </row>
    <row r="334" spans="1:5" ht="12" customHeight="1">
      <c r="A334" s="3">
        <v>330</v>
      </c>
      <c r="B334" s="9">
        <f t="shared" si="18"/>
        <v>905.755182519009</v>
      </c>
      <c r="C334" s="9">
        <f t="shared" si="19"/>
        <v>144.67595907938622</v>
      </c>
      <c r="D334" s="10">
        <f t="shared" si="20"/>
        <v>28</v>
      </c>
      <c r="E334" s="3"/>
    </row>
    <row r="335" spans="1:5" ht="12" customHeight="1">
      <c r="A335" s="3">
        <v>331</v>
      </c>
      <c r="B335" s="9">
        <f t="shared" si="18"/>
        <v>910.0952594352459</v>
      </c>
      <c r="C335" s="9">
        <f t="shared" si="19"/>
        <v>140.3358821631493</v>
      </c>
      <c r="D335" s="10">
        <f t="shared" si="20"/>
        <v>28</v>
      </c>
      <c r="E335" s="3"/>
    </row>
    <row r="336" spans="1:5" ht="12" customHeight="1">
      <c r="A336" s="3">
        <v>332</v>
      </c>
      <c r="B336" s="9">
        <f t="shared" si="18"/>
        <v>914.4561325533732</v>
      </c>
      <c r="C336" s="9">
        <f t="shared" si="19"/>
        <v>135.9750090450221</v>
      </c>
      <c r="D336" s="10">
        <f t="shared" si="20"/>
        <v>28</v>
      </c>
      <c r="E336" s="3"/>
    </row>
    <row r="337" spans="1:5" ht="12" customHeight="1">
      <c r="A337" s="3">
        <v>333</v>
      </c>
      <c r="B337" s="9">
        <f t="shared" si="18"/>
        <v>918.837901521858</v>
      </c>
      <c r="C337" s="9">
        <f t="shared" si="19"/>
        <v>131.59324007653714</v>
      </c>
      <c r="D337" s="10">
        <f t="shared" si="20"/>
        <v>28</v>
      </c>
      <c r="E337" s="3"/>
    </row>
    <row r="338" spans="1:5" ht="12" customHeight="1">
      <c r="A338" s="3">
        <v>334</v>
      </c>
      <c r="B338" s="9">
        <f t="shared" si="18"/>
        <v>923.2406664666504</v>
      </c>
      <c r="C338" s="9">
        <f t="shared" si="19"/>
        <v>127.19047513174493</v>
      </c>
      <c r="D338" s="10">
        <f t="shared" si="20"/>
        <v>28</v>
      </c>
      <c r="E338" s="3"/>
    </row>
    <row r="339" spans="1:5" ht="12" customHeight="1">
      <c r="A339" s="3">
        <v>335</v>
      </c>
      <c r="B339" s="9">
        <f t="shared" si="18"/>
        <v>927.6645279934697</v>
      </c>
      <c r="C339" s="9">
        <f t="shared" si="19"/>
        <v>122.76661360492557</v>
      </c>
      <c r="D339" s="10">
        <f t="shared" si="20"/>
        <v>28</v>
      </c>
      <c r="E339" s="3"/>
    </row>
    <row r="340" spans="1:5" ht="12" customHeight="1">
      <c r="A340" s="3">
        <v>336</v>
      </c>
      <c r="B340" s="9">
        <f t="shared" si="18"/>
        <v>932.1095871901051</v>
      </c>
      <c r="C340" s="9">
        <f t="shared" si="19"/>
        <v>118.32155440829018</v>
      </c>
      <c r="D340" s="10">
        <f t="shared" si="20"/>
        <v>28</v>
      </c>
      <c r="E340" s="3"/>
    </row>
    <row r="341" spans="1:5" ht="12" customHeight="1">
      <c r="A341" s="3">
        <v>337</v>
      </c>
      <c r="B341" s="9">
        <f t="shared" si="18"/>
        <v>936.5759456287243</v>
      </c>
      <c r="C341" s="9">
        <f t="shared" si="19"/>
        <v>113.85519596967094</v>
      </c>
      <c r="D341" s="10">
        <f t="shared" si="20"/>
        <v>29</v>
      </c>
      <c r="E341" s="3"/>
    </row>
    <row r="342" spans="1:5" ht="12" customHeight="1">
      <c r="A342" s="3">
        <v>338</v>
      </c>
      <c r="B342" s="9">
        <f t="shared" si="18"/>
        <v>941.0637053681953</v>
      </c>
      <c r="C342" s="9">
        <f t="shared" si="19"/>
        <v>109.36743623019997</v>
      </c>
      <c r="D342" s="10">
        <f t="shared" si="20"/>
        <v>29</v>
      </c>
      <c r="E342" s="3"/>
    </row>
    <row r="343" spans="1:5" ht="12" customHeight="1">
      <c r="A343" s="3">
        <v>339</v>
      </c>
      <c r="B343" s="9">
        <f t="shared" si="18"/>
        <v>945.572968956418</v>
      </c>
      <c r="C343" s="9">
        <f t="shared" si="19"/>
        <v>104.85817264197736</v>
      </c>
      <c r="D343" s="10">
        <f t="shared" si="20"/>
        <v>29</v>
      </c>
      <c r="E343" s="3"/>
    </row>
    <row r="344" spans="1:5" ht="12" customHeight="1">
      <c r="A344" s="3">
        <v>340</v>
      </c>
      <c r="B344" s="9">
        <f t="shared" si="18"/>
        <v>950.1038394326673</v>
      </c>
      <c r="C344" s="9">
        <f t="shared" si="19"/>
        <v>100.32730216572787</v>
      </c>
      <c r="D344" s="10">
        <f t="shared" si="20"/>
        <v>29</v>
      </c>
      <c r="E344" s="3"/>
    </row>
    <row r="345" spans="1:5" ht="12" customHeight="1">
      <c r="A345" s="3">
        <v>341</v>
      </c>
      <c r="B345" s="9">
        <f t="shared" si="18"/>
        <v>954.6564203299489</v>
      </c>
      <c r="C345" s="9">
        <f t="shared" si="19"/>
        <v>95.77472126844631</v>
      </c>
      <c r="D345" s="10">
        <f t="shared" si="20"/>
        <v>29</v>
      </c>
      <c r="E345" s="3"/>
    </row>
    <row r="346" spans="1:5" ht="12" customHeight="1">
      <c r="A346" s="3">
        <v>342</v>
      </c>
      <c r="B346" s="9">
        <f t="shared" si="18"/>
        <v>959.2308156773634</v>
      </c>
      <c r="C346" s="9">
        <f t="shared" si="19"/>
        <v>91.20032592103199</v>
      </c>
      <c r="D346" s="10">
        <f t="shared" si="20"/>
        <v>29</v>
      </c>
      <c r="E346" s="3"/>
    </row>
    <row r="347" spans="1:5" ht="12" customHeight="1">
      <c r="A347" s="3">
        <v>343</v>
      </c>
      <c r="B347" s="9">
        <f t="shared" si="18"/>
        <v>963.827130002484</v>
      </c>
      <c r="C347" s="9">
        <f t="shared" si="19"/>
        <v>86.6040115959113</v>
      </c>
      <c r="D347" s="10">
        <f t="shared" si="20"/>
        <v>29</v>
      </c>
      <c r="E347" s="3"/>
    </row>
    <row r="348" spans="1:5" ht="12" customHeight="1">
      <c r="A348" s="3">
        <v>344</v>
      </c>
      <c r="B348" s="9">
        <f t="shared" si="18"/>
        <v>968.4454683337459</v>
      </c>
      <c r="C348" s="9">
        <f t="shared" si="19"/>
        <v>81.98567326464939</v>
      </c>
      <c r="D348" s="10">
        <f t="shared" si="20"/>
        <v>29</v>
      </c>
      <c r="E348" s="3"/>
    </row>
    <row r="349" spans="1:5" ht="12" customHeight="1">
      <c r="A349" s="3">
        <v>345</v>
      </c>
      <c r="B349" s="9">
        <f t="shared" si="18"/>
        <v>973.085936202845</v>
      </c>
      <c r="C349" s="9">
        <f t="shared" si="19"/>
        <v>77.34520539555018</v>
      </c>
      <c r="D349" s="10">
        <f t="shared" si="20"/>
        <v>29</v>
      </c>
      <c r="E349" s="3"/>
    </row>
    <row r="350" spans="1:5" ht="12" customHeight="1">
      <c r="A350" s="3">
        <v>346</v>
      </c>
      <c r="B350" s="9">
        <f aca="true" t="shared" si="21" ref="B350:B364">PPMT(B$2/12,A350,B$3,B$1*-1)</f>
        <v>977.7486396471504</v>
      </c>
      <c r="C350" s="9">
        <f t="shared" si="19"/>
        <v>72.68250195124487</v>
      </c>
      <c r="D350" s="10">
        <f t="shared" si="20"/>
        <v>29</v>
      </c>
      <c r="E350" s="3"/>
    </row>
    <row r="351" spans="1:5" ht="12" customHeight="1">
      <c r="A351" s="3">
        <v>347</v>
      </c>
      <c r="B351" s="9">
        <f t="shared" si="21"/>
        <v>982.4336852121262</v>
      </c>
      <c r="C351" s="9">
        <f t="shared" si="19"/>
        <v>67.99745638626895</v>
      </c>
      <c r="D351" s="10">
        <f t="shared" si="20"/>
        <v>29</v>
      </c>
      <c r="E351" s="3"/>
    </row>
    <row r="352" spans="1:5" ht="12" customHeight="1">
      <c r="A352" s="3">
        <v>348</v>
      </c>
      <c r="B352" s="9">
        <f t="shared" si="21"/>
        <v>987.1411799537677</v>
      </c>
      <c r="C352" s="9">
        <f t="shared" si="19"/>
        <v>63.28996164462751</v>
      </c>
      <c r="D352" s="10">
        <f t="shared" si="20"/>
        <v>29</v>
      </c>
      <c r="E352" s="3"/>
    </row>
    <row r="353" spans="1:5" ht="12" customHeight="1">
      <c r="A353" s="3">
        <v>349</v>
      </c>
      <c r="B353" s="9">
        <f t="shared" si="21"/>
        <v>991.8712314410461</v>
      </c>
      <c r="C353" s="9">
        <f t="shared" si="19"/>
        <v>58.55991015734905</v>
      </c>
      <c r="D353" s="10">
        <f t="shared" si="20"/>
        <v>30</v>
      </c>
      <c r="E353" s="3"/>
    </row>
    <row r="354" spans="1:5" ht="12" customHeight="1">
      <c r="A354" s="3">
        <v>350</v>
      </c>
      <c r="B354" s="9">
        <f t="shared" si="21"/>
        <v>996.6239477583679</v>
      </c>
      <c r="C354" s="9">
        <f t="shared" si="19"/>
        <v>53.80719384002737</v>
      </c>
      <c r="D354" s="10">
        <f t="shared" si="20"/>
        <v>30</v>
      </c>
      <c r="E354" s="3"/>
    </row>
    <row r="355" spans="1:5" ht="12" customHeight="1">
      <c r="A355" s="3">
        <v>351</v>
      </c>
      <c r="B355" s="9">
        <f t="shared" si="21"/>
        <v>1001.3994375080434</v>
      </c>
      <c r="C355" s="9">
        <f t="shared" si="19"/>
        <v>49.03170409035185</v>
      </c>
      <c r="D355" s="10">
        <f t="shared" si="20"/>
        <v>30</v>
      </c>
      <c r="E355" s="3"/>
    </row>
    <row r="356" spans="1:5" ht="12" customHeight="1">
      <c r="A356" s="3">
        <v>352</v>
      </c>
      <c r="B356" s="9">
        <f t="shared" si="21"/>
        <v>1006.1978098127695</v>
      </c>
      <c r="C356" s="9">
        <f t="shared" si="19"/>
        <v>44.23333178562581</v>
      </c>
      <c r="D356" s="10">
        <f t="shared" si="20"/>
        <v>30</v>
      </c>
      <c r="E356" s="3"/>
    </row>
    <row r="357" spans="1:5" ht="12" customHeight="1">
      <c r="A357" s="3">
        <v>353</v>
      </c>
      <c r="B357" s="9">
        <f t="shared" si="21"/>
        <v>1011.0191743181224</v>
      </c>
      <c r="C357" s="9">
        <f t="shared" si="19"/>
        <v>39.411967280272954</v>
      </c>
      <c r="D357" s="10">
        <f t="shared" si="20"/>
        <v>30</v>
      </c>
      <c r="E357" s="3"/>
    </row>
    <row r="358" spans="1:5" ht="12" customHeight="1">
      <c r="A358" s="3">
        <v>354</v>
      </c>
      <c r="B358" s="9">
        <f t="shared" si="21"/>
        <v>1015.8636411950633</v>
      </c>
      <c r="C358" s="9">
        <f t="shared" si="19"/>
        <v>34.567500403331955</v>
      </c>
      <c r="D358" s="10">
        <f t="shared" si="20"/>
        <v>30</v>
      </c>
      <c r="E358" s="3"/>
    </row>
    <row r="359" spans="1:5" ht="12" customHeight="1">
      <c r="A359" s="3">
        <v>355</v>
      </c>
      <c r="B359" s="9">
        <f t="shared" si="21"/>
        <v>1020.7313211424563</v>
      </c>
      <c r="C359" s="9">
        <f t="shared" si="19"/>
        <v>29.699820455938944</v>
      </c>
      <c r="D359" s="10">
        <f t="shared" si="20"/>
        <v>30</v>
      </c>
      <c r="E359" s="3"/>
    </row>
    <row r="360" spans="1:5" ht="12" customHeight="1">
      <c r="A360" s="3">
        <v>356</v>
      </c>
      <c r="B360" s="9">
        <f t="shared" si="21"/>
        <v>1025.6223253895973</v>
      </c>
      <c r="C360" s="9">
        <f t="shared" si="19"/>
        <v>24.808816208798003</v>
      </c>
      <c r="D360" s="10">
        <f t="shared" si="20"/>
        <v>30</v>
      </c>
      <c r="E360" s="3"/>
    </row>
    <row r="361" spans="1:5" ht="12" customHeight="1">
      <c r="A361" s="3">
        <v>357</v>
      </c>
      <c r="B361" s="9">
        <f t="shared" si="21"/>
        <v>1030.5367656987557</v>
      </c>
      <c r="C361" s="9">
        <f t="shared" si="19"/>
        <v>19.894375899639517</v>
      </c>
      <c r="D361" s="10">
        <f t="shared" si="20"/>
        <v>30</v>
      </c>
      <c r="E361" s="3"/>
    </row>
    <row r="362" spans="1:5" ht="12" customHeight="1">
      <c r="A362" s="3">
        <v>358</v>
      </c>
      <c r="B362" s="9">
        <f t="shared" si="21"/>
        <v>1035.474754367729</v>
      </c>
      <c r="C362" s="9">
        <f>IPMT(B$2/12,A362,B$3,B$1*-1)</f>
        <v>14.956387230666314</v>
      </c>
      <c r="D362" s="10">
        <f t="shared" si="20"/>
        <v>30</v>
      </c>
      <c r="E362" s="3"/>
    </row>
    <row r="363" spans="1:5" ht="12" customHeight="1">
      <c r="A363" s="3">
        <v>359</v>
      </c>
      <c r="B363" s="9">
        <f t="shared" si="21"/>
        <v>1040.4364042324078</v>
      </c>
      <c r="C363" s="9">
        <f>IPMT(B$2/12,A363,B$3,B$1*-1)</f>
        <v>9.994737365987609</v>
      </c>
      <c r="D363" s="10">
        <f t="shared" si="20"/>
        <v>30</v>
      </c>
      <c r="E363" s="3"/>
    </row>
    <row r="364" spans="1:5" ht="12" customHeight="1">
      <c r="A364" s="3">
        <v>360</v>
      </c>
      <c r="B364" s="9">
        <f t="shared" si="21"/>
        <v>1045.4218286693547</v>
      </c>
      <c r="C364" s="9">
        <f>IPMT(B$2/12,A364,B$3,B$1*-1)</f>
        <v>5.009312929040658</v>
      </c>
      <c r="D364" s="10">
        <f t="shared" si="20"/>
        <v>30</v>
      </c>
      <c r="E364" s="3"/>
    </row>
  </sheetData>
  <sheetProtection/>
  <mergeCells count="1">
    <mergeCell ref="F4:M8"/>
  </mergeCells>
  <printOptions/>
  <pageMargins left="0.75" right="0.75" top="1" bottom="1" header="0.5" footer="0.5"/>
  <pageSetup firstPageNumber="1" useFirstPageNumber="1" orientation="landscape" paperSize="9"/>
  <ignoredErrors>
    <ignoredError sqref="B18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Ailes</dc:creator>
  <cp:keywords/>
  <dc:description/>
  <cp:lastModifiedBy>Owner</cp:lastModifiedBy>
  <cp:lastPrinted>2012-09-14T18:07:16Z</cp:lastPrinted>
  <dcterms:created xsi:type="dcterms:W3CDTF">2011-10-31T16:51:39Z</dcterms:created>
  <dcterms:modified xsi:type="dcterms:W3CDTF">2018-03-04T18:02:44Z</dcterms:modified>
  <cp:category/>
  <cp:version/>
  <cp:contentType/>
  <cp:contentStatus/>
</cp:coreProperties>
</file>