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chartsheets/sheet2.xml" ContentType="application/vnd.openxmlformats-officedocument.spreadsheetml.chart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El\Downloads\"/>
    </mc:Choice>
  </mc:AlternateContent>
  <bookViews>
    <workbookView xWindow="0" yWindow="0" windowWidth="19200" windowHeight="6816" firstSheet="5" activeTab="5"/>
  </bookViews>
  <sheets>
    <sheet name="Preliminary ($8,000,000)" sheetId="24" state="hidden" r:id="rId1"/>
    <sheet name="Preliminary ($14,700,000)" sheetId="15" state="hidden" r:id="rId2"/>
    <sheet name="Mill Rate Chart Q1" sheetId="18" state="hidden" r:id="rId3"/>
    <sheet name="graph data Q1 (2)" sheetId="27" state="hidden" r:id="rId4"/>
    <sheet name="graph data 1 &amp; 2" sheetId="31" state="hidden" r:id="rId5"/>
    <sheet name="Tax Impact Calculator " sheetId="26" r:id="rId6"/>
    <sheet name="Matrix" sheetId="23" state="hidden" r:id="rId7"/>
    <sheet name="Preliminary - Scenario 2" sheetId="19" state="hidden" r:id="rId8"/>
    <sheet name="Mill Rate Chart - Scenario 2" sheetId="20" state="hidden" r:id="rId9"/>
    <sheet name="graph data2" sheetId="21" state="hidden" r:id="rId10"/>
  </sheets>
  <externalReferences>
    <externalReference r:id="rId11"/>
    <externalReference r:id="rId12"/>
    <externalReference r:id="rId13"/>
    <externalReference r:id="rId14"/>
    <externalReference r:id="rId15"/>
  </externalReferences>
  <definedNames>
    <definedName name="___PG1" localSheetId="3">#REF!</definedName>
    <definedName name="___PG1" localSheetId="0">#REF!</definedName>
    <definedName name="___PG1" localSheetId="5">#REF!</definedName>
    <definedName name="___PG1">#REF!</definedName>
    <definedName name="__123Graph_Bds" localSheetId="3" hidden="1">[1]CAL!#REF!</definedName>
    <definedName name="__123Graph_Bds" hidden="1">[1]CAL!#REF!</definedName>
    <definedName name="__PG1" localSheetId="3">#REF!</definedName>
    <definedName name="__PG1" localSheetId="0">#REF!</definedName>
    <definedName name="__PG1" localSheetId="5">#REF!</definedName>
    <definedName name="__PG1">#REF!</definedName>
    <definedName name="_1__123Graph_BMILL_COMP" localSheetId="3" hidden="1">[2]data!#REF!</definedName>
    <definedName name="_1__123Graph_BMILL_COMP" localSheetId="0" hidden="1">[2]data!#REF!</definedName>
    <definedName name="_1__123Graph_BMILL_COMP" localSheetId="5" hidden="1">[2]data!#REF!</definedName>
    <definedName name="_1__123Graph_BMILL_COMP" hidden="1">[2]data!#REF!</definedName>
    <definedName name="_2__123Graph_BMILL_COMP" localSheetId="3" hidden="1">[2]data!#REF!</definedName>
    <definedName name="_2__123Graph_BMILL_COMP" hidden="1">[2]data!#REF!</definedName>
    <definedName name="_4__123Graph_BMILL_COMP" localSheetId="3" hidden="1">[2]data!#REF!</definedName>
    <definedName name="_4__123Graph_BMILL_COMP" hidden="1">[2]data!#REF!</definedName>
    <definedName name="_CAL2" localSheetId="3">#REF!</definedName>
    <definedName name="_CAL2">#REF!</definedName>
    <definedName name="_CAL3" localSheetId="3">#REF!</definedName>
    <definedName name="_CAL3">#REF!</definedName>
    <definedName name="_cds2" localSheetId="3">#REF!</definedName>
    <definedName name="_cds2">#REF!</definedName>
    <definedName name="_Key1" localSheetId="3" hidden="1">#REF!</definedName>
    <definedName name="_Key1" localSheetId="0" hidden="1">#REF!</definedName>
    <definedName name="_Key1" localSheetId="5" hidden="1">#REF!</definedName>
    <definedName name="_Key1" hidden="1">#REF!</definedName>
    <definedName name="_Order1" localSheetId="5" hidden="1">255</definedName>
    <definedName name="_Order1" hidden="1">255</definedName>
    <definedName name="_Order2" localSheetId="5" hidden="1">255</definedName>
    <definedName name="_Order2" hidden="1">255</definedName>
    <definedName name="_pds1" localSheetId="3">#REF!</definedName>
    <definedName name="_pds1">#REF!</definedName>
    <definedName name="_pds2" localSheetId="3">#REF!</definedName>
    <definedName name="_pds2">#REF!</definedName>
    <definedName name="_PG1" localSheetId="3">#REF!</definedName>
    <definedName name="_PG1" localSheetId="0">#REF!</definedName>
    <definedName name="_PG1" localSheetId="5">#REF!</definedName>
    <definedName name="_PG1">#REF!</definedName>
    <definedName name="_PG2" localSheetId="3">#REF!</definedName>
    <definedName name="_PG2" localSheetId="0">#REF!</definedName>
    <definedName name="_PG2">#REF!</definedName>
    <definedName name="_PG3" localSheetId="3">#REF!</definedName>
    <definedName name="_PG3">#REF!</definedName>
    <definedName name="_PMT1" localSheetId="3">[3]Inputs!#REF!</definedName>
    <definedName name="_PMT1">[3]Inputs!#REF!</definedName>
    <definedName name="_PMT2" localSheetId="3">[3]Inputs!#REF!</definedName>
    <definedName name="_PMT2">[3]Inputs!#REF!</definedName>
    <definedName name="_ref1" localSheetId="3">#REF!</definedName>
    <definedName name="_ref1" localSheetId="0">#REF!</definedName>
    <definedName name="_ref1" localSheetId="5">#REF!</definedName>
    <definedName name="_ref1">#REF!</definedName>
    <definedName name="_REF2" localSheetId="3">#REF!</definedName>
    <definedName name="_REF2" localSheetId="0">#REF!</definedName>
    <definedName name="_REF2" localSheetId="5">#REF!</definedName>
    <definedName name="_REF2">#REF!</definedName>
    <definedName name="_Sort" localSheetId="3" hidden="1">#REF!</definedName>
    <definedName name="_Sort" localSheetId="0" hidden="1">#REF!</definedName>
    <definedName name="_Sort" localSheetId="5" hidden="1">#REF!</definedName>
    <definedName name="_Sort" hidden="1">#REF!</definedName>
    <definedName name="A" localSheetId="3">#REF!</definedName>
    <definedName name="A">#REF!</definedName>
    <definedName name="aaa" localSheetId="3">#REF!</definedName>
    <definedName name="aaa" localSheetId="0">#REF!</definedName>
    <definedName name="aaa">#REF!</definedName>
    <definedName name="aaaaa" localSheetId="3">#REF!</definedName>
    <definedName name="aaaaa" localSheetId="0">#REF!</definedName>
    <definedName name="aaaaa">#REF!</definedName>
    <definedName name="adf" localSheetId="3">#REF!</definedName>
    <definedName name="adf" localSheetId="5">#REF!</definedName>
    <definedName name="adf">#REF!</definedName>
    <definedName name="adjyield" localSheetId="3">#REF!</definedName>
    <definedName name="adjyield">#REF!</definedName>
    <definedName name="Allocation" localSheetId="3">#REF!</definedName>
    <definedName name="Allocation">#REF!</definedName>
    <definedName name="AOID" localSheetId="3">#REF!</definedName>
    <definedName name="AOID">#REF!</definedName>
    <definedName name="asdf" localSheetId="3">#REF!</definedName>
    <definedName name="asdf" localSheetId="0">#REF!</definedName>
    <definedName name="asdf">#REF!</definedName>
    <definedName name="asdfadf" localSheetId="3">#REF!</definedName>
    <definedName name="asdfadf" localSheetId="0">#REF!</definedName>
    <definedName name="asdfadf">#REF!</definedName>
    <definedName name="ASDFASDFASDF" localSheetId="3">#REF!</definedName>
    <definedName name="ASDFASDFASDF">#REF!</definedName>
    <definedName name="asdfdf" localSheetId="3">#REF!</definedName>
    <definedName name="asdfdf" localSheetId="5">#REF!</definedName>
    <definedName name="asdfdf">#REF!</definedName>
    <definedName name="asfasdf" localSheetId="3">#REF!</definedName>
    <definedName name="asfasdf" localSheetId="5">#REF!</definedName>
    <definedName name="asfasdf">#REF!</definedName>
    <definedName name="AVGLIFE" localSheetId="3">#REF!</definedName>
    <definedName name="AVGLIFE">#REF!</definedName>
    <definedName name="B" localSheetId="3">#REF!</definedName>
    <definedName name="B">#REF!</definedName>
    <definedName name="BEGINBAL" localSheetId="3">[3]Inputs!#REF!</definedName>
    <definedName name="BEGINBAL">[3]Inputs!#REF!</definedName>
    <definedName name="BFBAL" localSheetId="3">[3]Inputs!#REF!</definedName>
    <definedName name="BFBAL">[3]Inputs!#REF!</definedName>
    <definedName name="BOID" localSheetId="3">#REF!</definedName>
    <definedName name="BOID">#REF!</definedName>
    <definedName name="Bonds" localSheetId="3">#REF!</definedName>
    <definedName name="Bonds">#REF!</definedName>
    <definedName name="BondYield" localSheetId="3">#REF!</definedName>
    <definedName name="BondYield">#REF!</definedName>
    <definedName name="CABPremium" localSheetId="3">#REF!</definedName>
    <definedName name="CABPremium">#REF!</definedName>
    <definedName name="Call" localSheetId="3">#REF!</definedName>
    <definedName name="Call">#REF!</definedName>
    <definedName name="Callable" localSheetId="3">#REF!</definedName>
    <definedName name="Callable">#REF!</definedName>
    <definedName name="CIBOID" localSheetId="3">#REF!</definedName>
    <definedName name="CIBOID">#REF!</definedName>
    <definedName name="CIBs" localSheetId="3">#REF!</definedName>
    <definedName name="CIBs">#REF!</definedName>
    <definedName name="DATEDFIRSTINT" localSheetId="3">[3]Inputs!#REF!</definedName>
    <definedName name="DATEDFIRSTINT">[3]Inputs!#REF!</definedName>
    <definedName name="Deep" localSheetId="3">#REF!</definedName>
    <definedName name="Deep">#REF!</definedName>
    <definedName name="dg" localSheetId="3">#REF!</definedName>
    <definedName name="dg" localSheetId="0">#REF!</definedName>
    <definedName name="dg" localSheetId="5">#REF!</definedName>
    <definedName name="dg">#REF!</definedName>
    <definedName name="drew" hidden="1">'[4]d s'!$AD$18:$AD$36</definedName>
    <definedName name="escrow1" localSheetId="3">#REF!</definedName>
    <definedName name="escrow1">#REF!</definedName>
    <definedName name="escrow2" localSheetId="3">#REF!</definedName>
    <definedName name="escrow2">#REF!</definedName>
    <definedName name="escrow3" localSheetId="3">#REF!</definedName>
    <definedName name="escrow3">#REF!</definedName>
    <definedName name="fasfdasdf" localSheetId="3">#REF!</definedName>
    <definedName name="fasfdasdf" localSheetId="5">#REF!</definedName>
    <definedName name="fasfdasdf">#REF!</definedName>
    <definedName name="fds" localSheetId="3">#REF!</definedName>
    <definedName name="fds" localSheetId="0">#REF!</definedName>
    <definedName name="fds" localSheetId="5">#REF!</definedName>
    <definedName name="fds">#REF!</definedName>
    <definedName name="fdsg" localSheetId="3">#REF!</definedName>
    <definedName name="fdsg" localSheetId="0">#REF!</definedName>
    <definedName name="fdsg">#REF!</definedName>
    <definedName name="fgasfasdfasdf" localSheetId="3" hidden="1">#REF!</definedName>
    <definedName name="fgasfasdfasdf" localSheetId="0" hidden="1">#REF!</definedName>
    <definedName name="fgasfasdfasdf" hidden="1">#REF!</definedName>
    <definedName name="FIRSTFLOAT" localSheetId="3">[3]Inputs!#REF!</definedName>
    <definedName name="FIRSTFLOAT">[3]Inputs!#REF!</definedName>
    <definedName name="FIRSTMAT" localSheetId="3">[3]Inputs!#REF!</definedName>
    <definedName name="FIRSTMAT">[3]Inputs!#REF!</definedName>
    <definedName name="FLOAT1" localSheetId="3">[3]Inputs!#REF!</definedName>
    <definedName name="FLOAT1">[3]Inputs!#REF!</definedName>
    <definedName name="FLOAT2" localSheetId="3">[3]Inputs!#REF!</definedName>
    <definedName name="FLOAT2">[3]Inputs!#REF!</definedName>
    <definedName name="graph" hidden="1">'[4]d s'!$AD$18:$AD$36</definedName>
    <definedName name="GROSSINT">[5]A!$F$105</definedName>
    <definedName name="June" localSheetId="5" hidden="1">{#N/A,#N/A,FALSE,"OPTION 1";#N/A,#N/A,FALSE,"OPTION 2"}</definedName>
    <definedName name="June" hidden="1">{#N/A,#N/A,FALSE,"OPTION 1";#N/A,#N/A,FALSE,"OPTION 2"}</definedName>
    <definedName name="l" localSheetId="3">#REF!</definedName>
    <definedName name="l">#REF!</definedName>
    <definedName name="LJLJ" localSheetId="3">#REF!</definedName>
    <definedName name="LJLJ">#REF!</definedName>
    <definedName name="LTFUNDS" localSheetId="3">[3]Inputs!#REF!</definedName>
    <definedName name="LTFUNDS">[3]Inputs!#REF!</definedName>
    <definedName name="LTFUNDS_NEW" localSheetId="3">[3]Inputs!#REF!</definedName>
    <definedName name="LTFUNDS_NEW">[3]Inputs!#REF!</definedName>
    <definedName name="LTRATE" localSheetId="3">[3]Inputs!#REF!</definedName>
    <definedName name="LTRATE">[3]Inputs!#REF!</definedName>
    <definedName name="maturity1" localSheetId="3">#REF!</definedName>
    <definedName name="maturity1">#REF!</definedName>
    <definedName name="maturity2" localSheetId="3">#REF!</definedName>
    <definedName name="maturity2">#REF!</definedName>
    <definedName name="maturity3" localSheetId="3">#REF!</definedName>
    <definedName name="maturity3">#REF!</definedName>
    <definedName name="Mortgage_Interest_Rate__After_Conversion" localSheetId="3">[3]Inputs!#REF!</definedName>
    <definedName name="Mortgage_Interest_Rate__After_Conversion">[3]Inputs!#REF!</definedName>
    <definedName name="MTGBAL" localSheetId="3">[3]Inputs!#REF!</definedName>
    <definedName name="MTGBAL">[3]Inputs!#REF!</definedName>
    <definedName name="OID" localSheetId="3">#REF!</definedName>
    <definedName name="OID">#REF!</definedName>
    <definedName name="op1a" localSheetId="3">#REF!</definedName>
    <definedName name="op1a" localSheetId="6">#REF!</definedName>
    <definedName name="op1a" localSheetId="0">#REF!</definedName>
    <definedName name="op1a" localSheetId="5">#REF!</definedName>
    <definedName name="op1a">#REF!</definedName>
    <definedName name="op1b" localSheetId="3">#REF!</definedName>
    <definedName name="op1b" localSheetId="6">#REF!</definedName>
    <definedName name="op1b" localSheetId="0">#REF!</definedName>
    <definedName name="op1b" localSheetId="5">#REF!</definedName>
    <definedName name="op1b">#REF!</definedName>
    <definedName name="op2a" localSheetId="3">#REF!</definedName>
    <definedName name="op2a" localSheetId="6">#REF!</definedName>
    <definedName name="op2a" localSheetId="0">#REF!</definedName>
    <definedName name="op2a" localSheetId="5">#REF!</definedName>
    <definedName name="op2a">#REF!</definedName>
    <definedName name="op2b" localSheetId="3">#REF!</definedName>
    <definedName name="op2b" localSheetId="0">#REF!</definedName>
    <definedName name="op2b" localSheetId="5">#REF!</definedName>
    <definedName name="op2b">#REF!</definedName>
    <definedName name="Page_1" localSheetId="3">#REF!</definedName>
    <definedName name="Page_1" localSheetId="0">#REF!</definedName>
    <definedName name="Page_1">#REF!</definedName>
    <definedName name="PAGE0" localSheetId="3">#REF!</definedName>
    <definedName name="PAGE0" localSheetId="0">#REF!</definedName>
    <definedName name="PAGE0" localSheetId="5">#REF!</definedName>
    <definedName name="PAGE0">#REF!</definedName>
    <definedName name="page1" localSheetId="3">#REF!</definedName>
    <definedName name="page1" localSheetId="0">#REF!</definedName>
    <definedName name="page1" localSheetId="5">#REF!</definedName>
    <definedName name="page1">#REF!</definedName>
    <definedName name="page2" localSheetId="3">#REF!</definedName>
    <definedName name="page2" localSheetId="0">#REF!</definedName>
    <definedName name="page2" localSheetId="5">#REF!</definedName>
    <definedName name="page2">#REF!</definedName>
    <definedName name="page3" localSheetId="3">#REF!</definedName>
    <definedName name="page3" localSheetId="0">#REF!</definedName>
    <definedName name="page3" localSheetId="5">#REF!</definedName>
    <definedName name="page3">#REF!</definedName>
    <definedName name="page4" localSheetId="3">#REF!</definedName>
    <definedName name="page4" localSheetId="0">#REF!</definedName>
    <definedName name="page4" localSheetId="5">#REF!</definedName>
    <definedName name="page4">#REF!</definedName>
    <definedName name="page5" localSheetId="3">#REF!</definedName>
    <definedName name="page5" localSheetId="0">#REF!</definedName>
    <definedName name="page5" localSheetId="5">#REF!</definedName>
    <definedName name="page5">#REF!</definedName>
    <definedName name="PAR" localSheetId="3">#REF!</definedName>
    <definedName name="PAR">#REF!</definedName>
    <definedName name="_xlnm.Print_Area" localSheetId="4">'graph data 1 &amp; 2'!$C$1:$T$43</definedName>
    <definedName name="_xlnm.Print_Area" localSheetId="3">'graph data Q1 (2)'!$C$1:$R$43</definedName>
    <definedName name="_xlnm.Print_Area" localSheetId="9">'graph data2'!$C$1:$N$21</definedName>
    <definedName name="_xlnm.Print_Area" localSheetId="6">Matrix!$C$5:$E$37</definedName>
    <definedName name="_xlnm.Print_Area" localSheetId="7">'Preliminary - Scenario 2'!$G$1:$AJ$46</definedName>
    <definedName name="_xlnm.Print_Area" localSheetId="1">'Preliminary ($14,700,000)'!$G$1:$AL$49</definedName>
    <definedName name="_xlnm.Print_Area" localSheetId="0">'Preliminary ($8,000,000)'!$G$1:$AL$49</definedName>
    <definedName name="_xlnm.Print_Area" localSheetId="5">'Tax Impact Calculator '!$A$1:$E$34</definedName>
    <definedName name="PRODUCTION" localSheetId="3">#REF!</definedName>
    <definedName name="PRODUCTION">#REF!</definedName>
    <definedName name="Prorata" localSheetId="3">#REF!</definedName>
    <definedName name="Prorata">#REF!</definedName>
    <definedName name="refunded1" localSheetId="3">#REF!</definedName>
    <definedName name="refunded1">#REF!</definedName>
    <definedName name="refunded2" localSheetId="3">#REF!</definedName>
    <definedName name="refunded2">#REF!</definedName>
    <definedName name="refunded3" localSheetId="3">#REF!</definedName>
    <definedName name="refunded3">#REF!</definedName>
    <definedName name="rwt" localSheetId="3" hidden="1">#REF!</definedName>
    <definedName name="rwt" localSheetId="0" hidden="1">#REF!</definedName>
    <definedName name="rwt" localSheetId="5" hidden="1">#REF!</definedName>
    <definedName name="rwt" hidden="1">#REF!</definedName>
    <definedName name="Savings" localSheetId="3">#REF!</definedName>
    <definedName name="Savings">#REF!</definedName>
    <definedName name="sdfsdfaf" localSheetId="3">#REF!</definedName>
    <definedName name="sdfsdfaf" localSheetId="5">#REF!</definedName>
    <definedName name="sdfsdfaf">#REF!</definedName>
    <definedName name="SECONDINT" localSheetId="3">[3]Inputs!#REF!</definedName>
    <definedName name="SECONDINT">[3]Inputs!#REF!</definedName>
    <definedName name="semi1" localSheetId="3">#REF!</definedName>
    <definedName name="semi1" localSheetId="0">#REF!</definedName>
    <definedName name="semi1" localSheetId="5">#REF!</definedName>
    <definedName name="semi1">#REF!</definedName>
    <definedName name="semi2" localSheetId="3">#REF!</definedName>
    <definedName name="semi2" localSheetId="0">#REF!</definedName>
    <definedName name="semi2" localSheetId="5">#REF!</definedName>
    <definedName name="semi2">#REF!</definedName>
    <definedName name="sources1" localSheetId="3">#REF!</definedName>
    <definedName name="sources1">#REF!</definedName>
    <definedName name="sources3" localSheetId="3">#REF!</definedName>
    <definedName name="sources3">#REF!</definedName>
    <definedName name="STRATE" localSheetId="3">[3]Inputs!#REF!</definedName>
    <definedName name="STRATE">[3]Inputs!#REF!</definedName>
    <definedName name="SUMM" localSheetId="3">#REF!</definedName>
    <definedName name="SUMM">#REF!</definedName>
    <definedName name="SUMMARY" localSheetId="3">#REF!</definedName>
    <definedName name="SUMMARY" localSheetId="0">#REF!</definedName>
    <definedName name="SUMMARY" localSheetId="5">#REF!</definedName>
    <definedName name="SUMMARY">#REF!</definedName>
    <definedName name="term" localSheetId="3">#REF!</definedName>
    <definedName name="term">#REF!</definedName>
    <definedName name="TOTALBONDS" localSheetId="3">#REF!</definedName>
    <definedName name="TOTALBONDS">#REF!</definedName>
    <definedName name="TP" localSheetId="3">#REF!</definedName>
    <definedName name="TP">#REF!</definedName>
    <definedName name="VALUTION" localSheetId="3">#REF!</definedName>
    <definedName name="VALUTION" localSheetId="0">#REF!</definedName>
    <definedName name="VALUTION" localSheetId="5">#REF!</definedName>
    <definedName name="VALUTION">#REF!</definedName>
    <definedName name="VARIABLES" localSheetId="3">#REF!</definedName>
    <definedName name="VARIABLES" localSheetId="0">#REF!</definedName>
    <definedName name="VARIABLES" localSheetId="5">#REF!</definedName>
    <definedName name="VARIABLES">#REF!</definedName>
    <definedName name="wda" localSheetId="3">#REF!</definedName>
    <definedName name="wda" localSheetId="0">#REF!</definedName>
    <definedName name="wda" localSheetId="5">#REF!</definedName>
    <definedName name="wda">#REF!</definedName>
    <definedName name="wfasdf" localSheetId="3">#REF!</definedName>
    <definedName name="wfasdf">#REF!</definedName>
    <definedName name="wrn.OPTION._.1." localSheetId="5" hidden="1">{#N/A,#N/A,FALSE,"OPTION 1";#N/A,#N/A,FALSE,"OPTION 2"}</definedName>
    <definedName name="wrn.OPTION._.1." hidden="1">{#N/A,#N/A,FALSE,"OPTION 1";#N/A,#N/A,FALSE,"OPTION 2"}</definedName>
    <definedName name="wrn.report." localSheetId="5" hidden="1">{#N/A,#N/A,FALSE,"Option 1";#N/A,#N/A,FALSE,"Option 2";#N/A,#N/A,FALSE,"Option 3"}</definedName>
    <definedName name="wrn.report." hidden="1">{#N/A,#N/A,FALSE,"Option 1";#N/A,#N/A,FALSE,"Option 2";#N/A,#N/A,FALSE,"Option 3"}</definedName>
    <definedName name="wrn.summary." localSheetId="5" hidden="1">{#N/A,#N/A,FALSE,"summary"}</definedName>
    <definedName name="wrn.summary." hidden="1">{#N/A,#N/A,FALSE,"summary"}</definedName>
    <definedName name="y" localSheetId="3" hidden="1">#REF!</definedName>
    <definedName name="y" localSheetId="0" hidden="1">#REF!</definedName>
    <definedName name="y" localSheetId="5" hidden="1">#REF!</definedName>
    <definedName name="y" hidden="1">#REF!</definedName>
  </definedNames>
  <calcPr calcId="152511"/>
</workbook>
</file>

<file path=xl/calcChain.xml><?xml version="1.0" encoding="utf-8"?>
<calcChain xmlns="http://schemas.openxmlformats.org/spreadsheetml/2006/main">
  <c r="D28" i="26" l="1"/>
  <c r="G38" i="23" l="1"/>
  <c r="P21" i="31" l="1"/>
  <c r="T21" i="31" l="1"/>
  <c r="T22" i="31" s="1"/>
  <c r="T23" i="31" s="1"/>
  <c r="T24" i="31" s="1"/>
  <c r="T25" i="31" s="1"/>
  <c r="D21" i="31"/>
  <c r="F21" i="31" s="1"/>
  <c r="Q20" i="31"/>
  <c r="P20" i="31"/>
  <c r="R20" i="31" s="1"/>
  <c r="G20" i="31"/>
  <c r="S20" i="31" s="1"/>
  <c r="Q19" i="31"/>
  <c r="P19" i="31"/>
  <c r="R19" i="31" s="1"/>
  <c r="G19" i="31"/>
  <c r="Q18" i="31"/>
  <c r="P18" i="31"/>
  <c r="R18" i="31" s="1"/>
  <c r="G18" i="31"/>
  <c r="P17" i="31"/>
  <c r="R17" i="31" s="1"/>
  <c r="G17" i="31"/>
  <c r="S11" i="31"/>
  <c r="R11" i="31"/>
  <c r="Q11" i="31"/>
  <c r="R10" i="31"/>
  <c r="Q10" i="31"/>
  <c r="R9" i="31"/>
  <c r="Q9" i="31"/>
  <c r="R8" i="31"/>
  <c r="S9" i="31" s="1"/>
  <c r="Q8" i="31"/>
  <c r="R7" i="31"/>
  <c r="S10" i="31" l="1"/>
  <c r="R21" i="31"/>
  <c r="S18" i="31"/>
  <c r="T26" i="31"/>
  <c r="S8" i="31"/>
  <c r="G21" i="31"/>
  <c r="S21" i="31" s="1"/>
  <c r="Q21" i="31"/>
  <c r="S19" i="31"/>
  <c r="F22" i="31"/>
  <c r="K21" i="31"/>
  <c r="R23" i="27"/>
  <c r="R24" i="27" s="1"/>
  <c r="R22" i="27"/>
  <c r="R21" i="27"/>
  <c r="K21" i="27"/>
  <c r="D21" i="27"/>
  <c r="F21" i="27" s="1"/>
  <c r="O20" i="27"/>
  <c r="N20" i="27"/>
  <c r="P20" i="27" s="1"/>
  <c r="G20" i="27"/>
  <c r="Q20" i="27" s="1"/>
  <c r="O19" i="27"/>
  <c r="N19" i="27"/>
  <c r="P19" i="27" s="1"/>
  <c r="G19" i="27"/>
  <c r="O18" i="27"/>
  <c r="N18" i="27"/>
  <c r="P18" i="27" s="1"/>
  <c r="G18" i="27"/>
  <c r="N17" i="27"/>
  <c r="P17" i="27" s="1"/>
  <c r="G17" i="27"/>
  <c r="P11" i="27"/>
  <c r="O11" i="27"/>
  <c r="P10" i="27"/>
  <c r="O10" i="27"/>
  <c r="P9" i="27"/>
  <c r="O9" i="27"/>
  <c r="P8" i="27"/>
  <c r="O8" i="27"/>
  <c r="P7" i="27"/>
  <c r="Q9" i="27" l="1"/>
  <c r="Q11" i="27"/>
  <c r="Q8" i="27"/>
  <c r="Q19" i="27"/>
  <c r="Q18" i="27"/>
  <c r="T27" i="31"/>
  <c r="G22" i="31"/>
  <c r="F23" i="31"/>
  <c r="R25" i="27"/>
  <c r="N21" i="27"/>
  <c r="P21" i="27" s="1"/>
  <c r="F22" i="27"/>
  <c r="O21" i="27"/>
  <c r="G21" i="27"/>
  <c r="Q21" i="27" s="1"/>
  <c r="Q10" i="27"/>
  <c r="T28" i="31" l="1"/>
  <c r="F24" i="31"/>
  <c r="G23" i="31"/>
  <c r="F23" i="27"/>
  <c r="G22" i="27"/>
  <c r="R26" i="27"/>
  <c r="T29" i="31" l="1"/>
  <c r="F25" i="31"/>
  <c r="G24" i="31"/>
  <c r="R27" i="27"/>
  <c r="F24" i="27"/>
  <c r="G23" i="27"/>
  <c r="T30" i="31" l="1"/>
  <c r="G25" i="31"/>
  <c r="F26" i="31"/>
  <c r="G24" i="27"/>
  <c r="F25" i="27"/>
  <c r="R28" i="27"/>
  <c r="T31" i="31" l="1"/>
  <c r="G26" i="31"/>
  <c r="F27" i="31"/>
  <c r="R29" i="27"/>
  <c r="G25" i="27"/>
  <c r="F26" i="27"/>
  <c r="T32" i="31" l="1"/>
  <c r="F28" i="31"/>
  <c r="G27" i="31"/>
  <c r="F27" i="27"/>
  <c r="G26" i="27"/>
  <c r="R30" i="27"/>
  <c r="T33" i="31" l="1"/>
  <c r="F29" i="31"/>
  <c r="G28" i="31"/>
  <c r="R31" i="27"/>
  <c r="F28" i="27"/>
  <c r="G27" i="27"/>
  <c r="T34" i="31" l="1"/>
  <c r="G29" i="31"/>
  <c r="F30" i="31"/>
  <c r="G28" i="27"/>
  <c r="F29" i="27"/>
  <c r="R32" i="27"/>
  <c r="T35" i="31" l="1"/>
  <c r="G30" i="31"/>
  <c r="F31" i="31"/>
  <c r="R33" i="27"/>
  <c r="G29" i="27"/>
  <c r="F30" i="27"/>
  <c r="T36" i="31" l="1"/>
  <c r="F32" i="31"/>
  <c r="G31" i="31"/>
  <c r="F31" i="27"/>
  <c r="G30" i="27"/>
  <c r="R34" i="27"/>
  <c r="T37" i="31" l="1"/>
  <c r="F33" i="31"/>
  <c r="G32" i="31"/>
  <c r="R35" i="27"/>
  <c r="G31" i="27"/>
  <c r="F32" i="27"/>
  <c r="T38" i="31" l="1"/>
  <c r="G33" i="31"/>
  <c r="F34" i="31"/>
  <c r="G32" i="27"/>
  <c r="F33" i="27"/>
  <c r="R36" i="27"/>
  <c r="T39" i="31" l="1"/>
  <c r="G34" i="31"/>
  <c r="F35" i="31"/>
  <c r="R37" i="27"/>
  <c r="G33" i="27"/>
  <c r="F34" i="27"/>
  <c r="T40" i="31" l="1"/>
  <c r="F36" i="31"/>
  <c r="G35" i="31"/>
  <c r="F35" i="27"/>
  <c r="G34" i="27"/>
  <c r="R38" i="27"/>
  <c r="T41" i="31" l="1"/>
  <c r="F37" i="31"/>
  <c r="G36" i="31"/>
  <c r="R39" i="27"/>
  <c r="G35" i="27"/>
  <c r="F36" i="27"/>
  <c r="T42" i="31" l="1"/>
  <c r="G37" i="31"/>
  <c r="F38" i="31"/>
  <c r="G36" i="27"/>
  <c r="F37" i="27"/>
  <c r="R40" i="27"/>
  <c r="T43" i="31" l="1"/>
  <c r="G38" i="31"/>
  <c r="F39" i="31"/>
  <c r="R41" i="27"/>
  <c r="G37" i="27"/>
  <c r="F38" i="27"/>
  <c r="F40" i="31" l="1"/>
  <c r="G39" i="31"/>
  <c r="F39" i="27"/>
  <c r="G38" i="27"/>
  <c r="F41" i="31" l="1"/>
  <c r="G40" i="31"/>
  <c r="F40" i="27"/>
  <c r="G39" i="27"/>
  <c r="G41" i="31" l="1"/>
  <c r="F42" i="31"/>
  <c r="G40" i="27"/>
  <c r="F41" i="27"/>
  <c r="G42" i="31" l="1"/>
  <c r="F43" i="31"/>
  <c r="G43" i="31" s="1"/>
  <c r="G41" i="27"/>
  <c r="L43" i="31" l="1"/>
  <c r="M43" i="31" l="1"/>
  <c r="N43" i="31"/>
  <c r="O43" i="31" l="1"/>
  <c r="P43" i="31"/>
  <c r="R43" i="31" s="1"/>
  <c r="BA15" i="15" l="1"/>
  <c r="BA16" i="15"/>
  <c r="BA17" i="15"/>
  <c r="BA18" i="15"/>
  <c r="BA19" i="15"/>
  <c r="BA20" i="15"/>
  <c r="BA21" i="15"/>
  <c r="BA22" i="15"/>
  <c r="BA23" i="15"/>
  <c r="BA24" i="15"/>
  <c r="BA25" i="15"/>
  <c r="BA26" i="15"/>
  <c r="BA27" i="15"/>
  <c r="BA28" i="15"/>
  <c r="BA29" i="15"/>
  <c r="BA30" i="15"/>
  <c r="BA31" i="15"/>
  <c r="BA32" i="15"/>
  <c r="BA33" i="15"/>
  <c r="BA34" i="15"/>
  <c r="BA14" i="15"/>
  <c r="BA13" i="15"/>
  <c r="BA34" i="24"/>
  <c r="BA33" i="24"/>
  <c r="BA32" i="24"/>
  <c r="BA31" i="24"/>
  <c r="BA30" i="24"/>
  <c r="BA29" i="24"/>
  <c r="BA28" i="24"/>
  <c r="BA27" i="24"/>
  <c r="BA26" i="24"/>
  <c r="BA25" i="24"/>
  <c r="BA24" i="24"/>
  <c r="BA23" i="24"/>
  <c r="BA22" i="24"/>
  <c r="BA21" i="24"/>
  <c r="BA20" i="24"/>
  <c r="BA19" i="24"/>
  <c r="BA18" i="24"/>
  <c r="BA17" i="24"/>
  <c r="BA16" i="24"/>
  <c r="BA15" i="24"/>
  <c r="BA14" i="24"/>
  <c r="BA13" i="24"/>
  <c r="BB13" i="24" l="1"/>
  <c r="BC13" i="24" s="1"/>
  <c r="BD13" i="24" s="1"/>
  <c r="BB13" i="15"/>
  <c r="BC13" i="15" s="1"/>
  <c r="BD13" i="15" s="1"/>
  <c r="G46" i="24" l="1"/>
  <c r="AZ37" i="24"/>
  <c r="AT37" i="24"/>
  <c r="W37" i="24"/>
  <c r="U37" i="24"/>
  <c r="J37" i="24"/>
  <c r="Y35" i="24"/>
  <c r="P34" i="24"/>
  <c r="P37" i="24" s="1"/>
  <c r="AQ33" i="24"/>
  <c r="AQ32" i="24"/>
  <c r="AQ31" i="24"/>
  <c r="AQ30" i="24"/>
  <c r="AQ29" i="24"/>
  <c r="AQ28" i="24"/>
  <c r="AQ27" i="24"/>
  <c r="AQ26" i="24"/>
  <c r="AQ25" i="24"/>
  <c r="AQ24" i="24"/>
  <c r="AQ23" i="24"/>
  <c r="AQ22" i="24"/>
  <c r="AQ21" i="24"/>
  <c r="AQ20" i="24"/>
  <c r="AQ19" i="24"/>
  <c r="AQ18" i="24"/>
  <c r="AQ17" i="24"/>
  <c r="AP17" i="24"/>
  <c r="AP18" i="24" s="1"/>
  <c r="AP19" i="24" s="1"/>
  <c r="AP20" i="24" s="1"/>
  <c r="AP21" i="24" s="1"/>
  <c r="AP22" i="24" s="1"/>
  <c r="AP23" i="24" s="1"/>
  <c r="AP24" i="24" s="1"/>
  <c r="AP25" i="24" s="1"/>
  <c r="AP26" i="24" s="1"/>
  <c r="AP27" i="24" s="1"/>
  <c r="AP28" i="24" s="1"/>
  <c r="AP29" i="24" s="1"/>
  <c r="AP30" i="24" s="1"/>
  <c r="AP31" i="24" s="1"/>
  <c r="AP32" i="24" s="1"/>
  <c r="AP33" i="24" s="1"/>
  <c r="AP34" i="24" s="1"/>
  <c r="AQ16" i="24"/>
  <c r="AM16" i="24"/>
  <c r="H16" i="24"/>
  <c r="H17" i="24" s="1"/>
  <c r="G16" i="24"/>
  <c r="A16" i="24"/>
  <c r="A17" i="24" s="1"/>
  <c r="B17" i="24" s="1"/>
  <c r="AX15" i="24"/>
  <c r="AW15" i="24"/>
  <c r="AQ15" i="24"/>
  <c r="AO15" i="24"/>
  <c r="AM15" i="24"/>
  <c r="N15" i="24"/>
  <c r="N37" i="24" s="1"/>
  <c r="C15" i="24"/>
  <c r="D15" i="24" s="1"/>
  <c r="B15" i="24"/>
  <c r="AU14" i="24"/>
  <c r="BB14" i="24" s="1"/>
  <c r="AE14" i="24"/>
  <c r="AG14" i="24" s="1"/>
  <c r="AC14" i="24"/>
  <c r="L14" i="24"/>
  <c r="L13" i="24"/>
  <c r="C16" i="24" l="1"/>
  <c r="D16" i="24" s="1"/>
  <c r="E16" i="24" s="1"/>
  <c r="AX16" i="24"/>
  <c r="B16" i="24"/>
  <c r="E15" i="24"/>
  <c r="C17" i="24"/>
  <c r="AI14" i="24"/>
  <c r="AO16" i="24"/>
  <c r="L15" i="24"/>
  <c r="H18" i="24"/>
  <c r="AX17" i="24"/>
  <c r="AM17" i="24"/>
  <c r="AK14" i="24"/>
  <c r="BC14" i="24"/>
  <c r="A18" i="24"/>
  <c r="AW16" i="24"/>
  <c r="G17" i="24"/>
  <c r="AQ34" i="24"/>
  <c r="AW17" i="24" l="1"/>
  <c r="G18" i="24"/>
  <c r="AX18" i="24"/>
  <c r="AM18" i="24"/>
  <c r="H19" i="24"/>
  <c r="C18" i="24"/>
  <c r="D17" i="24"/>
  <c r="E17" i="24" s="1"/>
  <c r="AQ37" i="24"/>
  <c r="BD14" i="24"/>
  <c r="L16" i="24"/>
  <c r="AO17" i="24"/>
  <c r="A19" i="24"/>
  <c r="B18" i="24"/>
  <c r="AE15" i="24" l="1"/>
  <c r="AO18" i="24"/>
  <c r="L17" i="24"/>
  <c r="D18" i="24"/>
  <c r="E18" i="24" s="1"/>
  <c r="C19" i="24"/>
  <c r="AW18" i="24"/>
  <c r="G19" i="24"/>
  <c r="AX19" i="24"/>
  <c r="H20" i="24"/>
  <c r="AM19" i="24"/>
  <c r="A20" i="24"/>
  <c r="B19" i="24"/>
  <c r="G20" i="24" l="1"/>
  <c r="AW19" i="24"/>
  <c r="L18" i="24"/>
  <c r="AO19" i="24"/>
  <c r="B20" i="24"/>
  <c r="A21" i="24"/>
  <c r="H21" i="24"/>
  <c r="AM20" i="24"/>
  <c r="AX20" i="24"/>
  <c r="D19" i="24"/>
  <c r="E19" i="24" s="1"/>
  <c r="C20" i="24"/>
  <c r="B21" i="24" l="1"/>
  <c r="A22" i="24"/>
  <c r="G21" i="24"/>
  <c r="AW20" i="24"/>
  <c r="C21" i="24"/>
  <c r="D20" i="24"/>
  <c r="E20" i="24" s="1"/>
  <c r="AX21" i="24"/>
  <c r="H22" i="24"/>
  <c r="AM21" i="24"/>
  <c r="L19" i="24"/>
  <c r="AO20" i="24"/>
  <c r="H23" i="24" l="1"/>
  <c r="AM22" i="24"/>
  <c r="AX22" i="24"/>
  <c r="G22" i="24"/>
  <c r="AW21" i="24"/>
  <c r="C22" i="24"/>
  <c r="D21" i="24"/>
  <c r="E21" i="24" s="1"/>
  <c r="A23" i="24"/>
  <c r="B22" i="24"/>
  <c r="L20" i="24"/>
  <c r="AO21" i="24"/>
  <c r="D22" i="24" l="1"/>
  <c r="E22" i="24" s="1"/>
  <c r="C23" i="24"/>
  <c r="AM23" i="24"/>
  <c r="H24" i="24"/>
  <c r="AX23" i="24"/>
  <c r="AO22" i="24"/>
  <c r="L21" i="24"/>
  <c r="B23" i="24"/>
  <c r="A24" i="24"/>
  <c r="AW22" i="24"/>
  <c r="G23" i="24"/>
  <c r="B24" i="24" l="1"/>
  <c r="A25" i="24"/>
  <c r="L22" i="24"/>
  <c r="AO23" i="24"/>
  <c r="C24" i="24"/>
  <c r="D23" i="24"/>
  <c r="E23" i="24" s="1"/>
  <c r="G24" i="24"/>
  <c r="AW23" i="24"/>
  <c r="AM24" i="24"/>
  <c r="AX24" i="24"/>
  <c r="H25" i="24"/>
  <c r="B25" i="24" l="1"/>
  <c r="A26" i="24"/>
  <c r="C25" i="24"/>
  <c r="D24" i="24"/>
  <c r="E24" i="24" s="1"/>
  <c r="H26" i="24"/>
  <c r="AM25" i="24"/>
  <c r="AX25" i="24"/>
  <c r="AO24" i="24"/>
  <c r="L23" i="24"/>
  <c r="G25" i="24"/>
  <c r="AW24" i="24"/>
  <c r="AX26" i="24" l="1"/>
  <c r="AM26" i="24"/>
  <c r="H27" i="24"/>
  <c r="A27" i="24"/>
  <c r="B26" i="24"/>
  <c r="AO25" i="24"/>
  <c r="L24" i="24"/>
  <c r="AW25" i="24"/>
  <c r="G26" i="24"/>
  <c r="C26" i="24"/>
  <c r="D25" i="24"/>
  <c r="E25" i="24" s="1"/>
  <c r="A28" i="24" l="1"/>
  <c r="B27" i="24"/>
  <c r="D26" i="24"/>
  <c r="E26" i="24" s="1"/>
  <c r="C27" i="24"/>
  <c r="G27" i="24"/>
  <c r="AW26" i="24"/>
  <c r="AO26" i="24"/>
  <c r="L25" i="24"/>
  <c r="H28" i="24"/>
  <c r="AX27" i="24"/>
  <c r="AM27" i="24"/>
  <c r="H29" i="24" l="1"/>
  <c r="AM28" i="24"/>
  <c r="AX28" i="24"/>
  <c r="AW27" i="24"/>
  <c r="G28" i="24"/>
  <c r="AO27" i="24"/>
  <c r="L26" i="24"/>
  <c r="D27" i="24"/>
  <c r="E27" i="24" s="1"/>
  <c r="C28" i="24"/>
  <c r="B28" i="24"/>
  <c r="A29" i="24"/>
  <c r="D28" i="24" l="1"/>
  <c r="E28" i="24" s="1"/>
  <c r="C29" i="24"/>
  <c r="G29" i="24"/>
  <c r="AW28" i="24"/>
  <c r="H30" i="24"/>
  <c r="AM29" i="24"/>
  <c r="AX29" i="24"/>
  <c r="B29" i="24"/>
  <c r="A30" i="24"/>
  <c r="L27" i="24"/>
  <c r="AO28" i="24"/>
  <c r="AO29" i="24" l="1"/>
  <c r="L28" i="24"/>
  <c r="A31" i="24"/>
  <c r="B30" i="24"/>
  <c r="AX30" i="24"/>
  <c r="AM30" i="24"/>
  <c r="H31" i="24"/>
  <c r="AW29" i="24"/>
  <c r="G30" i="24"/>
  <c r="C30" i="24"/>
  <c r="D29" i="24"/>
  <c r="E29" i="24" s="1"/>
  <c r="L29" i="24" l="1"/>
  <c r="AO30" i="24"/>
  <c r="C31" i="24"/>
  <c r="D30" i="24"/>
  <c r="E30" i="24" s="1"/>
  <c r="H32" i="24"/>
  <c r="AX31" i="24"/>
  <c r="AM31" i="24"/>
  <c r="A32" i="24"/>
  <c r="B31" i="24"/>
  <c r="G31" i="24"/>
  <c r="AW30" i="24"/>
  <c r="H33" i="24" l="1"/>
  <c r="AX32" i="24"/>
  <c r="AM32" i="24"/>
  <c r="B32" i="24"/>
  <c r="A33" i="24"/>
  <c r="G32" i="24"/>
  <c r="AW31" i="24"/>
  <c r="D31" i="24"/>
  <c r="E31" i="24" s="1"/>
  <c r="C32" i="24"/>
  <c r="AO31" i="24"/>
  <c r="L30" i="24"/>
  <c r="H34" i="24" l="1"/>
  <c r="AM33" i="24"/>
  <c r="AX33" i="24"/>
  <c r="L31" i="24"/>
  <c r="AO32" i="24"/>
  <c r="G33" i="24"/>
  <c r="AW32" i="24"/>
  <c r="C33" i="24"/>
  <c r="D32" i="24"/>
  <c r="E32" i="24" s="1"/>
  <c r="B33" i="24"/>
  <c r="A34" i="24"/>
  <c r="AO33" i="24" l="1"/>
  <c r="L32" i="24"/>
  <c r="AX34" i="24"/>
  <c r="AM34" i="24"/>
  <c r="H35" i="24"/>
  <c r="C34" i="24"/>
  <c r="D34" i="24" s="1"/>
  <c r="D33" i="24"/>
  <c r="E33" i="24" s="1"/>
  <c r="B34" i="24"/>
  <c r="Q34" i="24"/>
  <c r="AR34" i="24"/>
  <c r="AW33" i="24"/>
  <c r="G34" i="24"/>
  <c r="R34" i="24" l="1"/>
  <c r="S34" i="24" s="1"/>
  <c r="Q33" i="24"/>
  <c r="AX35" i="24"/>
  <c r="AM35" i="24"/>
  <c r="L33" i="24"/>
  <c r="AO34" i="24"/>
  <c r="G35" i="24"/>
  <c r="AW35" i="24" s="1"/>
  <c r="AW34" i="24"/>
  <c r="AS34" i="24"/>
  <c r="AU34" i="24" s="1"/>
  <c r="BB34" i="24" s="1"/>
  <c r="BC34" i="24" s="1"/>
  <c r="BD34" i="24" s="1"/>
  <c r="AE35" i="24" s="1"/>
  <c r="AG35" i="24" s="1"/>
  <c r="AR33" i="24"/>
  <c r="E34" i="24"/>
  <c r="E37" i="24" s="1"/>
  <c r="D37" i="24"/>
  <c r="Y34" i="24" l="1"/>
  <c r="AA34" i="24" s="1"/>
  <c r="AC34" i="24"/>
  <c r="AR32" i="24"/>
  <c r="AS33" i="24"/>
  <c r="AU33" i="24" s="1"/>
  <c r="BB33" i="24" s="1"/>
  <c r="BC33" i="24" s="1"/>
  <c r="BD33" i="24" s="1"/>
  <c r="AE34" i="24" s="1"/>
  <c r="AG34" i="24" s="1"/>
  <c r="R33" i="24"/>
  <c r="S33" i="24" s="1"/>
  <c r="Q32" i="24"/>
  <c r="AK34" i="24" l="1"/>
  <c r="AI34" i="24"/>
  <c r="R32" i="24"/>
  <c r="S32" i="24" s="1"/>
  <c r="Q31" i="24"/>
  <c r="AC33" i="24"/>
  <c r="Y33" i="24"/>
  <c r="AA33" i="24" s="1"/>
  <c r="AR31" i="24"/>
  <c r="AS32" i="24"/>
  <c r="AU32" i="24" s="1"/>
  <c r="BB32" i="24" s="1"/>
  <c r="BC32" i="24" s="1"/>
  <c r="BD32" i="24" s="1"/>
  <c r="AE33" i="24" s="1"/>
  <c r="AG33" i="24" s="1"/>
  <c r="AK33" i="24" l="1"/>
  <c r="AI33" i="24"/>
  <c r="Y32" i="24"/>
  <c r="AA32" i="24" s="1"/>
  <c r="AC32" i="24"/>
  <c r="AS31" i="24"/>
  <c r="AU31" i="24" s="1"/>
  <c r="BB31" i="24" s="1"/>
  <c r="BC31" i="24" s="1"/>
  <c r="BD31" i="24" s="1"/>
  <c r="AE32" i="24" s="1"/>
  <c r="AG32" i="24" s="1"/>
  <c r="AR30" i="24"/>
  <c r="R31" i="24"/>
  <c r="S31" i="24" s="1"/>
  <c r="Q30" i="24"/>
  <c r="AI32" i="24" l="1"/>
  <c r="AK32" i="24"/>
  <c r="Y31" i="24"/>
  <c r="AA31" i="24" s="1"/>
  <c r="AC31" i="24"/>
  <c r="AS30" i="24"/>
  <c r="AU30" i="24" s="1"/>
  <c r="BB30" i="24" s="1"/>
  <c r="BC30" i="24" s="1"/>
  <c r="BD30" i="24" s="1"/>
  <c r="AE31" i="24" s="1"/>
  <c r="AG31" i="24" s="1"/>
  <c r="AR29" i="24"/>
  <c r="R30" i="24"/>
  <c r="S30" i="24" s="1"/>
  <c r="Q29" i="24"/>
  <c r="L41" i="27" l="1"/>
  <c r="AK31" i="24"/>
  <c r="AI31" i="24"/>
  <c r="AC30" i="24"/>
  <c r="Y30" i="24"/>
  <c r="AA30" i="24" s="1"/>
  <c r="AS29" i="24"/>
  <c r="AU29" i="24" s="1"/>
  <c r="BB29" i="24" s="1"/>
  <c r="BC29" i="24" s="1"/>
  <c r="BD29" i="24" s="1"/>
  <c r="AE30" i="24" s="1"/>
  <c r="AG30" i="24" s="1"/>
  <c r="AR28" i="24"/>
  <c r="R29" i="24"/>
  <c r="S29" i="24" s="1"/>
  <c r="Q28" i="24"/>
  <c r="L42" i="31" l="1"/>
  <c r="L41" i="31"/>
  <c r="M41" i="27"/>
  <c r="N41" i="27"/>
  <c r="P41" i="27" s="1"/>
  <c r="AC29" i="24"/>
  <c r="Y29" i="24"/>
  <c r="AA29" i="24" s="1"/>
  <c r="AI30" i="24"/>
  <c r="AK30" i="24"/>
  <c r="AS28" i="24"/>
  <c r="AU28" i="24" s="1"/>
  <c r="BB28" i="24" s="1"/>
  <c r="BC28" i="24" s="1"/>
  <c r="BD28" i="24" s="1"/>
  <c r="AE29" i="24" s="1"/>
  <c r="AG29" i="24" s="1"/>
  <c r="AR27" i="24"/>
  <c r="R28" i="24"/>
  <c r="S28" i="24" s="1"/>
  <c r="Q27" i="24"/>
  <c r="L39" i="27" l="1"/>
  <c r="M42" i="31"/>
  <c r="N42" i="31"/>
  <c r="O42" i="31" s="1"/>
  <c r="M41" i="31"/>
  <c r="N41" i="31"/>
  <c r="O41" i="31" s="1"/>
  <c r="L40" i="27"/>
  <c r="AC28" i="24"/>
  <c r="Y28" i="24"/>
  <c r="AA28" i="24" s="1"/>
  <c r="AK29" i="24"/>
  <c r="AI29" i="24"/>
  <c r="R27" i="24"/>
  <c r="S27" i="24" s="1"/>
  <c r="Q26" i="24"/>
  <c r="AS27" i="24"/>
  <c r="AU27" i="24" s="1"/>
  <c r="BB27" i="24" s="1"/>
  <c r="BC27" i="24" s="1"/>
  <c r="BD27" i="24" s="1"/>
  <c r="AE28" i="24" s="1"/>
  <c r="AG28" i="24" s="1"/>
  <c r="AR26" i="24"/>
  <c r="P41" i="31" l="1"/>
  <c r="R41" i="31" s="1"/>
  <c r="L38" i="27"/>
  <c r="L40" i="31"/>
  <c r="M39" i="27"/>
  <c r="N39" i="27"/>
  <c r="P39" i="27" s="1"/>
  <c r="M40" i="27"/>
  <c r="N40" i="27"/>
  <c r="P40" i="27" s="1"/>
  <c r="P42" i="31"/>
  <c r="R42" i="31" s="1"/>
  <c r="L39" i="31"/>
  <c r="AI28" i="24"/>
  <c r="AK28" i="24"/>
  <c r="R26" i="24"/>
  <c r="S26" i="24" s="1"/>
  <c r="Q25" i="24"/>
  <c r="Y27" i="24"/>
  <c r="AA27" i="24" s="1"/>
  <c r="AC27" i="24"/>
  <c r="AR25" i="24"/>
  <c r="AS26" i="24"/>
  <c r="AU26" i="24" s="1"/>
  <c r="BB26" i="24" s="1"/>
  <c r="BC26" i="24" s="1"/>
  <c r="BD26" i="24" s="1"/>
  <c r="AE27" i="24" s="1"/>
  <c r="AG27" i="24" s="1"/>
  <c r="M40" i="31" l="1"/>
  <c r="N40" i="31"/>
  <c r="O40" i="31" s="1"/>
  <c r="M39" i="31"/>
  <c r="N39" i="31"/>
  <c r="O39" i="31" s="1"/>
  <c r="M38" i="27"/>
  <c r="N38" i="27"/>
  <c r="P38" i="27" s="1"/>
  <c r="L38" i="31"/>
  <c r="AK27" i="24"/>
  <c r="AI27" i="24"/>
  <c r="AC26" i="24"/>
  <c r="Y26" i="24"/>
  <c r="AA26" i="24" s="1"/>
  <c r="AS25" i="24"/>
  <c r="AU25" i="24" s="1"/>
  <c r="BB25" i="24" s="1"/>
  <c r="BC25" i="24" s="1"/>
  <c r="BD25" i="24" s="1"/>
  <c r="AE26" i="24" s="1"/>
  <c r="AG26" i="24" s="1"/>
  <c r="AR24" i="24"/>
  <c r="R25" i="24"/>
  <c r="S25" i="24" s="1"/>
  <c r="Q24" i="24"/>
  <c r="P39" i="31" l="1"/>
  <c r="R39" i="31" s="1"/>
  <c r="L36" i="27"/>
  <c r="P40" i="31"/>
  <c r="R40" i="31" s="1"/>
  <c r="M38" i="31"/>
  <c r="N38" i="31"/>
  <c r="O38" i="31" s="1"/>
  <c r="AC25" i="24"/>
  <c r="Y25" i="24"/>
  <c r="AA25" i="24" s="1"/>
  <c r="AS24" i="24"/>
  <c r="AU24" i="24" s="1"/>
  <c r="BB24" i="24" s="1"/>
  <c r="BC24" i="24" s="1"/>
  <c r="BD24" i="24" s="1"/>
  <c r="AE25" i="24" s="1"/>
  <c r="AG25" i="24" s="1"/>
  <c r="AR23" i="24"/>
  <c r="AK26" i="24"/>
  <c r="AI26" i="24"/>
  <c r="R24" i="24"/>
  <c r="S24" i="24" s="1"/>
  <c r="Q23" i="24"/>
  <c r="P38" i="31" l="1"/>
  <c r="R38" i="31" s="1"/>
  <c r="L35" i="27"/>
  <c r="L37" i="27"/>
  <c r="L36" i="31"/>
  <c r="M36" i="27"/>
  <c r="N36" i="27"/>
  <c r="P36" i="27" s="1"/>
  <c r="AC24" i="24"/>
  <c r="Y24" i="24"/>
  <c r="AA24" i="24" s="1"/>
  <c r="AK25" i="24"/>
  <c r="AI25" i="24"/>
  <c r="AR22" i="24"/>
  <c r="AS23" i="24"/>
  <c r="AU23" i="24"/>
  <c r="BB23" i="24" s="1"/>
  <c r="BC23" i="24" s="1"/>
  <c r="BD23" i="24" s="1"/>
  <c r="AE24" i="24" s="1"/>
  <c r="AG24" i="24" s="1"/>
  <c r="R23" i="24"/>
  <c r="S23" i="24" s="1"/>
  <c r="Q22" i="24"/>
  <c r="M37" i="27" l="1"/>
  <c r="N37" i="27"/>
  <c r="P37" i="27" s="1"/>
  <c r="M36" i="31"/>
  <c r="N36" i="31"/>
  <c r="O36" i="31" s="1"/>
  <c r="L35" i="31"/>
  <c r="L37" i="31"/>
  <c r="M35" i="27"/>
  <c r="N35" i="27"/>
  <c r="P35" i="27" s="1"/>
  <c r="Y23" i="24"/>
  <c r="AA23" i="24" s="1"/>
  <c r="AC23" i="24"/>
  <c r="AI24" i="24"/>
  <c r="AK24" i="24"/>
  <c r="R22" i="24"/>
  <c r="S22" i="24" s="1"/>
  <c r="Q21" i="24"/>
  <c r="AS22" i="24"/>
  <c r="AU22" i="24" s="1"/>
  <c r="BB22" i="24" s="1"/>
  <c r="BC22" i="24" s="1"/>
  <c r="BD22" i="24" s="1"/>
  <c r="AE23" i="24" s="1"/>
  <c r="AG23" i="24" s="1"/>
  <c r="AR21" i="24"/>
  <c r="L33" i="27" l="1"/>
  <c r="M37" i="31"/>
  <c r="N37" i="31"/>
  <c r="O37" i="31" s="1"/>
  <c r="M35" i="31"/>
  <c r="N35" i="31"/>
  <c r="O35" i="31" s="1"/>
  <c r="L34" i="27"/>
  <c r="P36" i="31"/>
  <c r="R36" i="31" s="1"/>
  <c r="Y22" i="24"/>
  <c r="AA22" i="24" s="1"/>
  <c r="AC22" i="24"/>
  <c r="AI23" i="24"/>
  <c r="AK23" i="24"/>
  <c r="R21" i="24"/>
  <c r="S21" i="24" s="1"/>
  <c r="Q20" i="24"/>
  <c r="AS21" i="24"/>
  <c r="AU21" i="24" s="1"/>
  <c r="BB21" i="24" s="1"/>
  <c r="BC21" i="24" s="1"/>
  <c r="BD21" i="24" s="1"/>
  <c r="AE22" i="24" s="1"/>
  <c r="AG22" i="24" s="1"/>
  <c r="AR20" i="24"/>
  <c r="P35" i="31" l="1"/>
  <c r="R35" i="31" s="1"/>
  <c r="L32" i="27"/>
  <c r="M34" i="27"/>
  <c r="N34" i="27"/>
  <c r="P34" i="27" s="1"/>
  <c r="L33" i="31"/>
  <c r="L34" i="31"/>
  <c r="P37" i="31"/>
  <c r="R37" i="31" s="1"/>
  <c r="M33" i="27"/>
  <c r="N33" i="27"/>
  <c r="P33" i="27" s="1"/>
  <c r="AK22" i="24"/>
  <c r="AI22" i="24"/>
  <c r="R20" i="24"/>
  <c r="S20" i="24" s="1"/>
  <c r="Q19" i="24"/>
  <c r="AR19" i="24"/>
  <c r="AS20" i="24"/>
  <c r="AU20" i="24" s="1"/>
  <c r="BB20" i="24" s="1"/>
  <c r="BC20" i="24" s="1"/>
  <c r="BD20" i="24" s="1"/>
  <c r="AE21" i="24" s="1"/>
  <c r="AG21" i="24" s="1"/>
  <c r="AC21" i="24"/>
  <c r="Y21" i="24"/>
  <c r="AA21" i="24" s="1"/>
  <c r="M34" i="31" l="1"/>
  <c r="N34" i="31"/>
  <c r="O34" i="31" s="1"/>
  <c r="L32" i="31"/>
  <c r="M33" i="31"/>
  <c r="N33" i="31"/>
  <c r="O33" i="31" s="1"/>
  <c r="M32" i="27"/>
  <c r="N32" i="27"/>
  <c r="P32" i="27" s="1"/>
  <c r="AK21" i="24"/>
  <c r="AI21" i="24"/>
  <c r="R19" i="24"/>
  <c r="S19" i="24" s="1"/>
  <c r="Q18" i="24"/>
  <c r="AC20" i="24"/>
  <c r="Y20" i="24"/>
  <c r="AA20" i="24" s="1"/>
  <c r="AS19" i="24"/>
  <c r="AU19" i="24" s="1"/>
  <c r="BB19" i="24" s="1"/>
  <c r="BC19" i="24" s="1"/>
  <c r="BD19" i="24" s="1"/>
  <c r="AE20" i="24" s="1"/>
  <c r="AG20" i="24" s="1"/>
  <c r="AR18" i="24"/>
  <c r="L31" i="27" l="1"/>
  <c r="P33" i="31"/>
  <c r="R33" i="31" s="1"/>
  <c r="P34" i="31"/>
  <c r="R34" i="31" s="1"/>
  <c r="L30" i="27"/>
  <c r="M32" i="31"/>
  <c r="N32" i="31"/>
  <c r="O32" i="31" s="1"/>
  <c r="AK20" i="24"/>
  <c r="AI20" i="24"/>
  <c r="Y19" i="24"/>
  <c r="AA19" i="24" s="1"/>
  <c r="AC19" i="24"/>
  <c r="R18" i="24"/>
  <c r="S18" i="24" s="1"/>
  <c r="Q17" i="24"/>
  <c r="AS18" i="24"/>
  <c r="AU18" i="24" s="1"/>
  <c r="BB18" i="24" s="1"/>
  <c r="BC18" i="24" s="1"/>
  <c r="BD18" i="24" s="1"/>
  <c r="AE19" i="24" s="1"/>
  <c r="AG19" i="24" s="1"/>
  <c r="AR17" i="24"/>
  <c r="L29" i="27" l="1"/>
  <c r="M30" i="27"/>
  <c r="N30" i="27"/>
  <c r="P30" i="27" s="1"/>
  <c r="L31" i="31"/>
  <c r="P32" i="31"/>
  <c r="R32" i="31" s="1"/>
  <c r="L30" i="31"/>
  <c r="M31" i="27"/>
  <c r="N31" i="27"/>
  <c r="P31" i="27" s="1"/>
  <c r="Y18" i="24"/>
  <c r="AA18" i="24" s="1"/>
  <c r="AC18" i="24"/>
  <c r="AI19" i="24"/>
  <c r="AK19" i="24"/>
  <c r="R17" i="24"/>
  <c r="S17" i="24" s="1"/>
  <c r="Q16" i="24"/>
  <c r="AS17" i="24"/>
  <c r="AU17" i="24" s="1"/>
  <c r="BB17" i="24" s="1"/>
  <c r="BC17" i="24" s="1"/>
  <c r="BD17" i="24" s="1"/>
  <c r="AE18" i="24" s="1"/>
  <c r="AG18" i="24" s="1"/>
  <c r="AR16" i="24"/>
  <c r="M30" i="31" l="1"/>
  <c r="N30" i="31"/>
  <c r="O30" i="31" s="1"/>
  <c r="M31" i="31"/>
  <c r="N31" i="31"/>
  <c r="O31" i="31" s="1"/>
  <c r="L29" i="31"/>
  <c r="M29" i="27"/>
  <c r="N29" i="27"/>
  <c r="P29" i="27" s="1"/>
  <c r="AC17" i="24"/>
  <c r="Y17" i="24"/>
  <c r="AA17" i="24" s="1"/>
  <c r="AI18" i="24"/>
  <c r="AK18" i="24"/>
  <c r="Q15" i="24"/>
  <c r="R16" i="24"/>
  <c r="S16" i="24" s="1"/>
  <c r="AR15" i="24"/>
  <c r="AS16" i="24"/>
  <c r="AU16" i="24" s="1"/>
  <c r="BB16" i="24" s="1"/>
  <c r="BC16" i="24" s="1"/>
  <c r="BD16" i="24" s="1"/>
  <c r="AE17" i="24" s="1"/>
  <c r="AG17" i="24" s="1"/>
  <c r="P31" i="31" l="1"/>
  <c r="R31" i="31" s="1"/>
  <c r="L27" i="27"/>
  <c r="M29" i="31"/>
  <c r="N29" i="31"/>
  <c r="O29" i="31" s="1"/>
  <c r="P30" i="31"/>
  <c r="R30" i="31" s="1"/>
  <c r="L28" i="27"/>
  <c r="AK17" i="24"/>
  <c r="AI17" i="24"/>
  <c r="Y16" i="24"/>
  <c r="AA16" i="24" s="1"/>
  <c r="AC16" i="24"/>
  <c r="Q37" i="24"/>
  <c r="R15" i="24"/>
  <c r="R37" i="24" s="1"/>
  <c r="AR37" i="24"/>
  <c r="AS15" i="24"/>
  <c r="AS37" i="24" s="1"/>
  <c r="L28" i="31" l="1"/>
  <c r="M28" i="27"/>
  <c r="N28" i="27"/>
  <c r="P28" i="27" s="1"/>
  <c r="L26" i="27"/>
  <c r="L27" i="31"/>
  <c r="P29" i="31"/>
  <c r="R29" i="31" s="1"/>
  <c r="M27" i="27"/>
  <c r="N27" i="27"/>
  <c r="P27" i="27" s="1"/>
  <c r="AU15" i="24"/>
  <c r="BB15" i="24" s="1"/>
  <c r="E39" i="24"/>
  <c r="S15" i="24"/>
  <c r="E38" i="24"/>
  <c r="E40" i="24" s="1"/>
  <c r="Q12" i="24" s="1"/>
  <c r="L22" i="27" l="1"/>
  <c r="M27" i="31"/>
  <c r="N27" i="31"/>
  <c r="O27" i="31" s="1"/>
  <c r="M26" i="27"/>
  <c r="N26" i="27"/>
  <c r="P26" i="27" s="1"/>
  <c r="M28" i="31"/>
  <c r="N28" i="31"/>
  <c r="O28" i="31" s="1"/>
  <c r="L26" i="31"/>
  <c r="AU37" i="24"/>
  <c r="BC15" i="24"/>
  <c r="BB37" i="24"/>
  <c r="S37" i="24"/>
  <c r="AC15" i="24"/>
  <c r="AC37" i="24" s="1"/>
  <c r="AG15" i="24"/>
  <c r="Y15" i="24"/>
  <c r="L22" i="31" l="1"/>
  <c r="M22" i="27"/>
  <c r="N22" i="27"/>
  <c r="P22" i="27" s="1"/>
  <c r="P28" i="31"/>
  <c r="R28" i="31" s="1"/>
  <c r="P27" i="31"/>
  <c r="R27" i="31" s="1"/>
  <c r="L25" i="27"/>
  <c r="M26" i="31"/>
  <c r="N26" i="31"/>
  <c r="O26" i="31" s="1"/>
  <c r="AK15" i="24"/>
  <c r="AI15" i="24"/>
  <c r="BD15" i="24"/>
  <c r="BC37" i="24"/>
  <c r="Y37" i="24"/>
  <c r="AA15" i="24"/>
  <c r="AA37" i="24" s="1"/>
  <c r="M22" i="31" l="1"/>
  <c r="N22" i="31"/>
  <c r="O22" i="31" s="1"/>
  <c r="L25" i="31"/>
  <c r="P26" i="31"/>
  <c r="R26" i="31" s="1"/>
  <c r="M25" i="27"/>
  <c r="N25" i="27"/>
  <c r="P25" i="27" s="1"/>
  <c r="AE16" i="24"/>
  <c r="BD37" i="24"/>
  <c r="P22" i="31" l="1"/>
  <c r="R22" i="31" s="1"/>
  <c r="M25" i="31"/>
  <c r="N25" i="31"/>
  <c r="O25" i="31" s="1"/>
  <c r="AE37" i="24"/>
  <c r="AG16" i="24"/>
  <c r="L23" i="27" l="1"/>
  <c r="P25" i="31"/>
  <c r="R25" i="31" s="1"/>
  <c r="AI16" i="24"/>
  <c r="AI37" i="24" s="1"/>
  <c r="AK16" i="24"/>
  <c r="AK37" i="24" s="1"/>
  <c r="AG37" i="24"/>
  <c r="AO37" i="24"/>
  <c r="L23" i="31" l="1"/>
  <c r="M23" i="27"/>
  <c r="N23" i="27"/>
  <c r="P23" i="27" s="1"/>
  <c r="M23" i="31" l="1"/>
  <c r="N23" i="31"/>
  <c r="O23" i="31" s="1"/>
  <c r="L24" i="27"/>
  <c r="AE14" i="15"/>
  <c r="AC14" i="15"/>
  <c r="P23" i="31" l="1"/>
  <c r="R23" i="31" s="1"/>
  <c r="L24" i="31"/>
  <c r="M24" i="27"/>
  <c r="N24" i="27"/>
  <c r="P24" i="27" s="1"/>
  <c r="P34" i="15"/>
  <c r="M24" i="31" l="1"/>
  <c r="N24" i="31"/>
  <c r="O24" i="31" s="1"/>
  <c r="AU14" i="15"/>
  <c r="BB14" i="15" s="1"/>
  <c r="P24" i="31" l="1"/>
  <c r="R24" i="31" s="1"/>
  <c r="D14" i="26"/>
  <c r="D21" i="26"/>
  <c r="D22" i="26" s="1"/>
  <c r="AG14" i="15"/>
  <c r="AI14" i="15" s="1"/>
  <c r="D15" i="26" l="1"/>
  <c r="D29" i="26"/>
  <c r="AK14" i="15"/>
  <c r="L14" i="15"/>
  <c r="AO17" i="19" l="1"/>
  <c r="AO21" i="19"/>
  <c r="AO25" i="19"/>
  <c r="N23" i="21"/>
  <c r="N24" i="21" s="1"/>
  <c r="N25" i="21" s="1"/>
  <c r="N26" i="21" s="1"/>
  <c r="N27" i="21" s="1"/>
  <c r="N28" i="21" s="1"/>
  <c r="N29" i="21" s="1"/>
  <c r="N30" i="21" s="1"/>
  <c r="N31" i="21" s="1"/>
  <c r="N32" i="21" s="1"/>
  <c r="N33" i="21" s="1"/>
  <c r="N34" i="21" s="1"/>
  <c r="N35" i="21" s="1"/>
  <c r="N36" i="21" s="1"/>
  <c r="N37" i="21" s="1"/>
  <c r="N38" i="21" s="1"/>
  <c r="N39" i="21" s="1"/>
  <c r="N40" i="21" s="1"/>
  <c r="N41" i="21" s="1"/>
  <c r="N22" i="21"/>
  <c r="I21" i="21"/>
  <c r="F21" i="21"/>
  <c r="K21" i="21" s="1"/>
  <c r="D21" i="21"/>
  <c r="K20" i="21"/>
  <c r="J20" i="21"/>
  <c r="L20" i="21" s="1"/>
  <c r="G20" i="21"/>
  <c r="M20" i="21" s="1"/>
  <c r="K19" i="21"/>
  <c r="J19" i="21"/>
  <c r="L19" i="21" s="1"/>
  <c r="G19" i="21"/>
  <c r="K18" i="21"/>
  <c r="J18" i="21"/>
  <c r="L18" i="21" s="1"/>
  <c r="G18" i="21"/>
  <c r="J17" i="21"/>
  <c r="L17" i="21" s="1"/>
  <c r="G17" i="21"/>
  <c r="L11" i="21"/>
  <c r="M11" i="21" s="1"/>
  <c r="K11" i="21"/>
  <c r="L10" i="21"/>
  <c r="M10" i="21" s="1"/>
  <c r="K10" i="21"/>
  <c r="M9" i="21"/>
  <c r="L9" i="21"/>
  <c r="K9" i="21"/>
  <c r="L8" i="21"/>
  <c r="K8" i="21"/>
  <c r="L7" i="21"/>
  <c r="G44" i="19"/>
  <c r="AX36" i="19"/>
  <c r="AR36" i="19"/>
  <c r="W36" i="19"/>
  <c r="U36" i="19"/>
  <c r="J36" i="19"/>
  <c r="Y34" i="19"/>
  <c r="AY33" i="19"/>
  <c r="AY32" i="19"/>
  <c r="AY31" i="19"/>
  <c r="AO31" i="19"/>
  <c r="AY30" i="19"/>
  <c r="AO30" i="19"/>
  <c r="AY29" i="19"/>
  <c r="AO29" i="19"/>
  <c r="AY28" i="19"/>
  <c r="AO28" i="19"/>
  <c r="AY27" i="19"/>
  <c r="AO27" i="19"/>
  <c r="AY26" i="19"/>
  <c r="AO26" i="19"/>
  <c r="AY25" i="19"/>
  <c r="AY24" i="19"/>
  <c r="AO24" i="19"/>
  <c r="AY23" i="19"/>
  <c r="AO23" i="19"/>
  <c r="AY22" i="19"/>
  <c r="AO22" i="19"/>
  <c r="AY21" i="19"/>
  <c r="AY20" i="19"/>
  <c r="AO20" i="19"/>
  <c r="AY19" i="19"/>
  <c r="AO19" i="19"/>
  <c r="AY18" i="19"/>
  <c r="AO18" i="19"/>
  <c r="AY17" i="19"/>
  <c r="AY16" i="19"/>
  <c r="AN16" i="19"/>
  <c r="AN17" i="19" s="1"/>
  <c r="AN18" i="19" s="1"/>
  <c r="AN19" i="19" s="1"/>
  <c r="AN20" i="19" s="1"/>
  <c r="AN21" i="19" s="1"/>
  <c r="AN22" i="19" s="1"/>
  <c r="AN23" i="19" s="1"/>
  <c r="AN24" i="19" s="1"/>
  <c r="AN25" i="19" s="1"/>
  <c r="AN26" i="19" s="1"/>
  <c r="AN27" i="19" s="1"/>
  <c r="AN28" i="19" s="1"/>
  <c r="AN29" i="19" s="1"/>
  <c r="AN30" i="19" s="1"/>
  <c r="AN31" i="19" s="1"/>
  <c r="AN32" i="19" s="1"/>
  <c r="AN33" i="19" s="1"/>
  <c r="AY15" i="19"/>
  <c r="AV15" i="19"/>
  <c r="AU15" i="19"/>
  <c r="H15" i="19"/>
  <c r="AK15" i="19" s="1"/>
  <c r="G15" i="19"/>
  <c r="G16" i="19" s="1"/>
  <c r="A15" i="19"/>
  <c r="A16" i="19" s="1"/>
  <c r="AY14" i="19"/>
  <c r="AV14" i="19"/>
  <c r="AU14" i="19"/>
  <c r="AM14" i="19"/>
  <c r="AM15" i="19" s="1"/>
  <c r="AK14" i="19"/>
  <c r="AO14" i="19"/>
  <c r="N14" i="19"/>
  <c r="N36" i="19" s="1"/>
  <c r="C14" i="19"/>
  <c r="C15" i="19" s="1"/>
  <c r="C16" i="19" s="1"/>
  <c r="B14" i="19"/>
  <c r="AY13" i="19"/>
  <c r="AV13" i="19"/>
  <c r="AU13" i="19"/>
  <c r="AS13" i="19"/>
  <c r="L13" i="19"/>
  <c r="AC6" i="19"/>
  <c r="M18" i="21" l="1"/>
  <c r="L14" i="19"/>
  <c r="H16" i="19"/>
  <c r="H17" i="19" s="1"/>
  <c r="AK17" i="19" s="1"/>
  <c r="M8" i="21"/>
  <c r="B16" i="19"/>
  <c r="A17" i="19"/>
  <c r="AU16" i="19"/>
  <c r="G17" i="19"/>
  <c r="L15" i="19"/>
  <c r="AM16" i="19"/>
  <c r="C17" i="19"/>
  <c r="D16" i="19"/>
  <c r="AV17" i="19"/>
  <c r="AZ13" i="19"/>
  <c r="P33" i="19"/>
  <c r="P36" i="19" s="1"/>
  <c r="B15" i="19"/>
  <c r="D14" i="19"/>
  <c r="AO16" i="19"/>
  <c r="AO15" i="19"/>
  <c r="D15" i="19"/>
  <c r="M19" i="21"/>
  <c r="AO32" i="19"/>
  <c r="G21" i="21"/>
  <c r="M21" i="21" s="1"/>
  <c r="F22" i="21"/>
  <c r="J21" i="21"/>
  <c r="L21" i="21" s="1"/>
  <c r="AV16" i="19" l="1"/>
  <c r="AK16" i="19"/>
  <c r="H18" i="19"/>
  <c r="H19" i="19" s="1"/>
  <c r="D17" i="19"/>
  <c r="C18" i="19"/>
  <c r="AV18" i="19"/>
  <c r="AO33" i="19"/>
  <c r="AO36" i="19" s="1"/>
  <c r="G18" i="19"/>
  <c r="AU17" i="19"/>
  <c r="F23" i="21"/>
  <c r="G22" i="21"/>
  <c r="E14" i="19"/>
  <c r="BA13" i="19"/>
  <c r="E15" i="19"/>
  <c r="E16" i="19"/>
  <c r="AM17" i="19"/>
  <c r="L16" i="19"/>
  <c r="A18" i="19"/>
  <c r="B17" i="19"/>
  <c r="C15" i="15"/>
  <c r="AP17" i="15"/>
  <c r="AK18" i="19" l="1"/>
  <c r="E17" i="19"/>
  <c r="BB13" i="19"/>
  <c r="F24" i="21"/>
  <c r="G23" i="21"/>
  <c r="C19" i="19"/>
  <c r="D18" i="19"/>
  <c r="L17" i="19"/>
  <c r="AM18" i="19"/>
  <c r="B18" i="19"/>
  <c r="A19" i="19"/>
  <c r="AU18" i="19"/>
  <c r="G19" i="19"/>
  <c r="AV19" i="19"/>
  <c r="AK19" i="19"/>
  <c r="H20" i="19"/>
  <c r="B19" i="19" l="1"/>
  <c r="A20" i="19"/>
  <c r="E18" i="19"/>
  <c r="G24" i="21"/>
  <c r="F25" i="21"/>
  <c r="L18" i="19"/>
  <c r="AM19" i="19"/>
  <c r="AV20" i="19"/>
  <c r="AK20" i="19"/>
  <c r="H21" i="19"/>
  <c r="AU19" i="19"/>
  <c r="G20" i="19"/>
  <c r="C20" i="19"/>
  <c r="D19" i="19"/>
  <c r="E19" i="19" s="1"/>
  <c r="AE14" i="19"/>
  <c r="AM20" i="19" l="1"/>
  <c r="L19" i="19"/>
  <c r="A21" i="19"/>
  <c r="B20" i="19"/>
  <c r="D20" i="19"/>
  <c r="C21" i="19"/>
  <c r="AV21" i="19"/>
  <c r="AK21" i="19"/>
  <c r="H22" i="19"/>
  <c r="G25" i="21"/>
  <c r="F26" i="21"/>
  <c r="G21" i="19"/>
  <c r="AU20" i="19"/>
  <c r="E20" i="19" l="1"/>
  <c r="AU21" i="19"/>
  <c r="G22" i="19"/>
  <c r="C22" i="19"/>
  <c r="D21" i="19"/>
  <c r="B21" i="19"/>
  <c r="A22" i="19"/>
  <c r="L20" i="19"/>
  <c r="AM21" i="19"/>
  <c r="AV22" i="19"/>
  <c r="AK22" i="19"/>
  <c r="H23" i="19"/>
  <c r="G26" i="21"/>
  <c r="F27" i="21"/>
  <c r="E21" i="19" l="1"/>
  <c r="G23" i="19"/>
  <c r="AU22" i="19"/>
  <c r="AM22" i="19"/>
  <c r="L21" i="19"/>
  <c r="H24" i="19"/>
  <c r="AK23" i="19"/>
  <c r="AV23" i="19"/>
  <c r="F28" i="21"/>
  <c r="G27" i="21"/>
  <c r="A23" i="19"/>
  <c r="B22" i="19"/>
  <c r="D22" i="19"/>
  <c r="C23" i="19"/>
  <c r="AU23" i="19" l="1"/>
  <c r="G24" i="19"/>
  <c r="F29" i="21"/>
  <c r="G28" i="21"/>
  <c r="B23" i="19"/>
  <c r="A24" i="19"/>
  <c r="AM23" i="19"/>
  <c r="L22" i="19"/>
  <c r="AK24" i="19"/>
  <c r="H25" i="19"/>
  <c r="AV24" i="19"/>
  <c r="C24" i="19"/>
  <c r="D23" i="19"/>
  <c r="E22" i="19"/>
  <c r="AU24" i="19" l="1"/>
  <c r="G25" i="19"/>
  <c r="E23" i="19"/>
  <c r="A25" i="19"/>
  <c r="B24" i="19"/>
  <c r="G29" i="21"/>
  <c r="F30" i="21"/>
  <c r="AM24" i="19"/>
  <c r="L23" i="19"/>
  <c r="H26" i="19"/>
  <c r="AK25" i="19"/>
  <c r="AV25" i="19"/>
  <c r="D24" i="19"/>
  <c r="C25" i="19"/>
  <c r="AM25" i="19" l="1"/>
  <c r="L24" i="19"/>
  <c r="AU25" i="19"/>
  <c r="G26" i="19"/>
  <c r="C26" i="19"/>
  <c r="D25" i="19"/>
  <c r="AV26" i="19"/>
  <c r="AK26" i="19"/>
  <c r="H27" i="19"/>
  <c r="G30" i="21"/>
  <c r="F31" i="21"/>
  <c r="B25" i="19"/>
  <c r="A26" i="19"/>
  <c r="E24" i="19"/>
  <c r="AM26" i="19" l="1"/>
  <c r="L25" i="19"/>
  <c r="G27" i="19"/>
  <c r="AU26" i="19"/>
  <c r="E25" i="19"/>
  <c r="AV27" i="19"/>
  <c r="AK27" i="19"/>
  <c r="H28" i="19"/>
  <c r="D26" i="19"/>
  <c r="E26" i="19" s="1"/>
  <c r="C27" i="19"/>
  <c r="F32" i="21"/>
  <c r="G31" i="21"/>
  <c r="A27" i="19"/>
  <c r="B26" i="19"/>
  <c r="H29" i="19" l="1"/>
  <c r="AV28" i="19"/>
  <c r="AK28" i="19"/>
  <c r="A28" i="19"/>
  <c r="B27" i="19"/>
  <c r="C28" i="19"/>
  <c r="D27" i="19"/>
  <c r="AM27" i="19"/>
  <c r="L26" i="19"/>
  <c r="G32" i="21"/>
  <c r="F33" i="21"/>
  <c r="AU27" i="19"/>
  <c r="G28" i="19"/>
  <c r="A29" i="19" l="1"/>
  <c r="B28" i="19"/>
  <c r="G33" i="21"/>
  <c r="F34" i="21"/>
  <c r="AM28" i="19"/>
  <c r="L27" i="19"/>
  <c r="AV29" i="19"/>
  <c r="AK29" i="19"/>
  <c r="H30" i="19"/>
  <c r="G29" i="19"/>
  <c r="AU28" i="19"/>
  <c r="E27" i="19"/>
  <c r="D28" i="19"/>
  <c r="C29" i="19"/>
  <c r="G34" i="21" l="1"/>
  <c r="F35" i="21"/>
  <c r="B29" i="19"/>
  <c r="A30" i="19"/>
  <c r="L28" i="19"/>
  <c r="AM29" i="19"/>
  <c r="C30" i="19"/>
  <c r="D29" i="19"/>
  <c r="G30" i="19"/>
  <c r="AU29" i="19"/>
  <c r="E28" i="19"/>
  <c r="AK30" i="19"/>
  <c r="H31" i="19"/>
  <c r="AV30" i="19"/>
  <c r="E29" i="19" l="1"/>
  <c r="D30" i="19"/>
  <c r="C31" i="19"/>
  <c r="AM30" i="19"/>
  <c r="L29" i="19"/>
  <c r="B30" i="19"/>
  <c r="A31" i="19"/>
  <c r="AV31" i="19"/>
  <c r="AK31" i="19"/>
  <c r="H32" i="19"/>
  <c r="G31" i="19"/>
  <c r="AU30" i="19"/>
  <c r="F36" i="21"/>
  <c r="G35" i="21"/>
  <c r="H33" i="19" l="1"/>
  <c r="AV32" i="19"/>
  <c r="AK32" i="19"/>
  <c r="D31" i="19"/>
  <c r="C32" i="19"/>
  <c r="F37" i="21"/>
  <c r="G36" i="21"/>
  <c r="E30" i="19"/>
  <c r="G32" i="19"/>
  <c r="AU31" i="19"/>
  <c r="B31" i="19"/>
  <c r="A32" i="19"/>
  <c r="L30" i="19"/>
  <c r="AM31" i="19"/>
  <c r="G33" i="19" l="1"/>
  <c r="AU32" i="19"/>
  <c r="AM32" i="19"/>
  <c r="L31" i="19"/>
  <c r="E31" i="19"/>
  <c r="A33" i="19"/>
  <c r="B32" i="19"/>
  <c r="C33" i="19"/>
  <c r="D33" i="19" s="1"/>
  <c r="D32" i="19"/>
  <c r="E32" i="19" s="1"/>
  <c r="AK33" i="19"/>
  <c r="H34" i="19"/>
  <c r="AV33" i="19"/>
  <c r="G37" i="21"/>
  <c r="F38" i="21"/>
  <c r="G46" i="15"/>
  <c r="B33" i="19" l="1"/>
  <c r="Q33" i="19"/>
  <c r="AP33" i="19"/>
  <c r="AV34" i="19"/>
  <c r="AK34" i="19"/>
  <c r="E33" i="19"/>
  <c r="E36" i="19" s="1"/>
  <c r="D36" i="19"/>
  <c r="AU33" i="19"/>
  <c r="G34" i="19"/>
  <c r="AU34" i="19" s="1"/>
  <c r="Q32" i="19"/>
  <c r="G38" i="21"/>
  <c r="F39" i="21"/>
  <c r="L32" i="19"/>
  <c r="AM33" i="19"/>
  <c r="R32" i="19" l="1"/>
  <c r="S32" i="19" s="1"/>
  <c r="Q31" i="19"/>
  <c r="R33" i="19"/>
  <c r="S33" i="19" s="1"/>
  <c r="F40" i="21"/>
  <c r="G39" i="21"/>
  <c r="AQ33" i="19"/>
  <c r="AS33" i="19" s="1"/>
  <c r="AZ33" i="19" s="1"/>
  <c r="BA33" i="19" s="1"/>
  <c r="BB33" i="19" s="1"/>
  <c r="AE34" i="19" s="1"/>
  <c r="AG34" i="19" s="1"/>
  <c r="AP32" i="19"/>
  <c r="AZ37" i="15"/>
  <c r="Y32" i="19" l="1"/>
  <c r="AA32" i="19" s="1"/>
  <c r="AC32" i="19"/>
  <c r="AQ32" i="19"/>
  <c r="AS32" i="19" s="1"/>
  <c r="AZ32" i="19" s="1"/>
  <c r="BA32" i="19" s="1"/>
  <c r="BB32" i="19" s="1"/>
  <c r="AE33" i="19" s="1"/>
  <c r="AG33" i="19" s="1"/>
  <c r="AP31" i="19"/>
  <c r="G40" i="21"/>
  <c r="F41" i="21"/>
  <c r="Y33" i="19"/>
  <c r="AA33" i="19" s="1"/>
  <c r="AC33" i="19"/>
  <c r="R31" i="19"/>
  <c r="S31" i="19" s="1"/>
  <c r="Q30" i="19"/>
  <c r="AI33" i="19" l="1"/>
  <c r="H41" i="21"/>
  <c r="I41" i="21" s="1"/>
  <c r="AC31" i="19"/>
  <c r="Y31" i="19"/>
  <c r="AA31" i="19" s="1"/>
  <c r="G41" i="21"/>
  <c r="J41" i="21"/>
  <c r="L41" i="21" s="1"/>
  <c r="AP30" i="19"/>
  <c r="AQ31" i="19"/>
  <c r="AS31" i="19" s="1"/>
  <c r="AZ31" i="19" s="1"/>
  <c r="BA31" i="19" s="1"/>
  <c r="BB31" i="19" s="1"/>
  <c r="AE32" i="19" s="1"/>
  <c r="AG32" i="19" s="1"/>
  <c r="R30" i="19"/>
  <c r="S30" i="19" s="1"/>
  <c r="Q29" i="19"/>
  <c r="B15" i="15"/>
  <c r="AP18" i="15"/>
  <c r="AP19" i="15" s="1"/>
  <c r="AP20" i="15" s="1"/>
  <c r="AP21" i="15" s="1"/>
  <c r="AP22" i="15" s="1"/>
  <c r="AP23" i="15" s="1"/>
  <c r="AP24" i="15" s="1"/>
  <c r="AP25" i="15" s="1"/>
  <c r="AP26" i="15" s="1"/>
  <c r="AP27" i="15" s="1"/>
  <c r="AP28" i="15" s="1"/>
  <c r="AP29" i="15" s="1"/>
  <c r="AP30" i="15" s="1"/>
  <c r="AP31" i="15" s="1"/>
  <c r="AP32" i="15" s="1"/>
  <c r="AP33" i="15" s="1"/>
  <c r="AP34" i="15" s="1"/>
  <c r="A16" i="15"/>
  <c r="AQ34" i="15"/>
  <c r="AO15" i="15"/>
  <c r="L15" i="15" s="1"/>
  <c r="AQ33" i="15"/>
  <c r="AQ32" i="15"/>
  <c r="AQ31" i="15"/>
  <c r="AQ30" i="15"/>
  <c r="AQ29" i="15"/>
  <c r="AQ28" i="15"/>
  <c r="AQ27" i="15"/>
  <c r="AQ26" i="15"/>
  <c r="AQ25" i="15"/>
  <c r="AQ24" i="15"/>
  <c r="AQ23" i="15"/>
  <c r="AQ22" i="15"/>
  <c r="AQ21" i="15"/>
  <c r="AQ20" i="15"/>
  <c r="AQ19" i="15"/>
  <c r="AQ18" i="15"/>
  <c r="AQ17" i="15"/>
  <c r="AQ16" i="15"/>
  <c r="AQ15" i="15"/>
  <c r="D15" i="15"/>
  <c r="C16" i="15"/>
  <c r="D16" i="15" s="1"/>
  <c r="N15" i="15"/>
  <c r="N37" i="15" s="1"/>
  <c r="J37" i="15"/>
  <c r="L13" i="15"/>
  <c r="W37" i="15"/>
  <c r="AT37" i="15"/>
  <c r="H40" i="21" l="1"/>
  <c r="AI32" i="19"/>
  <c r="R29" i="19"/>
  <c r="S29" i="19" s="1"/>
  <c r="Q28" i="19"/>
  <c r="AP29" i="19"/>
  <c r="AQ30" i="19"/>
  <c r="AS30" i="19" s="1"/>
  <c r="AZ30" i="19" s="1"/>
  <c r="BA30" i="19" s="1"/>
  <c r="BB30" i="19" s="1"/>
  <c r="AE31" i="19" s="1"/>
  <c r="AG31" i="19" s="1"/>
  <c r="Y30" i="19"/>
  <c r="AA30" i="19" s="1"/>
  <c r="AC30" i="19"/>
  <c r="C17" i="15"/>
  <c r="D17" i="15" s="1"/>
  <c r="AO16" i="15"/>
  <c r="AO17" i="15" s="1"/>
  <c r="L17" i="15" s="1"/>
  <c r="H16" i="15"/>
  <c r="AX15" i="15"/>
  <c r="G16" i="15"/>
  <c r="AW15" i="15"/>
  <c r="P37" i="15"/>
  <c r="B16" i="15"/>
  <c r="E16" i="15" s="1"/>
  <c r="AM15" i="15"/>
  <c r="E15" i="15"/>
  <c r="AQ37" i="15"/>
  <c r="H17" i="15"/>
  <c r="AX17" i="15" s="1"/>
  <c r="A17" i="15"/>
  <c r="B17" i="15" s="1"/>
  <c r="AC29" i="19" l="1"/>
  <c r="Y29" i="19"/>
  <c r="AA29" i="19" s="1"/>
  <c r="AQ29" i="19"/>
  <c r="AS29" i="19" s="1"/>
  <c r="AZ29" i="19" s="1"/>
  <c r="BA29" i="19" s="1"/>
  <c r="BB29" i="19" s="1"/>
  <c r="AE30" i="19" s="1"/>
  <c r="AG30" i="19" s="1"/>
  <c r="AP28" i="19"/>
  <c r="H39" i="21"/>
  <c r="AI31" i="19"/>
  <c r="R28" i="19"/>
  <c r="S28" i="19" s="1"/>
  <c r="Q27" i="19"/>
  <c r="I40" i="21"/>
  <c r="J40" i="21"/>
  <c r="L40" i="21" s="1"/>
  <c r="C18" i="15"/>
  <c r="C19" i="15" s="1"/>
  <c r="L16" i="15"/>
  <c r="AO18" i="15"/>
  <c r="AO19" i="15" s="1"/>
  <c r="G17" i="15"/>
  <c r="AW16" i="15"/>
  <c r="AM16" i="15"/>
  <c r="AX16" i="15"/>
  <c r="E17" i="15"/>
  <c r="D18" i="15"/>
  <c r="A18" i="15"/>
  <c r="B18" i="15" s="1"/>
  <c r="AM17" i="15"/>
  <c r="H18" i="15"/>
  <c r="AX18" i="15" s="1"/>
  <c r="L18" i="15" l="1"/>
  <c r="Y28" i="19"/>
  <c r="AA28" i="19" s="1"/>
  <c r="AC28" i="19"/>
  <c r="AP27" i="19"/>
  <c r="AQ28" i="19"/>
  <c r="AS28" i="19"/>
  <c r="AZ28" i="19" s="1"/>
  <c r="BA28" i="19" s="1"/>
  <c r="BB28" i="19" s="1"/>
  <c r="AE29" i="19" s="1"/>
  <c r="AG29" i="19" s="1"/>
  <c r="H38" i="21"/>
  <c r="AI30" i="19"/>
  <c r="R27" i="19"/>
  <c r="S27" i="19" s="1"/>
  <c r="Q26" i="19"/>
  <c r="I39" i="21"/>
  <c r="J39" i="21"/>
  <c r="L39" i="21" s="1"/>
  <c r="G18" i="15"/>
  <c r="AW17" i="15"/>
  <c r="E18" i="15"/>
  <c r="D19" i="15"/>
  <c r="C20" i="15"/>
  <c r="AM18" i="15"/>
  <c r="H19" i="15"/>
  <c r="AX19" i="15" s="1"/>
  <c r="A19" i="15"/>
  <c r="B19" i="15" s="1"/>
  <c r="L19" i="15"/>
  <c r="AO20" i="15"/>
  <c r="AC27" i="19" l="1"/>
  <c r="Y27" i="19"/>
  <c r="AA27" i="19" s="1"/>
  <c r="AI29" i="19"/>
  <c r="H37" i="21"/>
  <c r="AQ27" i="19"/>
  <c r="AS27" i="19" s="1"/>
  <c r="AZ27" i="19" s="1"/>
  <c r="BA27" i="19" s="1"/>
  <c r="BB27" i="19" s="1"/>
  <c r="AE28" i="19" s="1"/>
  <c r="AG28" i="19" s="1"/>
  <c r="AP26" i="19"/>
  <c r="R26" i="19"/>
  <c r="S26" i="19" s="1"/>
  <c r="Q25" i="19"/>
  <c r="I38" i="21"/>
  <c r="J38" i="21"/>
  <c r="L38" i="21" s="1"/>
  <c r="G19" i="15"/>
  <c r="AW18" i="15"/>
  <c r="E19" i="15"/>
  <c r="D20" i="15"/>
  <c r="C21" i="15"/>
  <c r="AO21" i="15"/>
  <c r="L20" i="15"/>
  <c r="A20" i="15"/>
  <c r="B20" i="15" s="1"/>
  <c r="AM19" i="15"/>
  <c r="H20" i="15"/>
  <c r="AX20" i="15" s="1"/>
  <c r="AC26" i="19" l="1"/>
  <c r="Y26" i="19"/>
  <c r="AA26" i="19" s="1"/>
  <c r="I37" i="21"/>
  <c r="J37" i="21"/>
  <c r="L37" i="21" s="1"/>
  <c r="AQ26" i="19"/>
  <c r="AS26" i="19" s="1"/>
  <c r="AZ26" i="19" s="1"/>
  <c r="BA26" i="19" s="1"/>
  <c r="BB26" i="19" s="1"/>
  <c r="AE27" i="19" s="1"/>
  <c r="AG27" i="19" s="1"/>
  <c r="AP25" i="19"/>
  <c r="H36" i="21"/>
  <c r="AI28" i="19"/>
  <c r="R25" i="19"/>
  <c r="S25" i="19" s="1"/>
  <c r="Q24" i="19"/>
  <c r="G20" i="15"/>
  <c r="AW19" i="15"/>
  <c r="E20" i="15"/>
  <c r="D21" i="15"/>
  <c r="C22" i="15"/>
  <c r="AM20" i="15"/>
  <c r="H21" i="15"/>
  <c r="AX21" i="15" s="1"/>
  <c r="A21" i="15"/>
  <c r="B21" i="15" s="1"/>
  <c r="L21" i="15"/>
  <c r="AO22" i="15"/>
  <c r="AC25" i="19" l="1"/>
  <c r="Y25" i="19"/>
  <c r="AA25" i="19" s="1"/>
  <c r="AI27" i="19"/>
  <c r="H35" i="21"/>
  <c r="AQ25" i="19"/>
  <c r="AS25" i="19" s="1"/>
  <c r="AZ25" i="19" s="1"/>
  <c r="BA25" i="19" s="1"/>
  <c r="BB25" i="19" s="1"/>
  <c r="AE26" i="19" s="1"/>
  <c r="AG26" i="19" s="1"/>
  <c r="AP24" i="19"/>
  <c r="R24" i="19"/>
  <c r="S24" i="19" s="1"/>
  <c r="Q23" i="19"/>
  <c r="I36" i="21"/>
  <c r="J36" i="21"/>
  <c r="L36" i="21" s="1"/>
  <c r="G21" i="15"/>
  <c r="AW20" i="15"/>
  <c r="E21" i="15"/>
  <c r="D22" i="15"/>
  <c r="C23" i="15"/>
  <c r="A22" i="15"/>
  <c r="B22" i="15" s="1"/>
  <c r="AM21" i="15"/>
  <c r="H22" i="15"/>
  <c r="AX22" i="15" s="1"/>
  <c r="AO23" i="15"/>
  <c r="L22" i="15"/>
  <c r="AC24" i="19" l="1"/>
  <c r="Y24" i="19"/>
  <c r="AA24" i="19" s="1"/>
  <c r="H34" i="21"/>
  <c r="AI26" i="19"/>
  <c r="R23" i="19"/>
  <c r="S23" i="19" s="1"/>
  <c r="Q22" i="19"/>
  <c r="I35" i="21"/>
  <c r="J35" i="21"/>
  <c r="L35" i="21" s="1"/>
  <c r="AQ24" i="19"/>
  <c r="AS24" i="19" s="1"/>
  <c r="AZ24" i="19" s="1"/>
  <c r="BA24" i="19" s="1"/>
  <c r="BB24" i="19" s="1"/>
  <c r="AE25" i="19" s="1"/>
  <c r="AG25" i="19" s="1"/>
  <c r="AP23" i="19"/>
  <c r="G22" i="15"/>
  <c r="AW21" i="15"/>
  <c r="E22" i="15"/>
  <c r="D23" i="15"/>
  <c r="C24" i="15"/>
  <c r="AM22" i="15"/>
  <c r="H23" i="15"/>
  <c r="AX23" i="15" s="1"/>
  <c r="L23" i="15"/>
  <c r="AO24" i="15"/>
  <c r="A23" i="15"/>
  <c r="B23" i="15" s="1"/>
  <c r="H33" i="21" l="1"/>
  <c r="AI25" i="19"/>
  <c r="AC23" i="19"/>
  <c r="Y23" i="19"/>
  <c r="AA23" i="19" s="1"/>
  <c r="AQ23" i="19"/>
  <c r="AS23" i="19" s="1"/>
  <c r="AZ23" i="19" s="1"/>
  <c r="BA23" i="19" s="1"/>
  <c r="BB23" i="19" s="1"/>
  <c r="AE24" i="19" s="1"/>
  <c r="AG24" i="19" s="1"/>
  <c r="AP22" i="19"/>
  <c r="R22" i="19"/>
  <c r="S22" i="19" s="1"/>
  <c r="Q21" i="19"/>
  <c r="I34" i="21"/>
  <c r="J34" i="21"/>
  <c r="L34" i="21" s="1"/>
  <c r="G23" i="15"/>
  <c r="AW22" i="15"/>
  <c r="E23" i="15"/>
  <c r="D24" i="15"/>
  <c r="C25" i="15"/>
  <c r="A24" i="15"/>
  <c r="B24" i="15" s="1"/>
  <c r="AO25" i="15"/>
  <c r="L24" i="15"/>
  <c r="AM23" i="15"/>
  <c r="H24" i="15"/>
  <c r="AX24" i="15" s="1"/>
  <c r="Y22" i="19" l="1"/>
  <c r="AA22" i="19" s="1"/>
  <c r="AC22" i="19"/>
  <c r="H32" i="21"/>
  <c r="AI24" i="19"/>
  <c r="R21" i="19"/>
  <c r="S21" i="19" s="1"/>
  <c r="Q20" i="19"/>
  <c r="AP21" i="19"/>
  <c r="AQ22" i="19"/>
  <c r="AS22" i="19" s="1"/>
  <c r="AZ22" i="19" s="1"/>
  <c r="BA22" i="19" s="1"/>
  <c r="BB22" i="19" s="1"/>
  <c r="AE23" i="19" s="1"/>
  <c r="AG23" i="19" s="1"/>
  <c r="I33" i="21"/>
  <c r="J33" i="21"/>
  <c r="L33" i="21" s="1"/>
  <c r="G24" i="15"/>
  <c r="AW23" i="15"/>
  <c r="E24" i="15"/>
  <c r="D25" i="15"/>
  <c r="C26" i="15"/>
  <c r="AM24" i="15"/>
  <c r="H25" i="15"/>
  <c r="AX25" i="15" s="1"/>
  <c r="L25" i="15"/>
  <c r="AO26" i="15"/>
  <c r="A25" i="15"/>
  <c r="B25" i="15" s="1"/>
  <c r="AC21" i="19" l="1"/>
  <c r="Y21" i="19"/>
  <c r="AA21" i="19" s="1"/>
  <c r="H31" i="21"/>
  <c r="AI23" i="19"/>
  <c r="S20" i="19"/>
  <c r="R20" i="19"/>
  <c r="Q19" i="19"/>
  <c r="I32" i="21"/>
  <c r="J32" i="21"/>
  <c r="L32" i="21" s="1"/>
  <c r="AP20" i="19"/>
  <c r="AQ21" i="19"/>
  <c r="AS21" i="19" s="1"/>
  <c r="AZ21" i="19" s="1"/>
  <c r="BA21" i="19" s="1"/>
  <c r="BB21" i="19" s="1"/>
  <c r="AE22" i="19" s="1"/>
  <c r="AG22" i="19" s="1"/>
  <c r="G25" i="15"/>
  <c r="AW24" i="15"/>
  <c r="E25" i="15"/>
  <c r="D26" i="15"/>
  <c r="C27" i="15"/>
  <c r="A26" i="15"/>
  <c r="B26" i="15" s="1"/>
  <c r="AO27" i="15"/>
  <c r="L26" i="15"/>
  <c r="AM25" i="15"/>
  <c r="H26" i="15"/>
  <c r="AX26" i="15" s="1"/>
  <c r="H30" i="21" l="1"/>
  <c r="AI22" i="19"/>
  <c r="R19" i="19"/>
  <c r="S19" i="19" s="1"/>
  <c r="Q18" i="19"/>
  <c r="I31" i="21"/>
  <c r="J31" i="21"/>
  <c r="L31" i="21" s="1"/>
  <c r="Y20" i="19"/>
  <c r="AA20" i="19" s="1"/>
  <c r="AC20" i="19"/>
  <c r="AP19" i="19"/>
  <c r="AQ20" i="19"/>
  <c r="AS20" i="19" s="1"/>
  <c r="AZ20" i="19" s="1"/>
  <c r="BA20" i="19" s="1"/>
  <c r="BB20" i="19" s="1"/>
  <c r="AE21" i="19" s="1"/>
  <c r="AG21" i="19" s="1"/>
  <c r="G26" i="15"/>
  <c r="AW25" i="15"/>
  <c r="E26" i="15"/>
  <c r="D27" i="15"/>
  <c r="C28" i="15"/>
  <c r="AM26" i="15"/>
  <c r="H27" i="15"/>
  <c r="AX27" i="15" s="1"/>
  <c r="L27" i="15"/>
  <c r="AO28" i="15"/>
  <c r="A27" i="15"/>
  <c r="B27" i="15" s="1"/>
  <c r="AC19" i="19" l="1"/>
  <c r="Y19" i="19"/>
  <c r="AA19" i="19" s="1"/>
  <c r="AI21" i="19"/>
  <c r="H29" i="21"/>
  <c r="R18" i="19"/>
  <c r="S18" i="19" s="1"/>
  <c r="Q17" i="19"/>
  <c r="I30" i="21"/>
  <c r="J30" i="21"/>
  <c r="L30" i="21" s="1"/>
  <c r="AQ19" i="19"/>
  <c r="AS19" i="19" s="1"/>
  <c r="AZ19" i="19" s="1"/>
  <c r="BA19" i="19" s="1"/>
  <c r="BB19" i="19" s="1"/>
  <c r="AE20" i="19" s="1"/>
  <c r="AG20" i="19" s="1"/>
  <c r="AP18" i="19"/>
  <c r="G27" i="15"/>
  <c r="AW26" i="15"/>
  <c r="E27" i="15"/>
  <c r="D28" i="15"/>
  <c r="C29" i="15"/>
  <c r="A28" i="15"/>
  <c r="B28" i="15" s="1"/>
  <c r="AO29" i="15"/>
  <c r="L28" i="15"/>
  <c r="AM27" i="15"/>
  <c r="H28" i="15"/>
  <c r="AX28" i="15" s="1"/>
  <c r="R17" i="19" l="1"/>
  <c r="S17" i="19" s="1"/>
  <c r="Q16" i="19"/>
  <c r="H28" i="21"/>
  <c r="AI20" i="19"/>
  <c r="I29" i="21"/>
  <c r="J29" i="21"/>
  <c r="L29" i="21" s="1"/>
  <c r="AQ18" i="19"/>
  <c r="AS18" i="19" s="1"/>
  <c r="AZ18" i="19" s="1"/>
  <c r="BA18" i="19" s="1"/>
  <c r="BB18" i="19" s="1"/>
  <c r="AE19" i="19" s="1"/>
  <c r="AG19" i="19" s="1"/>
  <c r="AP17" i="19"/>
  <c r="Y18" i="19"/>
  <c r="AA18" i="19" s="1"/>
  <c r="AC18" i="19"/>
  <c r="G28" i="15"/>
  <c r="AW27" i="15"/>
  <c r="E28" i="15"/>
  <c r="D29" i="15"/>
  <c r="C30" i="15"/>
  <c r="AM28" i="15"/>
  <c r="H29" i="15"/>
  <c r="AX29" i="15" s="1"/>
  <c r="L29" i="15"/>
  <c r="AO30" i="15"/>
  <c r="A29" i="15"/>
  <c r="B29" i="15" s="1"/>
  <c r="H27" i="21" l="1"/>
  <c r="AI19" i="19"/>
  <c r="I28" i="21"/>
  <c r="J28" i="21"/>
  <c r="L28" i="21" s="1"/>
  <c r="Y17" i="19"/>
  <c r="AA17" i="19" s="1"/>
  <c r="AC17" i="19"/>
  <c r="R16" i="19"/>
  <c r="S16" i="19" s="1"/>
  <c r="Q15" i="19"/>
  <c r="AQ17" i="19"/>
  <c r="AS17" i="19" s="1"/>
  <c r="AZ17" i="19" s="1"/>
  <c r="BA17" i="19" s="1"/>
  <c r="BB17" i="19" s="1"/>
  <c r="AE18" i="19" s="1"/>
  <c r="AG18" i="19" s="1"/>
  <c r="AP16" i="19"/>
  <c r="G29" i="15"/>
  <c r="AW28" i="15"/>
  <c r="E29" i="15"/>
  <c r="D30" i="15"/>
  <c r="C31" i="15"/>
  <c r="A30" i="15"/>
  <c r="B30" i="15" s="1"/>
  <c r="AO31" i="15"/>
  <c r="L30" i="15"/>
  <c r="AM29" i="15"/>
  <c r="H30" i="15"/>
  <c r="AX30" i="15" s="1"/>
  <c r="AC16" i="19" l="1"/>
  <c r="Y16" i="19"/>
  <c r="AA16" i="19" s="1"/>
  <c r="H26" i="21"/>
  <c r="AI18" i="19"/>
  <c r="AQ16" i="19"/>
  <c r="AS16" i="19" s="1"/>
  <c r="AZ16" i="19" s="1"/>
  <c r="BA16" i="19" s="1"/>
  <c r="BB16" i="19" s="1"/>
  <c r="AE17" i="19" s="1"/>
  <c r="AG17" i="19" s="1"/>
  <c r="AP15" i="19"/>
  <c r="R15" i="19"/>
  <c r="S15" i="19" s="1"/>
  <c r="Q14" i="19"/>
  <c r="I27" i="21"/>
  <c r="J27" i="21"/>
  <c r="L27" i="21" s="1"/>
  <c r="G30" i="15"/>
  <c r="AW29" i="15"/>
  <c r="E30" i="15"/>
  <c r="D31" i="15"/>
  <c r="C32" i="15"/>
  <c r="AM30" i="15"/>
  <c r="H31" i="15"/>
  <c r="AX31" i="15" s="1"/>
  <c r="L31" i="15"/>
  <c r="AO32" i="15"/>
  <c r="A31" i="15"/>
  <c r="B31" i="15" s="1"/>
  <c r="Y15" i="19" l="1"/>
  <c r="AA15" i="19" s="1"/>
  <c r="AC15" i="19"/>
  <c r="H25" i="21"/>
  <c r="AI17" i="19"/>
  <c r="I26" i="21"/>
  <c r="J26" i="21"/>
  <c r="L26" i="21" s="1"/>
  <c r="AP14" i="19"/>
  <c r="AQ15" i="19"/>
  <c r="AS15" i="19" s="1"/>
  <c r="AZ15" i="19" s="1"/>
  <c r="BA15" i="19" s="1"/>
  <c r="BB15" i="19" s="1"/>
  <c r="AE16" i="19" s="1"/>
  <c r="AG16" i="19" s="1"/>
  <c r="Q36" i="19"/>
  <c r="R14" i="19"/>
  <c r="R36" i="19" s="1"/>
  <c r="G31" i="15"/>
  <c r="AW30" i="15"/>
  <c r="E31" i="15"/>
  <c r="D32" i="15"/>
  <c r="C33" i="15"/>
  <c r="A32" i="15"/>
  <c r="B32" i="15" s="1"/>
  <c r="AO33" i="15"/>
  <c r="L32" i="15"/>
  <c r="AM31" i="15"/>
  <c r="H32" i="15"/>
  <c r="AX32" i="15" s="1"/>
  <c r="H24" i="21" l="1"/>
  <c r="AI16" i="19"/>
  <c r="AP36" i="19"/>
  <c r="AQ14" i="19"/>
  <c r="AQ36" i="19" s="1"/>
  <c r="AS14" i="19"/>
  <c r="I25" i="21"/>
  <c r="J25" i="21"/>
  <c r="L25" i="21" s="1"/>
  <c r="S14" i="19"/>
  <c r="E37" i="19"/>
  <c r="E39" i="19" s="1"/>
  <c r="Q12" i="19" s="1"/>
  <c r="G32" i="15"/>
  <c r="AW31" i="15"/>
  <c r="E32" i="15"/>
  <c r="D33" i="15"/>
  <c r="C34" i="15"/>
  <c r="D34" i="15" s="1"/>
  <c r="AM32" i="15"/>
  <c r="H33" i="15"/>
  <c r="AX33" i="15" s="1"/>
  <c r="L33" i="15"/>
  <c r="AO34" i="15"/>
  <c r="A33" i="15"/>
  <c r="B33" i="15" s="1"/>
  <c r="S36" i="19" l="1"/>
  <c r="AG14" i="19"/>
  <c r="Y14" i="19"/>
  <c r="AC14" i="19"/>
  <c r="AC36" i="19" s="1"/>
  <c r="E38" i="19"/>
  <c r="AZ14" i="19"/>
  <c r="AS36" i="19"/>
  <c r="I24" i="21"/>
  <c r="J24" i="21"/>
  <c r="L24" i="21" s="1"/>
  <c r="G33" i="15"/>
  <c r="AW32" i="15"/>
  <c r="E33" i="15"/>
  <c r="D37" i="15"/>
  <c r="A34" i="15"/>
  <c r="B34" i="15" s="1"/>
  <c r="AM33" i="15"/>
  <c r="H34" i="15"/>
  <c r="AX34" i="15" s="1"/>
  <c r="Y36" i="19" l="1"/>
  <c r="AA14" i="19"/>
  <c r="AA36" i="19" s="1"/>
  <c r="BA14" i="19"/>
  <c r="AZ36" i="19"/>
  <c r="H22" i="21"/>
  <c r="AI14" i="19"/>
  <c r="G34" i="15"/>
  <c r="AW33" i="15"/>
  <c r="E34" i="15"/>
  <c r="E37" i="15" s="1"/>
  <c r="AM34" i="15"/>
  <c r="H35" i="15"/>
  <c r="AR34" i="15"/>
  <c r="AS34" i="15" s="1"/>
  <c r="AU34" i="15" s="1"/>
  <c r="BB34" i="15" s="1"/>
  <c r="Q34" i="15"/>
  <c r="I22" i="21" l="1"/>
  <c r="J22" i="21"/>
  <c r="L22" i="21" s="1"/>
  <c r="BB14" i="19"/>
  <c r="BA36" i="19"/>
  <c r="AM35" i="15"/>
  <c r="AX35" i="15"/>
  <c r="G35" i="15"/>
  <c r="AW35" i="15" s="1"/>
  <c r="AW34" i="15"/>
  <c r="R34" i="15"/>
  <c r="S34" i="15" s="1"/>
  <c r="AR33" i="15"/>
  <c r="Y35" i="15"/>
  <c r="Q33" i="15"/>
  <c r="AE15" i="19" l="1"/>
  <c r="BB36" i="19"/>
  <c r="AS33" i="15"/>
  <c r="AU33" i="15" s="1"/>
  <c r="BB33" i="15" s="1"/>
  <c r="R33" i="15"/>
  <c r="S33" i="15" s="1"/>
  <c r="Q32" i="15"/>
  <c r="AC34" i="15"/>
  <c r="AR32" i="15"/>
  <c r="AS32" i="15" s="1"/>
  <c r="AU32" i="15" s="1"/>
  <c r="BB32" i="15" s="1"/>
  <c r="AE36" i="19" l="1"/>
  <c r="AG15" i="19"/>
  <c r="AG12" i="19" s="1"/>
  <c r="Y34" i="15"/>
  <c r="AA34" i="15" s="1"/>
  <c r="R32" i="15"/>
  <c r="S32" i="15" s="1"/>
  <c r="Y33" i="15"/>
  <c r="AR31" i="15"/>
  <c r="AC33" i="15"/>
  <c r="Q31" i="15"/>
  <c r="H23" i="21" l="1"/>
  <c r="AI15" i="19"/>
  <c r="AI36" i="19" s="1"/>
  <c r="AG36" i="19"/>
  <c r="AS31" i="15"/>
  <c r="AU31" i="15" s="1"/>
  <c r="BB31" i="15" s="1"/>
  <c r="R31" i="15"/>
  <c r="S31" i="15" s="1"/>
  <c r="Q30" i="15"/>
  <c r="AA33" i="15"/>
  <c r="AR30" i="15"/>
  <c r="AS30" i="15" s="1"/>
  <c r="AU30" i="15" s="1"/>
  <c r="BB30" i="15" s="1"/>
  <c r="AC32" i="15"/>
  <c r="I23" i="21" l="1"/>
  <c r="J23" i="21"/>
  <c r="L23" i="21" s="1"/>
  <c r="Y32" i="15"/>
  <c r="AA32" i="15" s="1"/>
  <c r="R30" i="15"/>
  <c r="S30" i="15" s="1"/>
  <c r="Y31" i="15"/>
  <c r="AR29" i="15"/>
  <c r="AC31" i="15"/>
  <c r="Q29" i="15"/>
  <c r="AS29" i="15" l="1"/>
  <c r="AU29" i="15" s="1"/>
  <c r="BB29" i="15" s="1"/>
  <c r="R29" i="15"/>
  <c r="S29" i="15" s="1"/>
  <c r="Q28" i="15"/>
  <c r="AA31" i="15"/>
  <c r="AC30" i="15"/>
  <c r="AR28" i="15"/>
  <c r="Y30" i="15" l="1"/>
  <c r="AA30" i="15" s="1"/>
  <c r="AS28" i="15"/>
  <c r="AU28" i="15" s="1"/>
  <c r="BB28" i="15" s="1"/>
  <c r="R28" i="15"/>
  <c r="S28" i="15" s="1"/>
  <c r="AR27" i="15"/>
  <c r="AC29" i="15"/>
  <c r="Q27" i="15"/>
  <c r="Y29" i="15" l="1"/>
  <c r="AA29" i="15" s="1"/>
  <c r="AS27" i="15"/>
  <c r="AU27" i="15" s="1"/>
  <c r="BB27" i="15" s="1"/>
  <c r="R27" i="15"/>
  <c r="S27" i="15" s="1"/>
  <c r="AC28" i="15"/>
  <c r="Q26" i="15"/>
  <c r="AR26" i="15"/>
  <c r="Y28" i="15" l="1"/>
  <c r="AA28" i="15" s="1"/>
  <c r="AS26" i="15"/>
  <c r="AU26" i="15" s="1"/>
  <c r="BB26" i="15" s="1"/>
  <c r="R26" i="15"/>
  <c r="S26" i="15" s="1"/>
  <c r="AR25" i="15"/>
  <c r="AC27" i="15"/>
  <c r="Q25" i="15"/>
  <c r="Y27" i="15" l="1"/>
  <c r="AA27" i="15" s="1"/>
  <c r="AS25" i="15"/>
  <c r="AU25" i="15" s="1"/>
  <c r="BB25" i="15" s="1"/>
  <c r="R25" i="15"/>
  <c r="S25" i="15" s="1"/>
  <c r="AR24" i="15"/>
  <c r="AC26" i="15"/>
  <c r="Q24" i="15"/>
  <c r="Y26" i="15" l="1"/>
  <c r="AA26" i="15" s="1"/>
  <c r="AS24" i="15"/>
  <c r="AU24" i="15" s="1"/>
  <c r="BB24" i="15" s="1"/>
  <c r="R24" i="15"/>
  <c r="S24" i="15" s="1"/>
  <c r="Q23" i="15"/>
  <c r="AC25" i="15"/>
  <c r="AR23" i="15"/>
  <c r="Y25" i="15" l="1"/>
  <c r="AA25" i="15" s="1"/>
  <c r="AS23" i="15"/>
  <c r="AU23" i="15" s="1"/>
  <c r="BB23" i="15" s="1"/>
  <c r="R23" i="15"/>
  <c r="S23" i="15" s="1"/>
  <c r="AR22" i="15"/>
  <c r="Q22" i="15"/>
  <c r="AC24" i="15"/>
  <c r="Y24" i="15" l="1"/>
  <c r="AA24" i="15" s="1"/>
  <c r="AS22" i="15"/>
  <c r="AU22" i="15" s="1"/>
  <c r="BB22" i="15" s="1"/>
  <c r="R22" i="15"/>
  <c r="S22" i="15" s="1"/>
  <c r="Q21" i="15"/>
  <c r="AC23" i="15"/>
  <c r="AR21" i="15"/>
  <c r="Y23" i="15" l="1"/>
  <c r="AA23" i="15" s="1"/>
  <c r="AS21" i="15"/>
  <c r="AU21" i="15" s="1"/>
  <c r="BB21" i="15" s="1"/>
  <c r="R21" i="15"/>
  <c r="S21" i="15" s="1"/>
  <c r="AR20" i="15"/>
  <c r="Q20" i="15"/>
  <c r="AC22" i="15"/>
  <c r="Y22" i="15" l="1"/>
  <c r="AA22" i="15" s="1"/>
  <c r="AS20" i="15"/>
  <c r="AU20" i="15" s="1"/>
  <c r="BB20" i="15" s="1"/>
  <c r="R20" i="15"/>
  <c r="S20" i="15" s="1"/>
  <c r="Q19" i="15"/>
  <c r="AC21" i="15"/>
  <c r="AR19" i="15"/>
  <c r="Y21" i="15" l="1"/>
  <c r="AA21" i="15" s="1"/>
  <c r="AS19" i="15"/>
  <c r="AU19" i="15" s="1"/>
  <c r="BB19" i="15" s="1"/>
  <c r="R19" i="15"/>
  <c r="S19" i="15" s="1"/>
  <c r="AR18" i="15"/>
  <c r="Q18" i="15"/>
  <c r="AC20" i="15"/>
  <c r="Y20" i="15" l="1"/>
  <c r="AA20" i="15" s="1"/>
  <c r="AS18" i="15"/>
  <c r="AU18" i="15" s="1"/>
  <c r="BB18" i="15" s="1"/>
  <c r="R18" i="15"/>
  <c r="S18" i="15" s="1"/>
  <c r="Q17" i="15"/>
  <c r="AC19" i="15"/>
  <c r="AR17" i="15"/>
  <c r="Y19" i="15" l="1"/>
  <c r="AA19" i="15" s="1"/>
  <c r="AS17" i="15"/>
  <c r="AU17" i="15" s="1"/>
  <c r="BB17" i="15" s="1"/>
  <c r="R17" i="15"/>
  <c r="S17" i="15" s="1"/>
  <c r="AR16" i="15"/>
  <c r="AR15" i="15" s="1"/>
  <c r="Q16" i="15"/>
  <c r="Q15" i="15" s="1"/>
  <c r="AC18" i="15"/>
  <c r="Y18" i="15" l="1"/>
  <c r="AA18" i="15" s="1"/>
  <c r="AS16" i="15"/>
  <c r="AU16" i="15" s="1"/>
  <c r="BB16" i="15" s="1"/>
  <c r="AS15" i="15"/>
  <c r="R16" i="15"/>
  <c r="S16" i="15" s="1"/>
  <c r="AC17" i="15"/>
  <c r="Y17" i="15" l="1"/>
  <c r="AA17" i="15" s="1"/>
  <c r="AU15" i="15"/>
  <c r="AS37" i="15"/>
  <c r="R15" i="15"/>
  <c r="R37" i="15" s="1"/>
  <c r="Q37" i="15"/>
  <c r="AR37" i="15"/>
  <c r="AC16" i="15"/>
  <c r="BB15" i="15" l="1"/>
  <c r="BB37" i="15" s="1"/>
  <c r="E39" i="15"/>
  <c r="E38" i="15"/>
  <c r="S15" i="15"/>
  <c r="Y15" i="15" s="1"/>
  <c r="AU37" i="15"/>
  <c r="S37" i="15" l="1"/>
  <c r="AC15" i="15"/>
  <c r="AC37" i="15" s="1"/>
  <c r="E40" i="15"/>
  <c r="Q12" i="15" s="1"/>
  <c r="AA15" i="15"/>
  <c r="U37" i="15"/>
  <c r="Y16" i="15"/>
  <c r="AA16" i="15" l="1"/>
  <c r="AA37" i="15" s="1"/>
  <c r="Y37" i="15"/>
  <c r="BC14" i="15" l="1"/>
  <c r="BD14" i="15" s="1"/>
  <c r="AE15" i="15" l="1"/>
  <c r="AG15" i="15" s="1"/>
  <c r="BC17" i="15"/>
  <c r="BD17" i="15" s="1"/>
  <c r="AE18" i="15" s="1"/>
  <c r="AG18" i="15" s="1"/>
  <c r="BC33" i="15"/>
  <c r="BD33" i="15" s="1"/>
  <c r="AE34" i="15" s="1"/>
  <c r="AG34" i="15" s="1"/>
  <c r="BC19" i="15"/>
  <c r="BD19" i="15" s="1"/>
  <c r="AE20" i="15" s="1"/>
  <c r="AG20" i="15" s="1"/>
  <c r="BC27" i="15"/>
  <c r="BD27" i="15" s="1"/>
  <c r="AE28" i="15" s="1"/>
  <c r="AG28" i="15" s="1"/>
  <c r="BC32" i="15"/>
  <c r="BD32" i="15" s="1"/>
  <c r="AE33" i="15" s="1"/>
  <c r="AG33" i="15" s="1"/>
  <c r="BC31" i="15"/>
  <c r="BD31" i="15" s="1"/>
  <c r="AE32" i="15" s="1"/>
  <c r="AG32" i="15" s="1"/>
  <c r="BC24" i="15"/>
  <c r="BD24" i="15" s="1"/>
  <c r="AE25" i="15" s="1"/>
  <c r="AG25" i="15" s="1"/>
  <c r="BC21" i="15"/>
  <c r="BD21" i="15" s="1"/>
  <c r="AE22" i="15" s="1"/>
  <c r="AG22" i="15" s="1"/>
  <c r="BC20" i="15"/>
  <c r="BD20" i="15" s="1"/>
  <c r="AE21" i="15" s="1"/>
  <c r="AG21" i="15" s="1"/>
  <c r="BC28" i="15"/>
  <c r="BD28" i="15" s="1"/>
  <c r="AE29" i="15" s="1"/>
  <c r="AG29" i="15" s="1"/>
  <c r="BC16" i="15"/>
  <c r="BD16" i="15" s="1"/>
  <c r="AE17" i="15" s="1"/>
  <c r="AG17" i="15" s="1"/>
  <c r="BC29" i="15"/>
  <c r="BD29" i="15" s="1"/>
  <c r="AE30" i="15" s="1"/>
  <c r="AG30" i="15" s="1"/>
  <c r="BC23" i="15"/>
  <c r="BD23" i="15" s="1"/>
  <c r="AE24" i="15" s="1"/>
  <c r="AG24" i="15" s="1"/>
  <c r="BC25" i="15"/>
  <c r="BD25" i="15" s="1"/>
  <c r="AE26" i="15" s="1"/>
  <c r="AG26" i="15" s="1"/>
  <c r="BC34" i="15"/>
  <c r="BD34" i="15" s="1"/>
  <c r="AE35" i="15" s="1"/>
  <c r="AG35" i="15" s="1"/>
  <c r="BC30" i="15"/>
  <c r="BD30" i="15" s="1"/>
  <c r="AE31" i="15" s="1"/>
  <c r="AG31" i="15" s="1"/>
  <c r="BC22" i="15"/>
  <c r="BD22" i="15" s="1"/>
  <c r="AE23" i="15" s="1"/>
  <c r="AG23" i="15" s="1"/>
  <c r="BC18" i="15"/>
  <c r="BD18" i="15" s="1"/>
  <c r="AE19" i="15" s="1"/>
  <c r="AG19" i="15" s="1"/>
  <c r="BC26" i="15"/>
  <c r="BD26" i="15" s="1"/>
  <c r="AE27" i="15" s="1"/>
  <c r="AG27" i="15" s="1"/>
  <c r="BC15" i="15"/>
  <c r="BD15" i="15" s="1"/>
  <c r="AE16" i="15" s="1"/>
  <c r="AG16" i="15" s="1"/>
  <c r="AI15" i="15" l="1"/>
  <c r="AK15" i="15"/>
  <c r="AO37" i="15"/>
  <c r="AK23" i="15"/>
  <c r="AK21" i="15"/>
  <c r="AK18" i="15"/>
  <c r="AK31" i="15"/>
  <c r="AK22" i="15"/>
  <c r="AK28" i="15"/>
  <c r="AK27" i="15"/>
  <c r="AK17" i="15"/>
  <c r="AK25" i="15"/>
  <c r="AK20" i="15"/>
  <c r="AK24" i="15"/>
  <c r="AK33" i="15"/>
  <c r="AK16" i="15"/>
  <c r="AK30" i="15"/>
  <c r="AK19" i="15"/>
  <c r="AK26" i="15"/>
  <c r="AK29" i="15"/>
  <c r="AK32" i="15"/>
  <c r="AK34" i="15"/>
  <c r="AG37" i="15"/>
  <c r="AI16" i="15"/>
  <c r="AI30" i="15"/>
  <c r="AI19" i="15"/>
  <c r="AI26" i="15"/>
  <c r="AI29" i="15"/>
  <c r="AI32" i="15"/>
  <c r="AI34" i="15"/>
  <c r="AI23" i="15"/>
  <c r="AI24" i="15"/>
  <c r="AI21" i="15"/>
  <c r="AI33" i="15"/>
  <c r="AI18" i="15"/>
  <c r="AI31" i="15"/>
  <c r="AI22" i="15"/>
  <c r="AI28" i="15"/>
  <c r="AI27" i="15"/>
  <c r="AI17" i="15"/>
  <c r="AI25" i="15"/>
  <c r="AI20" i="15"/>
  <c r="AE37" i="15"/>
  <c r="BC37" i="15"/>
  <c r="BD37" i="15"/>
  <c r="AK37" i="15" l="1"/>
  <c r="E21" i="23" s="1"/>
  <c r="AI37" i="15"/>
  <c r="E27" i="23" l="1"/>
  <c r="E35" i="23"/>
  <c r="E29" i="23"/>
  <c r="E19" i="23"/>
  <c r="E17" i="23"/>
  <c r="E31" i="23"/>
  <c r="E23" i="23"/>
  <c r="E33" i="23"/>
  <c r="E25" i="23"/>
  <c r="E15" i="23"/>
  <c r="F15" i="23" s="1"/>
  <c r="F23" i="23" l="1"/>
  <c r="F25" i="23"/>
  <c r="F17" i="23"/>
  <c r="F33" i="23"/>
  <c r="F19" i="23"/>
  <c r="F21" i="23"/>
  <c r="F29" i="23"/>
  <c r="F31" i="23"/>
  <c r="F35" i="23"/>
  <c r="F37" i="23"/>
  <c r="F27" i="23"/>
</calcChain>
</file>

<file path=xl/comments1.xml><?xml version="1.0" encoding="utf-8"?>
<comments xmlns="http://schemas.openxmlformats.org/spreadsheetml/2006/main">
  <authors>
    <author>phohlweck</author>
  </authors>
  <commentList>
    <comment ref="BD11" authorId="0" shapeId="0">
      <text>
        <r>
          <rPr>
            <b/>
            <sz val="9"/>
            <color indexed="81"/>
            <rFont val="Tahoma"/>
            <family val="2"/>
          </rPr>
          <t>phohlweck:</t>
        </r>
        <r>
          <rPr>
            <sz val="9"/>
            <color indexed="81"/>
            <rFont val="Tahoma"/>
            <family val="2"/>
          </rPr>
          <t xml:space="preserve">
In some cases, bankers may want to only have positive numbers factored here, in which case change to an if, then formula.</t>
        </r>
      </text>
    </comment>
  </commentList>
</comments>
</file>

<file path=xl/comments2.xml><?xml version="1.0" encoding="utf-8"?>
<comments xmlns="http://schemas.openxmlformats.org/spreadsheetml/2006/main">
  <authors>
    <author>phohlweck</author>
  </authors>
  <commentList>
    <comment ref="BD11" authorId="0" shapeId="0">
      <text>
        <r>
          <rPr>
            <b/>
            <sz val="9"/>
            <color indexed="81"/>
            <rFont val="Tahoma"/>
            <family val="2"/>
          </rPr>
          <t>phohlweck:</t>
        </r>
        <r>
          <rPr>
            <sz val="9"/>
            <color indexed="81"/>
            <rFont val="Tahoma"/>
            <family val="2"/>
          </rPr>
          <t xml:space="preserve">
In some cases, bankers may want to only have positive numbers factored here, in which case change to an if, then formula.</t>
        </r>
      </text>
    </comment>
  </commentList>
</comments>
</file>

<file path=xl/comments3.xml><?xml version="1.0" encoding="utf-8"?>
<comments xmlns="http://schemas.openxmlformats.org/spreadsheetml/2006/main">
  <authors>
    <author>phohlweck</author>
  </authors>
  <commentList>
    <comment ref="BB11" authorId="0" shapeId="0">
      <text>
        <r>
          <rPr>
            <b/>
            <sz val="9"/>
            <color indexed="81"/>
            <rFont val="Tahoma"/>
            <family val="2"/>
          </rPr>
          <t>phohlweck:</t>
        </r>
        <r>
          <rPr>
            <sz val="9"/>
            <color indexed="81"/>
            <rFont val="Tahoma"/>
            <family val="2"/>
          </rPr>
          <t xml:space="preserve">
In some cases, bankers may want to only have positive numbers factored here, in which case change to an if, then formula.</t>
        </r>
      </text>
    </comment>
  </commentList>
</comments>
</file>

<file path=xl/sharedStrings.xml><?xml version="1.0" encoding="utf-8"?>
<sst xmlns="http://schemas.openxmlformats.org/spreadsheetml/2006/main" count="1192" uniqueCount="152">
  <si>
    <t>*</t>
  </si>
  <si>
    <t>RATES</t>
  </si>
  <si>
    <t>YEAR</t>
  </si>
  <si>
    <t>BOND</t>
  </si>
  <si>
    <t>INTEREST</t>
  </si>
  <si>
    <t>FISCAL D/S</t>
  </si>
  <si>
    <t>YEARS</t>
  </si>
  <si>
    <t>ON</t>
  </si>
  <si>
    <t>LEVY</t>
  </si>
  <si>
    <t>EXISTING</t>
  </si>
  <si>
    <t>PRINCIPAL</t>
  </si>
  <si>
    <t>TOTAL</t>
  </si>
  <si>
    <t>LESS:</t>
  </si>
  <si>
    <t>NET</t>
  </si>
  <si>
    <t>Equalized</t>
  </si>
  <si>
    <t>growth</t>
  </si>
  <si>
    <t>BOND YEARS</t>
  </si>
  <si>
    <t>DUE</t>
  </si>
  <si>
    <t>INVESTMENT</t>
  </si>
  <si>
    <t>MILL RATE</t>
  </si>
  <si>
    <t>Valuation</t>
  </si>
  <si>
    <t>principal</t>
  </si>
  <si>
    <t>interest</t>
  </si>
  <si>
    <t>EARNINGS</t>
  </si>
  <si>
    <t>total</t>
  </si>
  <si>
    <t>AVG=</t>
  </si>
  <si>
    <t>(A)</t>
  </si>
  <si>
    <t>Calendar</t>
  </si>
  <si>
    <t>Fiscal</t>
  </si>
  <si>
    <t>Avg Interest</t>
  </si>
  <si>
    <t/>
  </si>
  <si>
    <t>IMPACT</t>
  </si>
  <si>
    <t>COST</t>
  </si>
  <si>
    <t>DEBT</t>
  </si>
  <si>
    <t>SERVICE</t>
  </si>
  <si>
    <t>BANs</t>
  </si>
  <si>
    <t>(B)</t>
  </si>
  <si>
    <t>BAN</t>
  </si>
  <si>
    <t>Secondary Aid Cap.......................................................................................................................................................</t>
  </si>
  <si>
    <t>Secondary Aid Percentage........................................................................................................................</t>
  </si>
  <si>
    <t>Tertiary Aid Percentage................................................................................................................................</t>
  </si>
  <si>
    <t>GENERAL OBLIGATION BONDS</t>
  </si>
  <si>
    <t>PLUS NEW</t>
  </si>
  <si>
    <t>BABs</t>
  </si>
  <si>
    <t>SUBSIDY</t>
  </si>
  <si>
    <t>DIRECT</t>
  </si>
  <si>
    <t>AVERAGE=</t>
  </si>
  <si>
    <t>less</t>
  </si>
  <si>
    <t>direct</t>
  </si>
  <si>
    <t>subsidy</t>
  </si>
  <si>
    <t>FUND 39</t>
  </si>
  <si>
    <t>STATE AID</t>
  </si>
  <si>
    <t>(Factoring Aid)</t>
  </si>
  <si>
    <t>IMPACT ON</t>
  </si>
  <si>
    <t>NEW DEBT</t>
  </si>
  <si>
    <t xml:space="preserve">FISCAL </t>
  </si>
  <si>
    <t>Existing Debt</t>
  </si>
  <si>
    <t>Existing Plus</t>
  </si>
  <si>
    <t xml:space="preserve">Total for </t>
  </si>
  <si>
    <t>Service</t>
  </si>
  <si>
    <t>Base Year</t>
  </si>
  <si>
    <t>New Levy</t>
  </si>
  <si>
    <t>Difference</t>
  </si>
  <si>
    <t>Aid Calc.</t>
  </si>
  <si>
    <t>Fiscal Year</t>
  </si>
  <si>
    <t>FISCAL</t>
  </si>
  <si>
    <t>DEBT LEVY</t>
  </si>
  <si>
    <t>(3/1)</t>
  </si>
  <si>
    <t>(3/1 &amp; 9/1)</t>
  </si>
  <si>
    <t>EXAMPLE FINANCING PLAN ILLUSTRATION</t>
  </si>
  <si>
    <t>School District of Ashland</t>
  </si>
  <si>
    <t>2015 Estimated</t>
  </si>
  <si>
    <t>(A) State aid based on prior year debt service at the following aid level (15-16 July Est.):</t>
  </si>
  <si>
    <t>History of Levy</t>
  </si>
  <si>
    <t>Maintain Levy</t>
  </si>
  <si>
    <t>Revenue Limit</t>
  </si>
  <si>
    <t>Total Levy</t>
  </si>
  <si>
    <t>State Aid</t>
  </si>
  <si>
    <t>Add'l Levy</t>
  </si>
  <si>
    <t>Tax Rate</t>
  </si>
  <si>
    <t>2011-12</t>
  </si>
  <si>
    <t>2012-13</t>
  </si>
  <si>
    <t>2013-14</t>
  </si>
  <si>
    <t>2014-15</t>
  </si>
  <si>
    <t>2015-16</t>
  </si>
  <si>
    <t>Maintain Tax Rate</t>
  </si>
  <si>
    <t>F39 DS</t>
  </si>
  <si>
    <t>Total Levy + F39 DS</t>
  </si>
  <si>
    <t>Est.</t>
  </si>
  <si>
    <t>2016-17</t>
  </si>
  <si>
    <t>2017-18</t>
  </si>
  <si>
    <t>2018-19</t>
  </si>
  <si>
    <t>2019-20</t>
  </si>
  <si>
    <t>2020-21</t>
  </si>
  <si>
    <t>2021-22</t>
  </si>
  <si>
    <t>2022-23</t>
  </si>
  <si>
    <t>2023-24</t>
  </si>
  <si>
    <t>2024-25</t>
  </si>
  <si>
    <t>2025-26</t>
  </si>
  <si>
    <t>2026-27</t>
  </si>
  <si>
    <t>2027-28</t>
  </si>
  <si>
    <t>2028-29</t>
  </si>
  <si>
    <t>2029-30</t>
  </si>
  <si>
    <t>2030-31</t>
  </si>
  <si>
    <t>2031-32</t>
  </si>
  <si>
    <t>2032-33</t>
  </si>
  <si>
    <t>2033-34</t>
  </si>
  <si>
    <t>2034-35</t>
  </si>
  <si>
    <t>2035-36</t>
  </si>
  <si>
    <t xml:space="preserve"> </t>
  </si>
  <si>
    <t>Operational Tax Rate</t>
  </si>
  <si>
    <t>Fund 39 Tax Rate</t>
  </si>
  <si>
    <t>Oper. Levy</t>
  </si>
  <si>
    <t>History of Levy/Tax Rate</t>
  </si>
  <si>
    <t>F39 Tax Rate</t>
  </si>
  <si>
    <t>Robert W. Baird &amp; Co. Incorporated (“Baird”) is not recommending any action to you. Baird is not acting as an advisor to you and does not owe you a fiduciary duty pursuant to Section 15B of the Securities Exchange Act of 1934. Baird is acting for its own interests. You should discuss the information contained herein with any and all internal or external advisors and experts you deem appropriate before acting on the information. Baird seeks to serve as an underwriter (or placement agent) on a future transaction and not as a financial advisor or municipal advisor. The primary role of an underwriter (or placement agent) is to purchase, or arrange for the placement of, securities in an arm’s length commercial transaction with the issuer, and it has financial and other interests that differ from those of the issuer. The information provided is for discussion purposes only, in seeking to serve as underwriter (or placement agent). See “Important Disclosures” contained herein.</t>
  </si>
  <si>
    <t>Note: Planning estimates only. Significant changes in market conditions will require adjustments to current financing illustration. If interest rates move higher, the interest cost will be higher.</t>
  </si>
  <si>
    <t>EEE</t>
  </si>
  <si>
    <t>EEE Tax Rate</t>
  </si>
  <si>
    <t>* For every $5 million in additional borrowing, the impact increases by roughly $0.31 cents.</t>
  </si>
  <si>
    <t>Referendum Borrowing Amount - $5,820,000</t>
  </si>
  <si>
    <t>Referendum Matrix</t>
  </si>
  <si>
    <t>Total Bond Amount</t>
  </si>
  <si>
    <t>COMBINED</t>
  </si>
  <si>
    <t>EEE LEVY &amp;</t>
  </si>
  <si>
    <t>OVER BASE</t>
  </si>
  <si>
    <t>IMPACT=</t>
  </si>
  <si>
    <t>(A) State aid based on incremental expenditure change vs. base year (Fiscal Year 2014-15) at the following aid level (15-16 October Cert.):</t>
  </si>
  <si>
    <t>EEE Levy</t>
  </si>
  <si>
    <t>Additional Increase over 2015-2016
Annual Taxes per $100k Home</t>
  </si>
  <si>
    <t>Property Value</t>
  </si>
  <si>
    <r>
      <rPr>
        <sz val="10"/>
        <rFont val="Avenir LT Std 35 Light"/>
        <family val="2"/>
      </rPr>
      <t xml:space="preserve">Enter your </t>
    </r>
    <r>
      <rPr>
        <b/>
        <sz val="10"/>
        <rFont val="Avenir LT Std 35 Light"/>
        <family val="2"/>
      </rPr>
      <t xml:space="preserve">Estimated Fair Market Property Value (FMV): </t>
    </r>
  </si>
  <si>
    <t>You can find your FMV on your January 2016 property tax bill. FMV is also known as equalized property value, which equally distributes state, county and local taxes between taxpayers.</t>
  </si>
  <si>
    <r>
      <t xml:space="preserve">  Your </t>
    </r>
    <r>
      <rPr>
        <b/>
        <u/>
        <sz val="10"/>
        <rFont val="Avenir LT Std 35 Light"/>
        <family val="2"/>
      </rPr>
      <t xml:space="preserve">estimated </t>
    </r>
    <r>
      <rPr>
        <sz val="10"/>
        <rFont val="Avenir LT Std 35 Light"/>
        <family val="2"/>
      </rPr>
      <t xml:space="preserve">property tax rate increase per $1,000 FMV for school debt payments </t>
    </r>
    <r>
      <rPr>
        <sz val="8"/>
        <rFont val="Avenir LT Std 35 Light"/>
      </rPr>
      <t>(beginning 2016-17)</t>
    </r>
    <r>
      <rPr>
        <sz val="10"/>
        <rFont val="Avenir LT Std 35 Light"/>
        <family val="2"/>
      </rPr>
      <t>…………………………………………..</t>
    </r>
  </si>
  <si>
    <r>
      <t xml:space="preserve">  Your </t>
    </r>
    <r>
      <rPr>
        <b/>
        <u/>
        <sz val="10"/>
        <rFont val="Avenir LT Std 35 Light"/>
        <family val="2"/>
      </rPr>
      <t>estimated</t>
    </r>
    <r>
      <rPr>
        <sz val="10"/>
        <rFont val="Avenir LT Std 35 Light"/>
        <family val="2"/>
      </rPr>
      <t xml:space="preserve"> </t>
    </r>
    <r>
      <rPr>
        <b/>
        <u/>
        <sz val="10"/>
        <rFont val="Avenir LT Std 35 Light"/>
      </rPr>
      <t>annual</t>
    </r>
    <r>
      <rPr>
        <sz val="10"/>
        <rFont val="Avenir LT Std 35 Light"/>
        <family val="2"/>
      </rPr>
      <t xml:space="preserve"> property tax increase</t>
    </r>
    <r>
      <rPr>
        <sz val="10"/>
        <rFont val="Avenir LT Std 35 Light"/>
      </rPr>
      <t xml:space="preserve"> for school debt payments………………………………………</t>
    </r>
  </si>
  <si>
    <r>
      <t xml:space="preserve">  Your </t>
    </r>
    <r>
      <rPr>
        <b/>
        <u/>
        <sz val="10"/>
        <rFont val="Avenir LT Std 35 Light"/>
        <family val="2"/>
      </rPr>
      <t>estimated</t>
    </r>
    <r>
      <rPr>
        <sz val="10"/>
        <rFont val="Avenir LT Std 35 Light"/>
        <family val="2"/>
      </rPr>
      <t xml:space="preserve"> </t>
    </r>
    <r>
      <rPr>
        <b/>
        <u/>
        <sz val="10"/>
        <rFont val="Avenir LT Std 35 Light"/>
        <family val="2"/>
      </rPr>
      <t>monthly</t>
    </r>
    <r>
      <rPr>
        <sz val="10"/>
        <rFont val="Avenir LT Std 35 Light"/>
        <family val="2"/>
      </rPr>
      <t xml:space="preserve"> property tax increase for school debt payments………………………………………</t>
    </r>
  </si>
  <si>
    <r>
      <t xml:space="preserve">  Your </t>
    </r>
    <r>
      <rPr>
        <b/>
        <u/>
        <sz val="10"/>
        <rFont val="Avenir LT Std 35 Light"/>
        <family val="2"/>
      </rPr>
      <t>estimated</t>
    </r>
    <r>
      <rPr>
        <sz val="10"/>
        <rFont val="Avenir LT Std 35 Light"/>
        <family val="2"/>
      </rPr>
      <t xml:space="preserve"> </t>
    </r>
    <r>
      <rPr>
        <u/>
        <sz val="10"/>
        <rFont val="Avenir LT Std 35 Light"/>
      </rPr>
      <t>a</t>
    </r>
    <r>
      <rPr>
        <b/>
        <u/>
        <sz val="10"/>
        <rFont val="Avenir LT Std 35 Light"/>
      </rPr>
      <t>nnual</t>
    </r>
    <r>
      <rPr>
        <sz val="10"/>
        <rFont val="Avenir LT Std 35 Light"/>
      </rPr>
      <t xml:space="preserve"> </t>
    </r>
    <r>
      <rPr>
        <sz val="10"/>
        <rFont val="Avenir LT Std 35 Light"/>
        <family val="2"/>
      </rPr>
      <t>property tax increase for school debt payments</t>
    </r>
    <r>
      <rPr>
        <sz val="8"/>
        <rFont val="Avenir LT Std 35 Light"/>
        <family val="2"/>
      </rPr>
      <t xml:space="preserve"> </t>
    </r>
    <r>
      <rPr>
        <sz val="10"/>
        <rFont val="Avenir LT Std 35 Light"/>
        <family val="2"/>
      </rPr>
      <t>……………………………………………</t>
    </r>
  </si>
  <si>
    <r>
      <t xml:space="preserve">  Your </t>
    </r>
    <r>
      <rPr>
        <b/>
        <u/>
        <sz val="10"/>
        <rFont val="Avenir LT Std 35 Light"/>
        <family val="2"/>
      </rPr>
      <t>estimated</t>
    </r>
    <r>
      <rPr>
        <sz val="10"/>
        <rFont val="Avenir LT Std 35 Light"/>
        <family val="2"/>
      </rPr>
      <t xml:space="preserve"> </t>
    </r>
    <r>
      <rPr>
        <b/>
        <u/>
        <sz val="10"/>
        <rFont val="Avenir LT Std 35 Light"/>
      </rPr>
      <t>monthly</t>
    </r>
    <r>
      <rPr>
        <sz val="10"/>
        <rFont val="Avenir LT Std 35 Light"/>
      </rPr>
      <t xml:space="preserve"> </t>
    </r>
    <r>
      <rPr>
        <sz val="10"/>
        <rFont val="Avenir LT Std 35 Light"/>
        <family val="2"/>
      </rPr>
      <t>property tax increase for school debt payments</t>
    </r>
    <r>
      <rPr>
        <sz val="8"/>
        <rFont val="Avenir LT Std 35 Light"/>
        <family val="2"/>
      </rPr>
      <t xml:space="preserve"> </t>
    </r>
    <r>
      <rPr>
        <sz val="10"/>
        <rFont val="Avenir LT Std 35 Light"/>
        <family val="2"/>
      </rPr>
      <t>……………………………………………</t>
    </r>
  </si>
  <si>
    <t>All tax impact estimates provided by financial consultants from Robert W. Baird &amp; Co.</t>
  </si>
  <si>
    <t>2036-37</t>
  </si>
  <si>
    <t>2037-38</t>
  </si>
  <si>
    <t>Q1</t>
  </si>
  <si>
    <t>Q1 &amp; Q2</t>
  </si>
  <si>
    <t>Q1 Tax Rate</t>
  </si>
  <si>
    <t>Q2 Tax Rate</t>
  </si>
  <si>
    <t>Hudson School District</t>
  </si>
  <si>
    <t>Question #1: $74,300,000 for the purpose of paying the costs of additions, renovations and upgrades to the high school and equipment acquisition related to said projects.</t>
  </si>
  <si>
    <t>Question #2: $7,900,000 for the purpose of paying the costs of additions, renovations and upgrades to the middle school and equipment acquisition related to said projects.</t>
  </si>
  <si>
    <t>Question #3: $8,200,000 for the purpose of paying the costs of constructing and equipping new multi-use athletic facilities at the high school and renovating, upgrading and equipping the high school auditorium.</t>
  </si>
  <si>
    <r>
      <t xml:space="preserve">  Your </t>
    </r>
    <r>
      <rPr>
        <b/>
        <u/>
        <sz val="10"/>
        <rFont val="Avenir LT Std 35 Light"/>
        <family val="2"/>
      </rPr>
      <t xml:space="preserve">estimated </t>
    </r>
    <r>
      <rPr>
        <sz val="10"/>
        <rFont val="Avenir LT Std 35 Light"/>
        <family val="2"/>
      </rPr>
      <t>property tax rate increase per $1,000 FMV</t>
    </r>
    <r>
      <rPr>
        <sz val="8"/>
        <rFont val="Avenir LT Std 35 Light"/>
        <family val="2"/>
      </rPr>
      <t xml:space="preserve"> </t>
    </r>
    <r>
      <rPr>
        <sz val="10"/>
        <rFont val="Avenir LT Std 35 Light"/>
      </rPr>
      <t xml:space="preserve">for school debt payments </t>
    </r>
    <r>
      <rPr>
        <sz val="8"/>
        <rFont val="Avenir LT Std 35 Light"/>
        <family val="2"/>
      </rPr>
      <t>(beginning 2016-17)</t>
    </r>
    <r>
      <rPr>
        <sz val="10"/>
        <rFont val="Avenir LT Std 35 Light"/>
        <family val="2"/>
      </rPr>
      <t>……………………………………………………………….</t>
    </r>
  </si>
  <si>
    <r>
      <t xml:space="preserve">  Your </t>
    </r>
    <r>
      <rPr>
        <b/>
        <u/>
        <sz val="10"/>
        <rFont val="Avenir LT Std 35 Light"/>
        <family val="2"/>
      </rPr>
      <t xml:space="preserve">estimated </t>
    </r>
    <r>
      <rPr>
        <sz val="10"/>
        <rFont val="Avenir LT Std 35 Light"/>
        <family val="2"/>
      </rPr>
      <t>property tax rate increase per $1,000 FMV</t>
    </r>
    <r>
      <rPr>
        <sz val="8"/>
        <rFont val="Avenir LT Std 35 Light"/>
        <family val="2"/>
      </rPr>
      <t xml:space="preserve"> </t>
    </r>
    <r>
      <rPr>
        <sz val="10"/>
        <rFont val="Avenir LT Std 35 Light"/>
      </rPr>
      <t>for school debt payments</t>
    </r>
    <r>
      <rPr>
        <sz val="8"/>
        <rFont val="Avenir LT Std 35 Light"/>
        <family val="2"/>
      </rPr>
      <t xml:space="preserve"> (beginning 2016-17)</t>
    </r>
    <r>
      <rPr>
        <sz val="10"/>
        <rFont val="Avenir LT Std 35 Light"/>
        <family val="2"/>
      </rPr>
      <t>……………………………………………………………….</t>
    </r>
  </si>
  <si>
    <t>2016 Referendum Property Tax Calculator</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</si>
</sst>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7" formatCode="&quot;$&quot;#,##0.00_);\(&quot;$&quot;#,##0.00\)"/>
    <numFmt numFmtId="44" formatCode="_(&quot;$&quot;* #,##0.00_);_(&quot;$&quot;* \(#,##0.00\);_(&quot;$&quot;* &quot;-&quot;??_);_(@_)"/>
    <numFmt numFmtId="43" formatCode="_(* #,##0.00_);_(* \(#,##0.00\);_(* &quot;-&quot;??_);_(@_)"/>
    <numFmt numFmtId="164" formatCode="General_)"/>
    <numFmt numFmtId="165" formatCode="0_)"/>
    <numFmt numFmtId="166" formatCode="&quot;Dated&quot;\ mmmm\ d\,\ yyyy;@"/>
    <numFmt numFmtId="167" formatCode="&quot;(First interest&quot;\ m/d/yy&quot;)&quot;"/>
    <numFmt numFmtId="168" formatCode="\(General\)"/>
    <numFmt numFmtId="169" formatCode="&quot;$&quot;#,##0"/>
    <numFmt numFmtId="170" formatCode="&quot;(Due&quot;\ m/d/yy&quot;)&quot;"/>
    <numFmt numFmtId="171" formatCode="&quot;$&quot;#,##0\ ;\(&quot;$&quot;#,##0\)"/>
    <numFmt numFmtId="172" formatCode="&quot;$&quot;#,##0.00"/>
  </numFmts>
  <fonts count="74">
    <font>
      <sz val="12"/>
      <name val="Helv"/>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name val="Arial"/>
      <family val="2"/>
    </font>
    <font>
      <sz val="12"/>
      <name val="Helv"/>
    </font>
    <font>
      <sz val="12"/>
      <color indexed="8"/>
      <name val="Verdana"/>
      <family val="2"/>
    </font>
    <font>
      <b/>
      <sz val="24"/>
      <name val="Verdana"/>
      <family val="2"/>
    </font>
    <font>
      <b/>
      <sz val="16"/>
      <name val="Verdana"/>
      <family val="2"/>
    </font>
    <font>
      <b/>
      <i/>
      <sz val="12"/>
      <color indexed="8"/>
      <name val="Verdana"/>
      <family val="2"/>
    </font>
    <font>
      <i/>
      <sz val="12"/>
      <color indexed="8"/>
      <name val="Verdana"/>
      <family val="2"/>
    </font>
    <font>
      <b/>
      <sz val="12"/>
      <color indexed="8"/>
      <name val="Verdana"/>
      <family val="2"/>
    </font>
    <font>
      <b/>
      <i/>
      <sz val="12"/>
      <color indexed="10"/>
      <name val="Verdana"/>
      <family val="2"/>
    </font>
    <font>
      <sz val="12"/>
      <name val="Verdana"/>
      <family val="2"/>
    </font>
    <font>
      <b/>
      <sz val="14"/>
      <name val="Verdana"/>
      <family val="2"/>
    </font>
    <font>
      <b/>
      <sz val="16"/>
      <color indexed="17"/>
      <name val="Verdana"/>
      <family val="2"/>
    </font>
    <font>
      <b/>
      <sz val="14"/>
      <color indexed="10"/>
      <name val="Verdana"/>
      <family val="2"/>
    </font>
    <font>
      <b/>
      <i/>
      <sz val="14"/>
      <color indexed="8"/>
      <name val="Verdana"/>
      <family val="2"/>
    </font>
    <font>
      <i/>
      <sz val="9"/>
      <color indexed="8"/>
      <name val="Verdana"/>
      <family val="2"/>
    </font>
    <font>
      <i/>
      <sz val="8"/>
      <color indexed="8"/>
      <name val="Verdana"/>
      <family val="2"/>
    </font>
    <font>
      <i/>
      <sz val="11"/>
      <color indexed="8"/>
      <name val="Verdana"/>
      <family val="2"/>
    </font>
    <font>
      <sz val="11"/>
      <color indexed="8"/>
      <name val="Verdana"/>
      <family val="2"/>
    </font>
    <font>
      <b/>
      <sz val="12"/>
      <color indexed="10"/>
      <name val="Verdana"/>
      <family val="2"/>
    </font>
    <font>
      <i/>
      <sz val="10"/>
      <color indexed="8"/>
      <name val="Verdana"/>
      <family val="2"/>
    </font>
    <font>
      <b/>
      <i/>
      <sz val="10"/>
      <color indexed="8"/>
      <name val="Verdana"/>
      <family val="2"/>
    </font>
    <font>
      <i/>
      <sz val="14"/>
      <color indexed="8"/>
      <name val="Verdana"/>
      <family val="2"/>
    </font>
    <font>
      <b/>
      <sz val="11"/>
      <color indexed="8"/>
      <name val="Verdana"/>
      <family val="2"/>
    </font>
    <font>
      <i/>
      <sz val="14"/>
      <color indexed="9"/>
      <name val="Verdana"/>
      <family val="2"/>
    </font>
    <font>
      <i/>
      <sz val="14"/>
      <name val="Verdana"/>
      <family val="2"/>
    </font>
    <font>
      <sz val="14"/>
      <color indexed="8"/>
      <name val="Verdana"/>
      <family val="2"/>
    </font>
    <font>
      <sz val="10"/>
      <color indexed="8"/>
      <name val="Verdana"/>
      <family val="2"/>
    </font>
    <font>
      <i/>
      <sz val="12"/>
      <name val="Verdana"/>
      <family val="2"/>
    </font>
    <font>
      <i/>
      <sz val="12"/>
      <color indexed="9"/>
      <name val="Verdana"/>
      <family val="2"/>
    </font>
    <font>
      <sz val="9"/>
      <color indexed="81"/>
      <name val="Tahoma"/>
      <family val="2"/>
    </font>
    <font>
      <b/>
      <sz val="9"/>
      <color indexed="81"/>
      <name val="Tahoma"/>
      <family val="2"/>
    </font>
    <font>
      <sz val="10"/>
      <name val="Helv"/>
    </font>
    <font>
      <sz val="12"/>
      <name val="Arial"/>
      <family val="2"/>
    </font>
    <font>
      <sz val="10"/>
      <color theme="1"/>
      <name val="Verdana"/>
      <family val="2"/>
    </font>
    <font>
      <b/>
      <sz val="10"/>
      <color theme="1"/>
      <name val="Verdana"/>
      <family val="2"/>
    </font>
    <font>
      <b/>
      <sz val="14"/>
      <color theme="1"/>
      <name val="Verdana"/>
      <family val="2"/>
    </font>
    <font>
      <sz val="12"/>
      <color theme="1"/>
      <name val="Verdana"/>
      <family val="2"/>
    </font>
    <font>
      <sz val="10"/>
      <name val="Verdana"/>
      <family val="2"/>
    </font>
    <font>
      <sz val="9"/>
      <name val="Verdana"/>
      <family val="2"/>
    </font>
    <font>
      <sz val="12"/>
      <color theme="1"/>
      <name val="Arial"/>
      <family val="2"/>
    </font>
    <font>
      <b/>
      <sz val="20"/>
      <name val="Arial"/>
      <family val="2"/>
    </font>
    <font>
      <b/>
      <sz val="14"/>
      <name val="Arial"/>
      <family val="2"/>
    </font>
    <font>
      <b/>
      <sz val="12"/>
      <color theme="1"/>
      <name val="Arial"/>
      <family val="2"/>
    </font>
    <font>
      <b/>
      <sz val="12"/>
      <name val="Arial"/>
      <family val="2"/>
    </font>
    <font>
      <b/>
      <sz val="14"/>
      <color theme="0"/>
      <name val="Arial"/>
      <family val="2"/>
    </font>
    <font>
      <b/>
      <sz val="14"/>
      <color theme="1"/>
      <name val="Arial"/>
      <family val="2"/>
    </font>
    <font>
      <b/>
      <i/>
      <sz val="14"/>
      <color rgb="FFFF0000"/>
      <name val="Arial"/>
      <family val="2"/>
    </font>
    <font>
      <b/>
      <sz val="20"/>
      <name val="Avenir LT Std 35 Light"/>
      <family val="2"/>
    </font>
    <font>
      <b/>
      <sz val="12"/>
      <name val="Avenir LT Std 35 Light"/>
      <family val="2"/>
    </font>
    <font>
      <sz val="12"/>
      <name val="Avenir LT Std 35 Light"/>
      <family val="2"/>
    </font>
    <font>
      <b/>
      <sz val="10"/>
      <name val="Avenir LT Std 35 Light"/>
      <family val="2"/>
    </font>
    <font>
      <sz val="10"/>
      <name val="Avenir LT Std 35 Light"/>
      <family val="2"/>
    </font>
    <font>
      <b/>
      <sz val="14"/>
      <name val="Avenir LT Std 35 Light"/>
      <family val="2"/>
    </font>
    <font>
      <i/>
      <sz val="9"/>
      <name val="Avenir LT Std 35 Light"/>
      <family val="2"/>
    </font>
    <font>
      <sz val="14"/>
      <name val="Avenir LT Std 35 Light"/>
      <family val="2"/>
    </font>
    <font>
      <sz val="9"/>
      <name val="Avenir LT Std 35 Light"/>
      <family val="2"/>
    </font>
    <font>
      <b/>
      <sz val="12"/>
      <color indexed="8"/>
      <name val="Avenir LT Std 35 Light"/>
      <family val="2"/>
    </font>
    <font>
      <b/>
      <sz val="10"/>
      <color indexed="8"/>
      <name val="Avenir LT Std 35 Light"/>
      <family val="2"/>
    </font>
    <font>
      <b/>
      <sz val="14"/>
      <color indexed="8"/>
      <name val="Avenir LT Std 35 Light"/>
      <family val="2"/>
    </font>
    <font>
      <sz val="9"/>
      <color indexed="8"/>
      <name val="Avenir LT Std 35 Light"/>
      <family val="2"/>
    </font>
    <font>
      <b/>
      <u/>
      <sz val="10"/>
      <name val="Avenir LT Std 35 Light"/>
      <family val="2"/>
    </font>
    <font>
      <sz val="8"/>
      <name val="Avenir LT Std 35 Light"/>
    </font>
    <font>
      <b/>
      <u/>
      <sz val="10"/>
      <name val="Avenir LT Std 35 Light"/>
    </font>
    <font>
      <sz val="10"/>
      <name val="Avenir LT Std 35 Light"/>
    </font>
    <font>
      <sz val="8"/>
      <name val="Avenir LT Std 35 Light"/>
      <family val="2"/>
    </font>
    <font>
      <u/>
      <sz val="10"/>
      <name val="Avenir LT Std 35 Light"/>
    </font>
    <font>
      <i/>
      <sz val="10"/>
      <name val="Avenir LT Std 35 Light"/>
      <family val="2"/>
    </font>
    <font>
      <u/>
      <sz val="8.5"/>
      <color theme="10"/>
      <name val="Verdana"/>
      <family val="2"/>
    </font>
  </fonts>
  <fills count="20">
    <fill>
      <patternFill patternType="none"/>
    </fill>
    <fill>
      <patternFill patternType="gray125"/>
    </fill>
    <fill>
      <patternFill patternType="solid">
        <fgColor indexed="26"/>
        <bgColor indexed="64"/>
      </patternFill>
    </fill>
    <fill>
      <patternFill patternType="solid">
        <fgColor indexed="13"/>
        <bgColor indexed="64"/>
      </patternFill>
    </fill>
    <fill>
      <patternFill patternType="solid">
        <fgColor indexed="27"/>
        <bgColor indexed="64"/>
      </patternFill>
    </fill>
    <fill>
      <patternFill patternType="solid">
        <fgColor indexed="9"/>
        <bgColor indexed="64"/>
      </patternFill>
    </fill>
    <fill>
      <patternFill patternType="solid">
        <fgColor indexed="31"/>
        <bgColor indexed="64"/>
      </patternFill>
    </fill>
    <fill>
      <patternFill patternType="solid">
        <fgColor theme="6" tint="0.59999389629810485"/>
        <bgColor indexed="64"/>
      </patternFill>
    </fill>
    <fill>
      <patternFill patternType="solid">
        <fgColor theme="9" tint="-0.249977111117893"/>
        <bgColor indexed="64"/>
      </patternFill>
    </fill>
    <fill>
      <patternFill patternType="solid">
        <fgColor rgb="FFFFFF00"/>
        <bgColor indexed="64"/>
      </patternFill>
    </fill>
    <fill>
      <patternFill patternType="solid">
        <fgColor theme="6"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3" tint="0.39997558519241921"/>
        <bgColor indexed="64"/>
      </patternFill>
    </fill>
    <fill>
      <patternFill patternType="solid">
        <fgColor theme="5" tint="0.79998168889431442"/>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rgb="FFF6F6C2"/>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bottom/>
      <diagonal/>
    </border>
    <border>
      <left/>
      <right/>
      <top style="thin">
        <color indexed="8"/>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style="thin">
        <color indexed="64"/>
      </top>
      <bottom style="double">
        <color indexed="64"/>
      </bottom>
      <diagonal/>
    </border>
    <border>
      <left/>
      <right/>
      <top style="thin">
        <color indexed="8"/>
      </top>
      <bottom style="double">
        <color indexed="8"/>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8"/>
      </top>
      <bottom/>
      <diagonal/>
    </border>
    <border>
      <left/>
      <right style="thin">
        <color indexed="64"/>
      </right>
      <top style="thin">
        <color indexed="8"/>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60">
    <xf numFmtId="7" fontId="0" fillId="0" borderId="0"/>
    <xf numFmtId="0" fontId="7" fillId="0" borderId="0"/>
    <xf numFmtId="9" fontId="6" fillId="0" borderId="0" applyFont="0" applyFill="0" applyBorder="0" applyAlignment="0" applyProtection="0"/>
    <xf numFmtId="5" fontId="7" fillId="0" borderId="0"/>
    <xf numFmtId="0" fontId="37" fillId="0" borderId="0"/>
    <xf numFmtId="0" fontId="7" fillId="0" borderId="0"/>
    <xf numFmtId="0" fontId="7" fillId="0" borderId="0"/>
    <xf numFmtId="37" fontId="7" fillId="0" borderId="0"/>
    <xf numFmtId="9" fontId="6" fillId="0" borderId="0" applyFont="0" applyFill="0" applyBorder="0" applyAlignment="0" applyProtection="0"/>
    <xf numFmtId="43" fontId="6" fillId="0" borderId="0" applyFont="0" applyFill="0" applyBorder="0" applyAlignment="0" applyProtection="0"/>
    <xf numFmtId="3" fontId="38" fillId="0" borderId="0" applyFont="0" applyFill="0" applyBorder="0" applyAlignment="0" applyProtection="0"/>
    <xf numFmtId="0" fontId="37" fillId="0" borderId="0"/>
    <xf numFmtId="0" fontId="7" fillId="0" borderId="0"/>
    <xf numFmtId="44" fontId="39" fillId="0" borderId="0" applyFont="0" applyFill="0" applyBorder="0" applyAlignment="0" applyProtection="0"/>
    <xf numFmtId="44" fontId="39" fillId="0" borderId="0" applyFont="0" applyFill="0" applyBorder="0" applyAlignment="0" applyProtection="0"/>
    <xf numFmtId="171" fontId="38" fillId="0" borderId="0" applyFont="0" applyFill="0" applyBorder="0" applyAlignment="0" applyProtection="0"/>
    <xf numFmtId="0" fontId="38" fillId="0" borderId="0" applyFont="0" applyFill="0" applyBorder="0" applyAlignment="0" applyProtection="0"/>
    <xf numFmtId="2" fontId="38" fillId="0" borderId="0" applyFont="0" applyFill="0" applyBorder="0" applyAlignment="0" applyProtection="0"/>
    <xf numFmtId="0" fontId="37" fillId="0" borderId="0"/>
    <xf numFmtId="0" fontId="39" fillId="0" borderId="0"/>
    <xf numFmtId="0" fontId="6" fillId="0" borderId="0"/>
    <xf numFmtId="0" fontId="7" fillId="0" borderId="0"/>
    <xf numFmtId="9" fontId="39" fillId="0" borderId="0" applyFont="0" applyFill="0" applyBorder="0" applyAlignment="0" applyProtection="0"/>
    <xf numFmtId="37" fontId="7" fillId="0" borderId="0"/>
    <xf numFmtId="0" fontId="5" fillId="0" borderId="0"/>
    <xf numFmtId="0" fontId="3" fillId="0" borderId="0"/>
    <xf numFmtId="9" fontId="3"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7" fontId="7" fillId="0" borderId="0"/>
    <xf numFmtId="0" fontId="3" fillId="0" borderId="0"/>
    <xf numFmtId="7" fontId="7" fillId="0" borderId="0"/>
    <xf numFmtId="0" fontId="3" fillId="0" borderId="0"/>
    <xf numFmtId="0" fontId="6" fillId="0" borderId="0"/>
    <xf numFmtId="0" fontId="3" fillId="0" borderId="0"/>
    <xf numFmtId="0" fontId="6" fillId="0" borderId="0"/>
    <xf numFmtId="0" fontId="3" fillId="0" borderId="0"/>
    <xf numFmtId="7" fontId="7" fillId="0" borderId="0"/>
    <xf numFmtId="0" fontId="6" fillId="0" borderId="0"/>
    <xf numFmtId="0" fontId="6" fillId="0" borderId="0"/>
    <xf numFmtId="0" fontId="6" fillId="0" borderId="0"/>
    <xf numFmtId="9" fontId="38" fillId="0" borderId="0" applyFont="0" applyFill="0" applyBorder="0" applyAlignment="0" applyProtection="0"/>
    <xf numFmtId="7" fontId="7" fillId="0" borderId="0"/>
    <xf numFmtId="0" fontId="37" fillId="0" borderId="0"/>
    <xf numFmtId="0" fontId="7" fillId="0" borderId="0"/>
    <xf numFmtId="0" fontId="7" fillId="0" borderId="0"/>
    <xf numFmtId="0" fontId="7" fillId="0" borderId="0"/>
    <xf numFmtId="0" fontId="73" fillId="0" borderId="0" applyNumberFormat="0" applyFill="0" applyBorder="0" applyAlignment="0" applyProtection="0">
      <alignment vertical="top"/>
      <protection locked="0"/>
    </xf>
    <xf numFmtId="7" fontId="7" fillId="0" borderId="0"/>
    <xf numFmtId="7" fontId="7" fillId="0" borderId="0"/>
    <xf numFmtId="7" fontId="7" fillId="0" borderId="0"/>
    <xf numFmtId="0" fontId="2" fillId="0" borderId="0"/>
    <xf numFmtId="37" fontId="7" fillId="0" borderId="0"/>
    <xf numFmtId="9" fontId="43" fillId="0" borderId="0" applyFont="0" applyFill="0" applyBorder="0" applyAlignment="0" applyProtection="0"/>
  </cellStyleXfs>
  <cellXfs count="296">
    <xf numFmtId="7" fontId="0" fillId="0" borderId="0" xfId="0"/>
    <xf numFmtId="7" fontId="8" fillId="0" borderId="0" xfId="0" applyNumberFormat="1" applyFont="1" applyProtection="1"/>
    <xf numFmtId="7" fontId="8" fillId="0" borderId="0" xfId="0" applyNumberFormat="1" applyFont="1" applyProtection="1">
      <protection locked="0"/>
    </xf>
    <xf numFmtId="7" fontId="8" fillId="0" borderId="0" xfId="0" applyFont="1"/>
    <xf numFmtId="7" fontId="9" fillId="0" borderId="0" xfId="0" applyNumberFormat="1" applyFont="1" applyFill="1" applyAlignment="1" applyProtection="1">
      <alignment horizontal="centerContinuous"/>
    </xf>
    <xf numFmtId="7" fontId="10" fillId="0" borderId="0" xfId="0" applyNumberFormat="1" applyFont="1" applyFill="1" applyAlignment="1" applyProtection="1">
      <alignment horizontal="centerContinuous"/>
    </xf>
    <xf numFmtId="7" fontId="8" fillId="0" borderId="0" xfId="0" applyNumberFormat="1" applyFont="1" applyAlignment="1" applyProtection="1">
      <alignment horizontal="center"/>
    </xf>
    <xf numFmtId="7" fontId="8" fillId="0" borderId="0" xfId="0" applyNumberFormat="1" applyFont="1" applyAlignment="1" applyProtection="1">
      <alignment horizontal="centerContinuous"/>
    </xf>
    <xf numFmtId="7" fontId="12" fillId="0" borderId="0" xfId="0" applyNumberFormat="1" applyFont="1" applyAlignment="1" applyProtection="1">
      <alignment horizontal="left"/>
    </xf>
    <xf numFmtId="7" fontId="14" fillId="0" borderId="3" xfId="0" applyNumberFormat="1" applyFont="1" applyBorder="1" applyAlignment="1" applyProtection="1">
      <alignment horizontal="centerContinuous"/>
      <protection locked="0"/>
    </xf>
    <xf numFmtId="7" fontId="13" fillId="0" borderId="4" xfId="0" applyNumberFormat="1" applyFont="1" applyBorder="1" applyAlignment="1" applyProtection="1">
      <alignment horizontal="centerContinuous"/>
      <protection locked="0"/>
    </xf>
    <xf numFmtId="7" fontId="8" fillId="0" borderId="0" xfId="0" applyNumberFormat="1" applyFont="1" applyAlignment="1" applyProtection="1">
      <alignment horizontal="left"/>
      <protection locked="0"/>
    </xf>
    <xf numFmtId="7" fontId="15" fillId="0" borderId="0" xfId="0" applyNumberFormat="1" applyFont="1" applyFill="1" applyAlignment="1" applyProtection="1">
      <alignment horizontal="centerContinuous"/>
    </xf>
    <xf numFmtId="7" fontId="8" fillId="0" borderId="0" xfId="0" applyFont="1" applyAlignment="1">
      <alignment horizontal="center"/>
    </xf>
    <xf numFmtId="7" fontId="14" fillId="0" borderId="5" xfId="0" applyNumberFormat="1" applyFont="1" applyBorder="1" applyAlignment="1" applyProtection="1">
      <alignment horizontal="centerContinuous"/>
      <protection locked="0"/>
    </xf>
    <xf numFmtId="7" fontId="13" fillId="0" borderId="0" xfId="0" applyNumberFormat="1" applyFont="1" applyBorder="1" applyAlignment="1" applyProtection="1">
      <alignment horizontal="centerContinuous"/>
      <protection locked="0"/>
    </xf>
    <xf numFmtId="7" fontId="16" fillId="0" borderId="0" xfId="0" applyNumberFormat="1" applyFont="1" applyFill="1" applyAlignment="1" applyProtection="1">
      <alignment horizontal="centerContinuous"/>
    </xf>
    <xf numFmtId="5" fontId="17" fillId="0" borderId="0" xfId="0" applyNumberFormat="1" applyFont="1" applyAlignment="1" applyProtection="1">
      <alignment horizontal="centerContinuous"/>
      <protection locked="0"/>
    </xf>
    <xf numFmtId="7" fontId="8" fillId="0" borderId="0" xfId="0" applyNumberFormat="1" applyFont="1" applyAlignment="1" applyProtection="1">
      <alignment horizontal="center"/>
      <protection locked="0"/>
    </xf>
    <xf numFmtId="7" fontId="13" fillId="0" borderId="0" xfId="0" applyNumberFormat="1" applyFont="1" applyAlignment="1" applyProtection="1">
      <alignment horizontal="centerContinuous"/>
      <protection locked="0"/>
    </xf>
    <xf numFmtId="7" fontId="8" fillId="0" borderId="0" xfId="0" applyNumberFormat="1" applyFont="1" applyAlignment="1" applyProtection="1">
      <alignment horizontal="fill"/>
      <protection locked="0"/>
    </xf>
    <xf numFmtId="164" fontId="18" fillId="2" borderId="7" xfId="0" applyNumberFormat="1" applyFont="1" applyFill="1" applyBorder="1" applyAlignment="1" applyProtection="1">
      <alignment horizontal="center"/>
      <protection locked="0"/>
    </xf>
    <xf numFmtId="7" fontId="20" fillId="0" borderId="0" xfId="0" quotePrefix="1" applyNumberFormat="1" applyFont="1" applyAlignment="1" applyProtection="1">
      <alignment horizontal="center"/>
      <protection locked="0"/>
    </xf>
    <xf numFmtId="7" fontId="8" fillId="0" borderId="9" xfId="0" applyNumberFormat="1" applyFont="1" applyBorder="1" applyAlignment="1" applyProtection="1">
      <alignment horizontal="center"/>
      <protection locked="0"/>
    </xf>
    <xf numFmtId="7" fontId="21" fillId="0" borderId="0" xfId="0" quotePrefix="1" applyNumberFormat="1" applyFont="1" applyAlignment="1" applyProtection="1">
      <alignment horizontal="center"/>
      <protection locked="0"/>
    </xf>
    <xf numFmtId="7" fontId="13" fillId="2" borderId="10" xfId="0" applyNumberFormat="1" applyFont="1" applyFill="1" applyBorder="1" applyAlignment="1" applyProtection="1">
      <alignment horizontal="center"/>
      <protection locked="0"/>
    </xf>
    <xf numFmtId="7" fontId="13" fillId="0" borderId="0" xfId="0" applyFont="1" applyAlignment="1">
      <alignment horizontal="center"/>
    </xf>
    <xf numFmtId="7" fontId="22" fillId="0" borderId="0" xfId="0" quotePrefix="1" applyNumberFormat="1" applyFont="1" applyAlignment="1" applyProtection="1">
      <alignment horizontal="center"/>
      <protection locked="0"/>
    </xf>
    <xf numFmtId="7" fontId="13" fillId="2" borderId="14" xfId="0" applyNumberFormat="1" applyFont="1" applyFill="1" applyBorder="1" applyAlignment="1" applyProtection="1">
      <alignment horizontal="center"/>
      <protection locked="0"/>
    </xf>
    <xf numFmtId="7" fontId="22" fillId="0" borderId="0" xfId="0" applyNumberFormat="1" applyFont="1" applyAlignment="1" applyProtection="1">
      <alignment horizontal="center"/>
      <protection locked="0"/>
    </xf>
    <xf numFmtId="7" fontId="22" fillId="0" borderId="0" xfId="0" applyNumberFormat="1" applyFont="1" applyProtection="1"/>
    <xf numFmtId="7" fontId="21" fillId="0" borderId="0" xfId="0" applyNumberFormat="1" applyFont="1" applyAlignment="1" applyProtection="1">
      <alignment horizontal="center"/>
      <protection locked="0"/>
    </xf>
    <xf numFmtId="7" fontId="20" fillId="0" borderId="0" xfId="0" applyNumberFormat="1" applyFont="1" applyAlignment="1" applyProtection="1">
      <alignment horizontal="center"/>
      <protection locked="0"/>
    </xf>
    <xf numFmtId="10" fontId="8" fillId="0" borderId="0" xfId="0" applyNumberFormat="1" applyFont="1" applyProtection="1">
      <protection locked="0"/>
    </xf>
    <xf numFmtId="10" fontId="22" fillId="0" borderId="0" xfId="0" applyNumberFormat="1" applyFont="1" applyAlignment="1" applyProtection="1">
      <alignment horizontal="center"/>
      <protection locked="0"/>
    </xf>
    <xf numFmtId="7" fontId="15" fillId="0" borderId="0" xfId="0" applyFont="1"/>
    <xf numFmtId="7" fontId="21" fillId="0" borderId="0" xfId="0" applyNumberFormat="1" applyFont="1" applyProtection="1">
      <protection locked="0"/>
    </xf>
    <xf numFmtId="10" fontId="8" fillId="0" borderId="0" xfId="0" applyNumberFormat="1" applyFont="1" applyProtection="1"/>
    <xf numFmtId="39" fontId="8" fillId="0" borderId="0" xfId="0" applyNumberFormat="1" applyFont="1" applyProtection="1">
      <protection locked="0"/>
    </xf>
    <xf numFmtId="37" fontId="8" fillId="0" borderId="0" xfId="0" applyNumberFormat="1" applyFont="1" applyProtection="1">
      <protection locked="0"/>
    </xf>
    <xf numFmtId="165" fontId="8" fillId="0" borderId="0" xfId="0" applyNumberFormat="1" applyFont="1" applyAlignment="1" applyProtection="1">
      <alignment horizontal="center"/>
      <protection locked="0"/>
    </xf>
    <xf numFmtId="5" fontId="8" fillId="0" borderId="0" xfId="0" applyNumberFormat="1" applyFont="1" applyAlignment="1" applyProtection="1">
      <alignment horizontal="right"/>
      <protection locked="0"/>
    </xf>
    <xf numFmtId="7" fontId="8" fillId="0" borderId="0" xfId="0" applyNumberFormat="1" applyFont="1" applyAlignment="1" applyProtection="1">
      <alignment horizontal="right"/>
      <protection locked="0"/>
    </xf>
    <xf numFmtId="5" fontId="8" fillId="0" borderId="0" xfId="0" applyNumberFormat="1" applyFont="1" applyProtection="1">
      <protection locked="0"/>
    </xf>
    <xf numFmtId="37" fontId="24" fillId="3" borderId="15" xfId="0" applyNumberFormat="1" applyFont="1" applyFill="1" applyBorder="1" applyAlignment="1" applyProtection="1">
      <alignment vertical="center"/>
      <protection locked="0"/>
    </xf>
    <xf numFmtId="10" fontId="24" fillId="3" borderId="15" xfId="1" applyNumberFormat="1" applyFont="1" applyFill="1" applyBorder="1" applyAlignment="1" applyProtection="1">
      <alignment horizontal="center" vertical="center"/>
    </xf>
    <xf numFmtId="5" fontId="8" fillId="0" borderId="0" xfId="0" applyNumberFormat="1" applyFont="1" applyAlignment="1" applyProtection="1">
      <alignment horizontal="right" indent="7"/>
      <protection locked="0"/>
    </xf>
    <xf numFmtId="10" fontId="8" fillId="0" borderId="0" xfId="1" applyNumberFormat="1" applyFont="1" applyAlignment="1" applyProtection="1">
      <alignment horizontal="center"/>
    </xf>
    <xf numFmtId="5" fontId="8" fillId="0" borderId="0" xfId="0" applyNumberFormat="1" applyFont="1" applyBorder="1" applyAlignment="1" applyProtection="1">
      <alignment horizontal="right"/>
      <protection locked="0"/>
    </xf>
    <xf numFmtId="5" fontId="8" fillId="0" borderId="0" xfId="0" applyNumberFormat="1" applyFont="1" applyAlignment="1" applyProtection="1">
      <alignment horizontal="center"/>
      <protection locked="0"/>
    </xf>
    <xf numFmtId="7" fontId="11" fillId="0" borderId="0" xfId="0" applyNumberFormat="1" applyFont="1" applyAlignment="1" applyProtection="1">
      <alignment horizontal="center"/>
      <protection locked="0"/>
    </xf>
    <xf numFmtId="7" fontId="11" fillId="0" borderId="0" xfId="0" applyNumberFormat="1" applyFont="1" applyAlignment="1" applyProtection="1">
      <alignment horizontal="right"/>
      <protection locked="0"/>
    </xf>
    <xf numFmtId="7" fontId="11" fillId="0" borderId="0" xfId="0" applyNumberFormat="1" applyFont="1" applyBorder="1" applyAlignment="1" applyProtection="1">
      <alignment horizontal="center"/>
      <protection locked="0"/>
    </xf>
    <xf numFmtId="7" fontId="11" fillId="0" borderId="0" xfId="0" applyNumberFormat="1" applyFont="1" applyBorder="1" applyAlignment="1" applyProtection="1">
      <alignment horizontal="right"/>
      <protection locked="0"/>
    </xf>
    <xf numFmtId="10" fontId="25" fillId="0" borderId="0" xfId="0" applyNumberFormat="1" applyFont="1" applyAlignment="1" applyProtection="1">
      <alignment horizontal="left"/>
    </xf>
    <xf numFmtId="7" fontId="11" fillId="0" borderId="0" xfId="0" applyNumberFormat="1" applyFont="1" applyFill="1" applyBorder="1" applyAlignment="1" applyProtection="1">
      <alignment horizontal="center"/>
      <protection locked="0"/>
    </xf>
    <xf numFmtId="37" fontId="13" fillId="4" borderId="16" xfId="0" applyNumberFormat="1" applyFont="1" applyFill="1" applyBorder="1" applyProtection="1">
      <protection locked="0"/>
    </xf>
    <xf numFmtId="5" fontId="13" fillId="4" borderId="17" xfId="0" applyNumberFormat="1" applyFont="1" applyFill="1" applyBorder="1" applyProtection="1">
      <protection locked="0"/>
    </xf>
    <xf numFmtId="5" fontId="8" fillId="0" borderId="18" xfId="0" applyNumberFormat="1" applyFont="1" applyBorder="1" applyAlignment="1" applyProtection="1">
      <alignment horizontal="right"/>
      <protection locked="0"/>
    </xf>
    <xf numFmtId="7" fontId="26" fillId="0" borderId="0" xfId="0" applyNumberFormat="1" applyFont="1" applyProtection="1">
      <protection locked="0"/>
    </xf>
    <xf numFmtId="7" fontId="27" fillId="0" borderId="0" xfId="0" applyNumberFormat="1" applyFont="1" applyAlignment="1" applyProtection="1">
      <alignment horizontal="left"/>
    </xf>
    <xf numFmtId="164" fontId="28" fillId="4" borderId="5" xfId="0" applyNumberFormat="1" applyFont="1" applyFill="1" applyBorder="1" applyAlignment="1" applyProtection="1">
      <alignment horizontal="left"/>
      <protection locked="0"/>
    </xf>
    <xf numFmtId="5" fontId="13" fillId="4" borderId="8" xfId="0" applyNumberFormat="1" applyFont="1" applyFill="1" applyBorder="1" applyProtection="1">
      <protection locked="0"/>
    </xf>
    <xf numFmtId="7" fontId="25" fillId="0" borderId="0" xfId="0" applyNumberFormat="1" applyFont="1" applyProtection="1">
      <protection locked="0"/>
    </xf>
    <xf numFmtId="10" fontId="29" fillId="5" borderId="0" xfId="0" applyNumberFormat="1" applyFont="1" applyFill="1" applyProtection="1"/>
    <xf numFmtId="7" fontId="30" fillId="5" borderId="0" xfId="0" applyNumberFormat="1" applyFont="1" applyFill="1" applyProtection="1"/>
    <xf numFmtId="7" fontId="29" fillId="5" borderId="0" xfId="0" applyNumberFormat="1" applyFont="1" applyFill="1" applyProtection="1"/>
    <xf numFmtId="10" fontId="29" fillId="5" borderId="0" xfId="0" applyNumberFormat="1" applyFont="1" applyFill="1" applyAlignment="1" applyProtection="1">
      <alignment horizontal="left"/>
    </xf>
    <xf numFmtId="7" fontId="31" fillId="0" borderId="0" xfId="0" applyFont="1"/>
    <xf numFmtId="7" fontId="31" fillId="0" borderId="0" xfId="0" applyFont="1" applyAlignment="1">
      <alignment horizontal="center"/>
    </xf>
    <xf numFmtId="7" fontId="28" fillId="4" borderId="11" xfId="0" applyNumberFormat="1" applyFont="1" applyFill="1" applyBorder="1" applyAlignment="1" applyProtection="1">
      <alignment horizontal="left"/>
      <protection locked="0"/>
    </xf>
    <xf numFmtId="10" fontId="13" fillId="4" borderId="13" xfId="0" applyNumberFormat="1" applyFont="1" applyFill="1" applyBorder="1" applyProtection="1">
      <protection locked="0"/>
    </xf>
    <xf numFmtId="5" fontId="29" fillId="5" borderId="0" xfId="0" applyNumberFormat="1" applyFont="1" applyFill="1" applyAlignment="1" applyProtection="1">
      <alignment horizontal="right"/>
      <protection locked="0"/>
    </xf>
    <xf numFmtId="10" fontId="27" fillId="0" borderId="0" xfId="0" applyNumberFormat="1" applyFont="1" applyProtection="1"/>
    <xf numFmtId="7" fontId="27" fillId="0" borderId="0" xfId="0" quotePrefix="1" applyNumberFormat="1" applyFont="1" applyAlignment="1" applyProtection="1">
      <alignment horizontal="left"/>
    </xf>
    <xf numFmtId="7" fontId="27" fillId="0" borderId="0" xfId="0" applyNumberFormat="1" applyFont="1" applyProtection="1"/>
    <xf numFmtId="10" fontId="27" fillId="0" borderId="0" xfId="0" applyNumberFormat="1" applyFont="1" applyAlignment="1" applyProtection="1">
      <alignment horizontal="left"/>
    </xf>
    <xf numFmtId="5" fontId="8" fillId="0" borderId="0" xfId="0" applyNumberFormat="1" applyFont="1" applyAlignment="1" applyProtection="1">
      <alignment horizontal="left"/>
      <protection locked="0"/>
    </xf>
    <xf numFmtId="10" fontId="27" fillId="0" borderId="0" xfId="2" applyNumberFormat="1" applyFont="1" applyAlignment="1" applyProtection="1">
      <alignment horizontal="left"/>
    </xf>
    <xf numFmtId="7" fontId="22" fillId="0" borderId="0" xfId="0" applyNumberFormat="1" applyFont="1" applyProtection="1">
      <protection locked="0"/>
    </xf>
    <xf numFmtId="7" fontId="23" fillId="0" borderId="0" xfId="0" applyNumberFormat="1" applyFont="1" applyProtection="1"/>
    <xf numFmtId="7" fontId="22" fillId="0" borderId="0" xfId="0" applyNumberFormat="1" applyFont="1" applyAlignment="1" applyProtection="1">
      <alignment horizontal="left"/>
    </xf>
    <xf numFmtId="10" fontId="25" fillId="0" borderId="0" xfId="0" applyNumberFormat="1" applyFont="1" applyAlignment="1" applyProtection="1">
      <alignment horizontal="left"/>
      <protection locked="0"/>
    </xf>
    <xf numFmtId="7" fontId="32" fillId="0" borderId="0" xfId="0" applyNumberFormat="1" applyFont="1" applyProtection="1">
      <protection locked="0"/>
    </xf>
    <xf numFmtId="7" fontId="8" fillId="0" borderId="0" xfId="0" applyFont="1" applyAlignment="1">
      <alignment horizontal="right"/>
    </xf>
    <xf numFmtId="7" fontId="11" fillId="6" borderId="5" xfId="0" applyFont="1" applyFill="1" applyBorder="1" applyAlignment="1">
      <alignment horizontal="right"/>
    </xf>
    <xf numFmtId="7" fontId="11" fillId="6" borderId="0" xfId="0" applyFont="1" applyFill="1" applyBorder="1" applyAlignment="1">
      <alignment horizontal="right"/>
    </xf>
    <xf numFmtId="7" fontId="11" fillId="6" borderId="8" xfId="0" applyFont="1" applyFill="1" applyBorder="1" applyAlignment="1">
      <alignment horizontal="right"/>
    </xf>
    <xf numFmtId="7" fontId="8" fillId="6" borderId="5" xfId="0" applyFont="1" applyFill="1" applyBorder="1" applyAlignment="1">
      <alignment horizontal="right"/>
    </xf>
    <xf numFmtId="7" fontId="8" fillId="6" borderId="0" xfId="0" applyFont="1" applyFill="1" applyBorder="1" applyAlignment="1">
      <alignment horizontal="right"/>
    </xf>
    <xf numFmtId="7" fontId="8" fillId="6" borderId="8" xfId="0" applyFont="1" applyFill="1" applyBorder="1" applyAlignment="1">
      <alignment horizontal="right"/>
    </xf>
    <xf numFmtId="7" fontId="8" fillId="6" borderId="11" xfId="0" applyFont="1" applyFill="1" applyBorder="1" applyAlignment="1">
      <alignment horizontal="right"/>
    </xf>
    <xf numFmtId="7" fontId="8" fillId="6" borderId="12" xfId="0" applyFont="1" applyFill="1" applyBorder="1" applyAlignment="1">
      <alignment horizontal="right"/>
    </xf>
    <xf numFmtId="7" fontId="8" fillId="6" borderId="13" xfId="0" applyFont="1" applyFill="1" applyBorder="1" applyAlignment="1">
      <alignment horizontal="right"/>
    </xf>
    <xf numFmtId="5" fontId="8" fillId="0" borderId="0" xfId="0" applyNumberFormat="1" applyFont="1" applyAlignment="1" applyProtection="1">
      <alignment horizontal="right"/>
    </xf>
    <xf numFmtId="5" fontId="8" fillId="0" borderId="19" xfId="0" applyNumberFormat="1" applyFont="1" applyBorder="1" applyAlignment="1" applyProtection="1">
      <alignment horizontal="right"/>
    </xf>
    <xf numFmtId="5" fontId="31" fillId="0" borderId="0" xfId="0" applyNumberFormat="1" applyFont="1" applyAlignment="1" applyProtection="1">
      <alignment horizontal="right"/>
    </xf>
    <xf numFmtId="7" fontId="31" fillId="0" borderId="0" xfId="0" applyFont="1" applyAlignment="1">
      <alignment horizontal="right"/>
    </xf>
    <xf numFmtId="7" fontId="19" fillId="6" borderId="3" xfId="0" applyNumberFormat="1" applyFont="1" applyFill="1" applyBorder="1" applyAlignment="1" applyProtection="1">
      <alignment horizontal="centerContinuous"/>
    </xf>
    <xf numFmtId="7" fontId="11" fillId="6" borderId="4" xfId="0" applyNumberFormat="1" applyFont="1" applyFill="1" applyBorder="1" applyAlignment="1" applyProtection="1">
      <alignment horizontal="centerContinuous"/>
    </xf>
    <xf numFmtId="7" fontId="11" fillId="6" borderId="6" xfId="0" applyNumberFormat="1" applyFont="1" applyFill="1" applyBorder="1" applyAlignment="1" applyProtection="1">
      <alignment horizontal="centerContinuous"/>
    </xf>
    <xf numFmtId="5" fontId="8" fillId="0" borderId="0" xfId="0" applyNumberFormat="1" applyFont="1" applyAlignment="1" applyProtection="1">
      <alignment horizontal="right" indent="5"/>
      <protection locked="0"/>
    </xf>
    <xf numFmtId="5" fontId="8" fillId="0" borderId="18" xfId="0" applyNumberFormat="1" applyFont="1" applyBorder="1" applyAlignment="1" applyProtection="1">
      <alignment horizontal="right" indent="5"/>
      <protection locked="0"/>
    </xf>
    <xf numFmtId="7" fontId="13" fillId="0" borderId="0" xfId="0" applyNumberFormat="1" applyFont="1" applyBorder="1" applyAlignment="1" applyProtection="1">
      <alignment horizontal="centerContinuous"/>
    </xf>
    <xf numFmtId="7" fontId="11" fillId="0" borderId="0" xfId="0" applyNumberFormat="1" applyFont="1" applyProtection="1">
      <protection locked="0"/>
    </xf>
    <xf numFmtId="7" fontId="33" fillId="5" borderId="0" xfId="0" applyNumberFormat="1" applyFont="1" applyFill="1" applyAlignment="1" applyProtection="1">
      <alignment horizontal="left"/>
    </xf>
    <xf numFmtId="7" fontId="33" fillId="5" borderId="0" xfId="0" applyNumberFormat="1" applyFont="1" applyFill="1" applyProtection="1"/>
    <xf numFmtId="10" fontId="33" fillId="5" borderId="0" xfId="0" applyNumberFormat="1" applyFont="1" applyFill="1" applyAlignment="1" applyProtection="1">
      <alignment horizontal="left"/>
    </xf>
    <xf numFmtId="10" fontId="33" fillId="5" borderId="0" xfId="0" applyNumberFormat="1" applyFont="1" applyFill="1" applyProtection="1"/>
    <xf numFmtId="7" fontId="34" fillId="5" borderId="0" xfId="0" applyNumberFormat="1" applyFont="1" applyFill="1" applyProtection="1"/>
    <xf numFmtId="10" fontId="34" fillId="5" borderId="0" xfId="0" applyNumberFormat="1" applyFont="1" applyFill="1" applyProtection="1"/>
    <xf numFmtId="5" fontId="33" fillId="5" borderId="0" xfId="0" applyNumberFormat="1" applyFont="1" applyFill="1" applyAlignment="1" applyProtection="1">
      <alignment horizontal="right"/>
      <protection locked="0"/>
    </xf>
    <xf numFmtId="166" fontId="12" fillId="0" borderId="0" xfId="0" applyNumberFormat="1" applyFont="1" applyAlignment="1" applyProtection="1">
      <alignment horizontal="centerContinuous"/>
      <protection locked="0"/>
    </xf>
    <xf numFmtId="168" fontId="20" fillId="0" borderId="0" xfId="0" applyNumberFormat="1" applyFont="1" applyAlignment="1" applyProtection="1">
      <alignment horizontal="center"/>
      <protection locked="0"/>
    </xf>
    <xf numFmtId="170" fontId="12" fillId="0" borderId="0" xfId="0" applyNumberFormat="1" applyFont="1" applyAlignment="1" applyProtection="1">
      <alignment horizontal="centerContinuous"/>
      <protection locked="0"/>
    </xf>
    <xf numFmtId="7" fontId="14" fillId="0" borderId="0" xfId="0" applyNumberFormat="1" applyFont="1" applyBorder="1" applyAlignment="1" applyProtection="1">
      <alignment horizontal="centerContinuous"/>
      <protection locked="0"/>
    </xf>
    <xf numFmtId="7" fontId="13" fillId="0" borderId="0" xfId="0" applyNumberFormat="1" applyFont="1" applyFill="1" applyBorder="1" applyAlignment="1" applyProtection="1">
      <alignment horizontal="center"/>
      <protection locked="0"/>
    </xf>
    <xf numFmtId="9" fontId="13" fillId="0" borderId="0" xfId="2" applyFont="1" applyFill="1" applyBorder="1" applyAlignment="1" applyProtection="1">
      <alignment horizontal="center"/>
      <protection locked="0"/>
    </xf>
    <xf numFmtId="7" fontId="8" fillId="0" borderId="0" xfId="0" applyNumberFormat="1" applyFont="1" applyFill="1" applyBorder="1" applyProtection="1">
      <protection locked="0"/>
    </xf>
    <xf numFmtId="7" fontId="8" fillId="0" borderId="0" xfId="0" applyNumberFormat="1" applyFont="1" applyFill="1" applyBorder="1" applyAlignment="1" applyProtection="1">
      <alignment horizontal="center"/>
      <protection locked="0"/>
    </xf>
    <xf numFmtId="7" fontId="8" fillId="0" borderId="0" xfId="0" applyNumberFormat="1" applyFont="1" applyFill="1" applyBorder="1" applyAlignment="1" applyProtection="1">
      <alignment horizontal="left"/>
      <protection locked="0"/>
    </xf>
    <xf numFmtId="7" fontId="8" fillId="0" borderId="0" xfId="0" applyFont="1" applyFill="1" applyBorder="1"/>
    <xf numFmtId="7" fontId="23" fillId="0" borderId="9" xfId="0" applyNumberFormat="1" applyFont="1" applyBorder="1" applyAlignment="1" applyProtection="1">
      <alignment horizontal="center"/>
      <protection locked="0"/>
    </xf>
    <xf numFmtId="7" fontId="8" fillId="7" borderId="21" xfId="0" applyNumberFormat="1" applyFont="1" applyFill="1" applyBorder="1" applyAlignment="1" applyProtection="1">
      <alignment horizontal="center"/>
      <protection locked="0"/>
    </xf>
    <xf numFmtId="7" fontId="8" fillId="7" borderId="22" xfId="0" applyNumberFormat="1" applyFont="1" applyFill="1" applyBorder="1" applyAlignment="1" applyProtection="1">
      <alignment horizontal="center"/>
      <protection locked="0"/>
    </xf>
    <xf numFmtId="7" fontId="8" fillId="6" borderId="0" xfId="0" applyFont="1" applyFill="1" applyBorder="1" applyAlignment="1">
      <alignment horizontal="center"/>
    </xf>
    <xf numFmtId="7" fontId="8" fillId="6" borderId="12" xfId="0" applyFont="1" applyFill="1" applyBorder="1" applyAlignment="1">
      <alignment horizontal="center"/>
    </xf>
    <xf numFmtId="7" fontId="8" fillId="8" borderId="0" xfId="0" applyNumberFormat="1" applyFont="1" applyFill="1" applyAlignment="1" applyProtection="1">
      <alignment horizontal="center"/>
      <protection locked="0"/>
    </xf>
    <xf numFmtId="7" fontId="11" fillId="6" borderId="0" xfId="0" applyNumberFormat="1" applyFont="1" applyFill="1" applyBorder="1" applyAlignment="1" applyProtection="1">
      <alignment horizontal="centerContinuous"/>
    </xf>
    <xf numFmtId="7" fontId="8" fillId="0" borderId="0" xfId="0" applyFont="1" applyBorder="1" applyAlignment="1">
      <alignment horizontal="center"/>
    </xf>
    <xf numFmtId="7" fontId="8" fillId="0" borderId="23" xfId="0" applyFont="1" applyBorder="1" applyAlignment="1">
      <alignment horizontal="center"/>
    </xf>
    <xf numFmtId="5" fontId="8" fillId="0" borderId="0" xfId="0" applyNumberFormat="1" applyFont="1"/>
    <xf numFmtId="5" fontId="8" fillId="0" borderId="0" xfId="0" applyNumberFormat="1" applyFont="1" applyBorder="1" applyAlignment="1" applyProtection="1">
      <alignment horizontal="right"/>
    </xf>
    <xf numFmtId="7" fontId="8" fillId="0" borderId="0" xfId="0" applyFont="1" applyBorder="1" applyAlignment="1">
      <alignment horizontal="centerContinuous"/>
    </xf>
    <xf numFmtId="7" fontId="8" fillId="6" borderId="0" xfId="0" applyFont="1" applyFill="1" applyBorder="1" applyAlignment="1">
      <alignment horizontal="centerContinuous"/>
    </xf>
    <xf numFmtId="5" fontId="17" fillId="0" borderId="24" xfId="0" applyNumberFormat="1" applyFont="1" applyBorder="1" applyAlignment="1" applyProtection="1">
      <alignment horizontal="centerContinuous"/>
      <protection locked="0"/>
    </xf>
    <xf numFmtId="7" fontId="8" fillId="0" borderId="25" xfId="0" applyNumberFormat="1" applyFont="1" applyBorder="1" applyAlignment="1" applyProtection="1">
      <alignment horizontal="centerContinuous"/>
      <protection locked="0"/>
    </xf>
    <xf numFmtId="7" fontId="8" fillId="0" borderId="26" xfId="0" applyFont="1" applyBorder="1" applyAlignment="1">
      <alignment horizontal="centerContinuous"/>
    </xf>
    <xf numFmtId="7" fontId="13" fillId="0" borderId="27" xfId="0" applyNumberFormat="1" applyFont="1" applyBorder="1" applyAlignment="1" applyProtection="1">
      <alignment horizontal="centerContinuous"/>
      <protection locked="0"/>
    </xf>
    <xf numFmtId="7" fontId="8" fillId="0" borderId="0" xfId="0" applyNumberFormat="1" applyFont="1" applyBorder="1" applyAlignment="1" applyProtection="1">
      <alignment horizontal="centerContinuous"/>
      <protection locked="0"/>
    </xf>
    <xf numFmtId="7" fontId="8" fillId="0" borderId="28" xfId="0" applyFont="1" applyBorder="1" applyAlignment="1">
      <alignment horizontal="centerContinuous"/>
    </xf>
    <xf numFmtId="166" fontId="12" fillId="0" borderId="27" xfId="0" applyNumberFormat="1" applyFont="1" applyBorder="1" applyAlignment="1" applyProtection="1">
      <alignment horizontal="centerContinuous"/>
      <protection locked="0"/>
    </xf>
    <xf numFmtId="167" fontId="12" fillId="0" borderId="27" xfId="0" applyNumberFormat="1" applyFont="1" applyBorder="1" applyAlignment="1" applyProtection="1">
      <alignment horizontal="centerContinuous"/>
      <protection locked="0"/>
    </xf>
    <xf numFmtId="7" fontId="8" fillId="0" borderId="29" xfId="0" applyNumberFormat="1" applyFont="1" applyBorder="1" applyAlignment="1" applyProtection="1">
      <alignment horizontal="center"/>
      <protection locked="0"/>
    </xf>
    <xf numFmtId="7" fontId="8" fillId="0" borderId="30" xfId="0" applyNumberFormat="1" applyFont="1" applyBorder="1" applyAlignment="1" applyProtection="1">
      <alignment horizontal="center"/>
      <protection locked="0"/>
    </xf>
    <xf numFmtId="7" fontId="22" fillId="0" borderId="27" xfId="0" quotePrefix="1" applyNumberFormat="1" applyFont="1" applyBorder="1" applyAlignment="1" applyProtection="1">
      <alignment horizontal="center"/>
      <protection locked="0"/>
    </xf>
    <xf numFmtId="7" fontId="22" fillId="0" borderId="0" xfId="0" quotePrefix="1" applyNumberFormat="1" applyFont="1" applyBorder="1" applyAlignment="1" applyProtection="1">
      <alignment horizontal="center"/>
      <protection locked="0"/>
    </xf>
    <xf numFmtId="7" fontId="23" fillId="0" borderId="0" xfId="0" applyNumberFormat="1" applyFont="1" applyBorder="1" applyAlignment="1" applyProtection="1">
      <alignment horizontal="center"/>
      <protection locked="0"/>
    </xf>
    <xf numFmtId="7" fontId="8" fillId="0" borderId="28" xfId="0" applyFont="1" applyBorder="1"/>
    <xf numFmtId="7" fontId="22" fillId="0" borderId="27" xfId="0" applyNumberFormat="1" applyFont="1" applyBorder="1" applyProtection="1"/>
    <xf numFmtId="7" fontId="22" fillId="0" borderId="0" xfId="0" applyNumberFormat="1" applyFont="1" applyBorder="1" applyAlignment="1" applyProtection="1">
      <alignment horizontal="center"/>
      <protection locked="0"/>
    </xf>
    <xf numFmtId="10" fontId="23" fillId="0" borderId="0" xfId="0" applyNumberFormat="1" applyFont="1" applyBorder="1" applyAlignment="1" applyProtection="1">
      <alignment horizontal="center"/>
      <protection locked="0"/>
    </xf>
    <xf numFmtId="7" fontId="8" fillId="0" borderId="28" xfId="0" applyNumberFormat="1" applyFont="1" applyBorder="1" applyProtection="1">
      <protection locked="0"/>
    </xf>
    <xf numFmtId="7" fontId="23" fillId="0" borderId="27" xfId="0" applyNumberFormat="1" applyFont="1" applyBorder="1" applyProtection="1">
      <protection locked="0"/>
    </xf>
    <xf numFmtId="10" fontId="22" fillId="0" borderId="0" xfId="0" applyNumberFormat="1" applyFont="1" applyBorder="1" applyAlignment="1" applyProtection="1">
      <alignment horizontal="center"/>
      <protection locked="0"/>
    </xf>
    <xf numFmtId="5" fontId="8" fillId="0" borderId="27" xfId="0" applyNumberFormat="1" applyFont="1" applyBorder="1" applyAlignment="1" applyProtection="1">
      <alignment horizontal="right"/>
      <protection locked="0"/>
    </xf>
    <xf numFmtId="5" fontId="8" fillId="0" borderId="28" xfId="0" applyNumberFormat="1" applyFont="1" applyBorder="1" applyAlignment="1" applyProtection="1">
      <alignment horizontal="right"/>
      <protection locked="0"/>
    </xf>
    <xf numFmtId="7" fontId="11" fillId="0" borderId="27" xfId="0" applyNumberFormat="1" applyFont="1" applyBorder="1" applyAlignment="1" applyProtection="1">
      <alignment horizontal="right"/>
      <protection locked="0"/>
    </xf>
    <xf numFmtId="7" fontId="8" fillId="0" borderId="0" xfId="0" applyFont="1" applyBorder="1"/>
    <xf numFmtId="7" fontId="11" fillId="0" borderId="28" xfId="0" applyNumberFormat="1" applyFont="1" applyBorder="1" applyAlignment="1" applyProtection="1">
      <alignment horizontal="right"/>
      <protection locked="0"/>
    </xf>
    <xf numFmtId="5" fontId="8" fillId="0" borderId="31" xfId="0" applyNumberFormat="1" applyFont="1" applyBorder="1" applyAlignment="1" applyProtection="1">
      <alignment horizontal="right"/>
      <protection locked="0"/>
    </xf>
    <xf numFmtId="5" fontId="8" fillId="0" borderId="32" xfId="0" applyNumberFormat="1" applyFont="1" applyBorder="1" applyAlignment="1" applyProtection="1">
      <alignment horizontal="right"/>
      <protection locked="0"/>
    </xf>
    <xf numFmtId="7" fontId="26" fillId="0" borderId="33" xfId="0" applyNumberFormat="1" applyFont="1" applyBorder="1" applyProtection="1">
      <protection locked="0"/>
    </xf>
    <xf numFmtId="7" fontId="26" fillId="0" borderId="23" xfId="0" applyNumberFormat="1" applyFont="1" applyBorder="1" applyProtection="1">
      <protection locked="0"/>
    </xf>
    <xf numFmtId="7" fontId="8" fillId="0" borderId="23" xfId="0" applyFont="1" applyBorder="1"/>
    <xf numFmtId="7" fontId="26" fillId="0" borderId="34" xfId="0" applyNumberFormat="1" applyFont="1" applyBorder="1" applyProtection="1">
      <protection locked="0"/>
    </xf>
    <xf numFmtId="7" fontId="8" fillId="0" borderId="0" xfId="0" applyNumberFormat="1" applyFont="1" applyBorder="1" applyAlignment="1" applyProtection="1">
      <alignment horizontal="center"/>
      <protection locked="0"/>
    </xf>
    <xf numFmtId="7" fontId="8" fillId="0" borderId="0" xfId="0" applyNumberFormat="1" applyFont="1" applyBorder="1" applyProtection="1">
      <protection locked="0"/>
    </xf>
    <xf numFmtId="7" fontId="26" fillId="0" borderId="0" xfId="0" applyNumberFormat="1" applyFont="1" applyBorder="1" applyProtection="1">
      <protection locked="0"/>
    </xf>
    <xf numFmtId="7" fontId="15" fillId="0" borderId="0" xfId="0" applyFont="1" applyBorder="1"/>
    <xf numFmtId="0" fontId="41" fillId="0" borderId="0" xfId="24" applyFont="1" applyAlignment="1">
      <alignment horizontal="centerContinuous"/>
    </xf>
    <xf numFmtId="0" fontId="42" fillId="0" borderId="0" xfId="24" applyFont="1" applyAlignment="1">
      <alignment horizontal="centerContinuous"/>
    </xf>
    <xf numFmtId="0" fontId="5" fillId="0" borderId="0" xfId="24"/>
    <xf numFmtId="0" fontId="5" fillId="0" borderId="0" xfId="24" applyAlignment="1">
      <alignment horizontal="centerContinuous"/>
    </xf>
    <xf numFmtId="0" fontId="40" fillId="0" borderId="1" xfId="24" applyFont="1" applyBorder="1" applyAlignment="1">
      <alignment horizontal="centerContinuous"/>
    </xf>
    <xf numFmtId="0" fontId="40" fillId="0" borderId="2" xfId="24" applyFont="1" applyBorder="1" applyAlignment="1">
      <alignment horizontal="centerContinuous"/>
    </xf>
    <xf numFmtId="0" fontId="5" fillId="0" borderId="2" xfId="24" applyBorder="1" applyAlignment="1">
      <alignment horizontal="centerContinuous"/>
    </xf>
    <xf numFmtId="0" fontId="5" fillId="0" borderId="20" xfId="24" applyBorder="1" applyAlignment="1">
      <alignment horizontal="centerContinuous"/>
    </xf>
    <xf numFmtId="0" fontId="40" fillId="0" borderId="0" xfId="24" applyFont="1"/>
    <xf numFmtId="0" fontId="40" fillId="0" borderId="0" xfId="24" applyFont="1" applyAlignment="1">
      <alignment horizontal="center"/>
    </xf>
    <xf numFmtId="169" fontId="5" fillId="0" borderId="0" xfId="24" applyNumberFormat="1"/>
    <xf numFmtId="172" fontId="5" fillId="0" borderId="0" xfId="24" applyNumberFormat="1"/>
    <xf numFmtId="169" fontId="5" fillId="0" borderId="0" xfId="24" applyNumberFormat="1" applyFill="1"/>
    <xf numFmtId="169" fontId="5" fillId="9" borderId="0" xfId="24" applyNumberFormat="1" applyFill="1"/>
    <xf numFmtId="172" fontId="5" fillId="9" borderId="0" xfId="24" applyNumberFormat="1" applyFill="1"/>
    <xf numFmtId="0" fontId="5" fillId="0" borderId="0" xfId="24" applyFill="1"/>
    <xf numFmtId="172" fontId="5" fillId="0" borderId="0" xfId="24" applyNumberFormat="1" applyFill="1"/>
    <xf numFmtId="169" fontId="5" fillId="10" borderId="0" xfId="24" applyNumberFormat="1" applyFill="1"/>
    <xf numFmtId="169" fontId="43" fillId="11" borderId="0" xfId="24" applyNumberFormat="1" applyFont="1" applyFill="1"/>
    <xf numFmtId="5" fontId="8" fillId="9" borderId="27" xfId="0" applyNumberFormat="1" applyFont="1" applyFill="1" applyBorder="1" applyAlignment="1" applyProtection="1">
      <alignment horizontal="right"/>
      <protection locked="0"/>
    </xf>
    <xf numFmtId="5" fontId="8" fillId="10" borderId="0" xfId="0" applyNumberFormat="1" applyFont="1" applyFill="1" applyAlignment="1" applyProtection="1">
      <alignment horizontal="right"/>
      <protection locked="0"/>
    </xf>
    <xf numFmtId="169" fontId="4" fillId="10" borderId="0" xfId="24" applyNumberFormat="1" applyFont="1" applyFill="1"/>
    <xf numFmtId="7" fontId="25" fillId="0" borderId="0" xfId="0" applyFont="1"/>
    <xf numFmtId="7" fontId="28" fillId="4" borderId="0" xfId="0" applyNumberFormat="1" applyFont="1" applyFill="1" applyBorder="1" applyAlignment="1" applyProtection="1">
      <alignment horizontal="left"/>
      <protection locked="0"/>
    </xf>
    <xf numFmtId="10" fontId="13" fillId="4" borderId="0" xfId="0" applyNumberFormat="1" applyFont="1" applyFill="1" applyBorder="1" applyProtection="1">
      <protection locked="0"/>
    </xf>
    <xf numFmtId="0" fontId="45" fillId="0" borderId="24" xfId="25" applyFont="1" applyBorder="1"/>
    <xf numFmtId="0" fontId="45" fillId="0" borderId="25" xfId="25" applyFont="1" applyBorder="1"/>
    <xf numFmtId="0" fontId="45" fillId="0" borderId="0" xfId="25" applyFont="1"/>
    <xf numFmtId="7" fontId="46" fillId="0" borderId="27" xfId="25" applyNumberFormat="1" applyFont="1" applyFill="1" applyBorder="1" applyAlignment="1" applyProtection="1">
      <alignment horizontal="centerContinuous"/>
    </xf>
    <xf numFmtId="0" fontId="45" fillId="0" borderId="0" xfId="25" applyFont="1" applyBorder="1" applyAlignment="1">
      <alignment horizontal="centerContinuous"/>
    </xf>
    <xf numFmtId="7" fontId="47" fillId="0" borderId="27" xfId="25" applyNumberFormat="1" applyFont="1" applyFill="1" applyBorder="1" applyAlignment="1" applyProtection="1">
      <alignment horizontal="centerContinuous"/>
    </xf>
    <xf numFmtId="0" fontId="45" fillId="0" borderId="27" xfId="25" applyFont="1" applyBorder="1"/>
    <xf numFmtId="0" fontId="45" fillId="0" borderId="0" xfId="25" applyFont="1" applyBorder="1"/>
    <xf numFmtId="0" fontId="45" fillId="11" borderId="0" xfId="25" applyFont="1" applyFill="1"/>
    <xf numFmtId="0" fontId="48" fillId="0" borderId="21" xfId="25" applyFont="1" applyFill="1" applyBorder="1" applyAlignment="1">
      <alignment horizontal="centerContinuous"/>
    </xf>
    <xf numFmtId="0" fontId="45" fillId="0" borderId="21" xfId="25" applyFont="1" applyFill="1" applyBorder="1" applyAlignment="1">
      <alignment horizontal="centerContinuous"/>
    </xf>
    <xf numFmtId="0" fontId="50" fillId="14" borderId="0" xfId="25" applyFont="1" applyFill="1" applyBorder="1" applyAlignment="1">
      <alignment horizontal="center" vertical="center" wrapText="1"/>
    </xf>
    <xf numFmtId="0" fontId="50" fillId="11" borderId="0" xfId="25" applyFont="1" applyFill="1" applyBorder="1" applyAlignment="1">
      <alignment horizontal="center" vertical="center" wrapText="1"/>
    </xf>
    <xf numFmtId="169" fontId="51" fillId="12" borderId="0" xfId="25" applyNumberFormat="1" applyFont="1" applyFill="1" applyBorder="1" applyAlignment="1">
      <alignment horizontal="center" vertical="center" wrapText="1"/>
    </xf>
    <xf numFmtId="169" fontId="49" fillId="12" borderId="0" xfId="25" applyNumberFormat="1" applyFont="1" applyFill="1" applyBorder="1" applyAlignment="1">
      <alignment horizontal="center" vertical="center"/>
    </xf>
    <xf numFmtId="169" fontId="51" fillId="13" borderId="0" xfId="25" applyNumberFormat="1" applyFont="1" applyFill="1" applyBorder="1" applyAlignment="1">
      <alignment horizontal="center" vertical="center" wrapText="1"/>
    </xf>
    <xf numFmtId="169" fontId="52" fillId="12" borderId="0" xfId="25" applyNumberFormat="1" applyFont="1" applyFill="1" applyBorder="1" applyAlignment="1">
      <alignment horizontal="center" vertical="center" wrapText="1"/>
    </xf>
    <xf numFmtId="7" fontId="46" fillId="0" borderId="0" xfId="25" applyNumberFormat="1" applyFont="1" applyFill="1" applyBorder="1" applyAlignment="1" applyProtection="1">
      <alignment horizontal="centerContinuous"/>
    </xf>
    <xf numFmtId="7" fontId="47" fillId="0" borderId="0" xfId="25" applyNumberFormat="1" applyFont="1" applyFill="1" applyBorder="1" applyAlignment="1" applyProtection="1">
      <alignment horizontal="centerContinuous"/>
    </xf>
    <xf numFmtId="0" fontId="45" fillId="0" borderId="25" xfId="25" applyFont="1" applyFill="1" applyBorder="1"/>
    <xf numFmtId="0" fontId="45" fillId="0" borderId="0" xfId="25" applyFont="1" applyFill="1" applyBorder="1"/>
    <xf numFmtId="0" fontId="50" fillId="0" borderId="0" xfId="25" applyFont="1" applyFill="1" applyBorder="1" applyAlignment="1">
      <alignment horizontal="center" vertical="center" wrapText="1"/>
    </xf>
    <xf numFmtId="169" fontId="51" fillId="0" borderId="0" xfId="25" applyNumberFormat="1" applyFont="1" applyFill="1" applyBorder="1" applyAlignment="1">
      <alignment horizontal="center" vertical="center" wrapText="1"/>
    </xf>
    <xf numFmtId="169" fontId="52" fillId="0" borderId="0" xfId="25" applyNumberFormat="1" applyFont="1" applyFill="1" applyBorder="1" applyAlignment="1">
      <alignment horizontal="center" vertical="center" wrapText="1"/>
    </xf>
    <xf numFmtId="0" fontId="45" fillId="0" borderId="0" xfId="25" applyFont="1" applyFill="1"/>
    <xf numFmtId="7" fontId="12" fillId="0" borderId="0" xfId="0" applyFont="1"/>
    <xf numFmtId="7" fontId="8" fillId="0" borderId="0" xfId="0" applyNumberFormat="1" applyFont="1" applyFill="1" applyAlignment="1" applyProtection="1">
      <alignment horizontal="center"/>
    </xf>
    <xf numFmtId="7" fontId="8" fillId="0" borderId="0" xfId="0" applyNumberFormat="1" applyFont="1" applyFill="1" applyAlignment="1" applyProtection="1">
      <alignment horizontal="center"/>
      <protection locked="0"/>
    </xf>
    <xf numFmtId="5" fontId="8" fillId="15" borderId="0" xfId="0" applyNumberFormat="1" applyFont="1" applyFill="1" applyAlignment="1" applyProtection="1">
      <alignment horizontal="right"/>
      <protection locked="0"/>
    </xf>
    <xf numFmtId="7" fontId="8" fillId="0" borderId="21" xfId="0" applyNumberFormat="1" applyFont="1" applyBorder="1" applyAlignment="1" applyProtection="1">
      <alignment horizontal="center"/>
      <protection locked="0"/>
    </xf>
    <xf numFmtId="7" fontId="8" fillId="0" borderId="22" xfId="0" applyNumberFormat="1" applyFont="1" applyBorder="1" applyAlignment="1" applyProtection="1">
      <alignment horizontal="center"/>
      <protection locked="0"/>
    </xf>
    <xf numFmtId="39" fontId="8" fillId="0" borderId="0" xfId="0" applyNumberFormat="1" applyFont="1" applyAlignment="1">
      <alignment horizontal="center"/>
    </xf>
    <xf numFmtId="169" fontId="50" fillId="11" borderId="0" xfId="25" applyNumberFormat="1" applyFont="1" applyFill="1" applyBorder="1" applyAlignment="1">
      <alignment horizontal="center" vertical="center" wrapText="1"/>
    </xf>
    <xf numFmtId="169" fontId="49" fillId="13" borderId="0" xfId="25" applyNumberFormat="1" applyFont="1" applyFill="1" applyBorder="1" applyAlignment="1">
      <alignment horizontal="center" vertical="center"/>
    </xf>
    <xf numFmtId="7" fontId="15" fillId="0" borderId="0" xfId="48" applyFont="1" applyProtection="1"/>
    <xf numFmtId="0" fontId="53" fillId="0" borderId="3" xfId="48" applyNumberFormat="1" applyFont="1" applyFill="1" applyBorder="1" applyAlignment="1" applyProtection="1">
      <alignment horizontal="centerContinuous"/>
    </xf>
    <xf numFmtId="0" fontId="54" fillId="0" borderId="4" xfId="48" applyNumberFormat="1" applyFont="1" applyFill="1" applyBorder="1" applyAlignment="1" applyProtection="1">
      <alignment horizontal="centerContinuous"/>
    </xf>
    <xf numFmtId="0" fontId="54" fillId="0" borderId="6" xfId="48" applyNumberFormat="1" applyFont="1" applyFill="1" applyBorder="1" applyAlignment="1" applyProtection="1">
      <alignment horizontal="centerContinuous"/>
    </xf>
    <xf numFmtId="15" fontId="54" fillId="0" borderId="5" xfId="48" quotePrefix="1" applyNumberFormat="1" applyFont="1" applyFill="1" applyBorder="1" applyAlignment="1" applyProtection="1">
      <alignment horizontal="centerContinuous"/>
    </xf>
    <xf numFmtId="7" fontId="54" fillId="0" borderId="0" xfId="48" applyFont="1" applyFill="1" applyBorder="1" applyAlignment="1" applyProtection="1">
      <alignment horizontal="centerContinuous"/>
    </xf>
    <xf numFmtId="7" fontId="54" fillId="0" borderId="8" xfId="48" applyFont="1" applyFill="1" applyBorder="1" applyAlignment="1" applyProtection="1">
      <alignment horizontal="centerContinuous"/>
    </xf>
    <xf numFmtId="5" fontId="54" fillId="0" borderId="5" xfId="48" applyNumberFormat="1" applyFont="1" applyFill="1" applyBorder="1" applyAlignment="1" applyProtection="1">
      <alignment horizontal="centerContinuous"/>
    </xf>
    <xf numFmtId="7" fontId="55" fillId="0" borderId="5" xfId="48" applyFont="1" applyBorder="1" applyProtection="1"/>
    <xf numFmtId="7" fontId="55" fillId="0" borderId="0" xfId="48" applyFont="1" applyBorder="1" applyProtection="1"/>
    <xf numFmtId="7" fontId="55" fillId="0" borderId="8" xfId="48" applyFont="1" applyBorder="1" applyProtection="1"/>
    <xf numFmtId="7" fontId="56" fillId="0" borderId="8" xfId="48" applyFont="1" applyBorder="1" applyAlignment="1" applyProtection="1">
      <alignment horizontal="center"/>
    </xf>
    <xf numFmtId="7" fontId="56" fillId="0" borderId="5" xfId="48" applyFont="1" applyBorder="1" applyAlignment="1" applyProtection="1">
      <alignment horizontal="left"/>
    </xf>
    <xf numFmtId="7" fontId="57" fillId="0" borderId="0" xfId="48" applyFont="1" applyBorder="1" applyProtection="1"/>
    <xf numFmtId="7" fontId="59" fillId="0" borderId="5" xfId="48" applyFont="1" applyBorder="1" applyAlignment="1" applyProtection="1">
      <alignment wrapText="1"/>
    </xf>
    <xf numFmtId="7" fontId="61" fillId="0" borderId="5" xfId="48" applyFont="1" applyBorder="1" applyProtection="1"/>
    <xf numFmtId="7" fontId="59" fillId="11" borderId="5" xfId="48" applyFont="1" applyFill="1" applyBorder="1" applyAlignment="1" applyProtection="1">
      <alignment horizontal="left" wrapText="1"/>
    </xf>
    <xf numFmtId="7" fontId="55" fillId="11" borderId="0" xfId="48" applyFont="1" applyFill="1" applyBorder="1" applyProtection="1"/>
    <xf numFmtId="7" fontId="15" fillId="0" borderId="0" xfId="48" applyFont="1" applyFill="1" applyProtection="1"/>
    <xf numFmtId="7" fontId="15" fillId="17" borderId="0" xfId="48" applyFont="1" applyFill="1" applyProtection="1"/>
    <xf numFmtId="7" fontId="56" fillId="11" borderId="5" xfId="48" applyFont="1" applyFill="1" applyBorder="1" applyAlignment="1" applyProtection="1">
      <alignment horizontal="right"/>
    </xf>
    <xf numFmtId="7" fontId="63" fillId="11" borderId="0" xfId="48" applyFont="1" applyFill="1" applyBorder="1" applyProtection="1"/>
    <xf numFmtId="7" fontId="64" fillId="11" borderId="8" xfId="48" applyNumberFormat="1" applyFont="1" applyFill="1" applyBorder="1" applyAlignment="1" applyProtection="1">
      <alignment horizontal="center"/>
    </xf>
    <xf numFmtId="7" fontId="72" fillId="0" borderId="5" xfId="48" applyFont="1" applyBorder="1" applyAlignment="1" applyProtection="1">
      <alignment horizontal="left"/>
    </xf>
    <xf numFmtId="7" fontId="72" fillId="0" borderId="0" xfId="48" applyFont="1" applyBorder="1" applyAlignment="1" applyProtection="1">
      <alignment horizontal="left"/>
    </xf>
    <xf numFmtId="7" fontId="72" fillId="0" borderId="8" xfId="48" applyFont="1" applyBorder="1" applyAlignment="1" applyProtection="1">
      <alignment horizontal="left"/>
    </xf>
    <xf numFmtId="7" fontId="55" fillId="0" borderId="11" xfId="48" applyFont="1" applyBorder="1" applyProtection="1"/>
    <xf numFmtId="7" fontId="55" fillId="0" borderId="12" xfId="48" applyFont="1" applyBorder="1" applyProtection="1"/>
    <xf numFmtId="7" fontId="55" fillId="0" borderId="13" xfId="48" applyFont="1" applyBorder="1" applyProtection="1"/>
    <xf numFmtId="0" fontId="5" fillId="0" borderId="23" xfId="24" applyBorder="1"/>
    <xf numFmtId="169" fontId="5" fillId="0" borderId="23" xfId="24" applyNumberFormat="1" applyBorder="1"/>
    <xf numFmtId="172" fontId="5" fillId="0" borderId="23" xfId="24" applyNumberFormat="1" applyFill="1" applyBorder="1"/>
    <xf numFmtId="172" fontId="5" fillId="0" borderId="23" xfId="24" applyNumberFormat="1" applyBorder="1"/>
    <xf numFmtId="0" fontId="2" fillId="0" borderId="0" xfId="24" applyFont="1"/>
    <xf numFmtId="0" fontId="1" fillId="0" borderId="0" xfId="24" applyFont="1"/>
    <xf numFmtId="7" fontId="62" fillId="15" borderId="5" xfId="48" applyNumberFormat="1" applyFont="1" applyFill="1" applyBorder="1" applyAlignment="1" applyProtection="1">
      <alignment horizontal="left" wrapText="1"/>
    </xf>
    <xf numFmtId="7" fontId="63" fillId="15" borderId="0" xfId="48" applyFont="1" applyFill="1" applyBorder="1" applyAlignment="1" applyProtection="1">
      <alignment horizontal="centerContinuous"/>
    </xf>
    <xf numFmtId="7" fontId="65" fillId="15" borderId="5" xfId="48" applyNumberFormat="1" applyFont="1" applyFill="1" applyBorder="1" applyAlignment="1" applyProtection="1">
      <alignment horizontal="left" wrapText="1"/>
    </xf>
    <xf numFmtId="7" fontId="65" fillId="15" borderId="0" xfId="48" applyNumberFormat="1" applyFont="1" applyFill="1" applyBorder="1" applyAlignment="1" applyProtection="1">
      <alignment horizontal="left" wrapText="1"/>
    </xf>
    <xf numFmtId="7" fontId="57" fillId="15" borderId="36" xfId="48" applyFont="1" applyFill="1" applyBorder="1" applyAlignment="1" applyProtection="1">
      <alignment horizontal="left"/>
    </xf>
    <xf numFmtId="7" fontId="63" fillId="15" borderId="2" xfId="48" applyFont="1" applyFill="1" applyBorder="1" applyProtection="1"/>
    <xf numFmtId="7" fontId="62" fillId="18" borderId="5" xfId="48" applyNumberFormat="1" applyFont="1" applyFill="1" applyBorder="1" applyAlignment="1" applyProtection="1">
      <alignment horizontal="left" wrapText="1"/>
    </xf>
    <xf numFmtId="7" fontId="63" fillId="18" borderId="0" xfId="48" applyFont="1" applyFill="1" applyBorder="1" applyAlignment="1" applyProtection="1">
      <alignment horizontal="centerContinuous"/>
    </xf>
    <xf numFmtId="7" fontId="65" fillId="18" borderId="5" xfId="48" applyNumberFormat="1" applyFont="1" applyFill="1" applyBorder="1" applyAlignment="1" applyProtection="1">
      <alignment horizontal="left" wrapText="1"/>
    </xf>
    <xf numFmtId="7" fontId="65" fillId="18" borderId="0" xfId="48" applyNumberFormat="1" applyFont="1" applyFill="1" applyBorder="1" applyAlignment="1" applyProtection="1">
      <alignment horizontal="left" wrapText="1"/>
    </xf>
    <xf numFmtId="7" fontId="57" fillId="18" borderId="36" xfId="48" applyFont="1" applyFill="1" applyBorder="1" applyAlignment="1" applyProtection="1">
      <alignment horizontal="left"/>
    </xf>
    <xf numFmtId="7" fontId="63" fillId="18" borderId="2" xfId="48" applyFont="1" applyFill="1" applyBorder="1" applyProtection="1"/>
    <xf numFmtId="5" fontId="58" fillId="16" borderId="35" xfId="48" applyNumberFormat="1" applyFont="1" applyFill="1" applyBorder="1" applyAlignment="1" applyProtection="1">
      <alignment horizontal="right"/>
      <protection locked="0"/>
    </xf>
    <xf numFmtId="7" fontId="60" fillId="0" borderId="8" xfId="48" applyFont="1" applyBorder="1" applyAlignment="1" applyProtection="1">
      <alignment horizontal="right"/>
    </xf>
    <xf numFmtId="7" fontId="63" fillId="11" borderId="8" xfId="48" applyNumberFormat="1" applyFont="1" applyFill="1" applyBorder="1" applyAlignment="1" applyProtection="1">
      <alignment horizontal="right"/>
    </xf>
    <xf numFmtId="7" fontId="64" fillId="18" borderId="8" xfId="48" applyFont="1" applyFill="1" applyBorder="1" applyAlignment="1" applyProtection="1">
      <alignment horizontal="right"/>
    </xf>
    <xf numFmtId="7" fontId="65" fillId="18" borderId="8" xfId="48" applyNumberFormat="1" applyFont="1" applyFill="1" applyBorder="1" applyAlignment="1" applyProtection="1">
      <alignment horizontal="right" wrapText="1"/>
    </xf>
    <xf numFmtId="7" fontId="64" fillId="18" borderId="37" xfId="48" applyNumberFormat="1" applyFont="1" applyFill="1" applyBorder="1" applyAlignment="1" applyProtection="1">
      <alignment horizontal="right"/>
    </xf>
    <xf numFmtId="7" fontId="64" fillId="15" borderId="8" xfId="48" applyFont="1" applyFill="1" applyBorder="1" applyAlignment="1" applyProtection="1">
      <alignment horizontal="right"/>
    </xf>
    <xf numFmtId="7" fontId="65" fillId="15" borderId="8" xfId="48" applyNumberFormat="1" applyFont="1" applyFill="1" applyBorder="1" applyAlignment="1" applyProtection="1">
      <alignment horizontal="right" wrapText="1"/>
    </xf>
    <xf numFmtId="7" fontId="64" fillId="15" borderId="37" xfId="48" applyNumberFormat="1" applyFont="1" applyFill="1" applyBorder="1" applyAlignment="1" applyProtection="1">
      <alignment horizontal="right"/>
    </xf>
    <xf numFmtId="7" fontId="62" fillId="19" borderId="5" xfId="48" applyNumberFormat="1" applyFont="1" applyFill="1" applyBorder="1" applyAlignment="1" applyProtection="1">
      <alignment horizontal="left" wrapText="1"/>
    </xf>
    <xf numFmtId="7" fontId="63" fillId="19" borderId="0" xfId="48" applyFont="1" applyFill="1" applyBorder="1" applyAlignment="1" applyProtection="1">
      <alignment horizontal="centerContinuous"/>
    </xf>
    <xf numFmtId="7" fontId="64" fillId="19" borderId="8" xfId="48" applyFont="1" applyFill="1" applyBorder="1" applyAlignment="1" applyProtection="1">
      <alignment horizontal="right"/>
    </xf>
    <xf numFmtId="7" fontId="65" fillId="19" borderId="5" xfId="48" applyNumberFormat="1" applyFont="1" applyFill="1" applyBorder="1" applyAlignment="1" applyProtection="1">
      <alignment vertical="center" wrapText="1"/>
    </xf>
    <xf numFmtId="7" fontId="57" fillId="19" borderId="36" xfId="48" applyFont="1" applyFill="1" applyBorder="1" applyAlignment="1" applyProtection="1"/>
    <xf numFmtId="7" fontId="63" fillId="19" borderId="2" xfId="48" applyFont="1" applyFill="1" applyBorder="1" applyProtection="1"/>
    <xf numFmtId="7" fontId="64" fillId="19" borderId="37" xfId="48" applyNumberFormat="1" applyFont="1" applyFill="1" applyBorder="1" applyAlignment="1" applyProtection="1">
      <alignment horizontal="right"/>
    </xf>
    <xf numFmtId="7" fontId="8" fillId="0" borderId="0" xfId="0" applyFont="1" applyAlignment="1">
      <alignment wrapText="1"/>
    </xf>
    <xf numFmtId="7" fontId="0" fillId="0" borderId="0" xfId="0" applyAlignment="1">
      <alignment wrapText="1"/>
    </xf>
    <xf numFmtId="7" fontId="44" fillId="0" borderId="0" xfId="0" applyFont="1" applyAlignment="1">
      <alignment horizontal="justify" wrapText="1"/>
    </xf>
    <xf numFmtId="7" fontId="0" fillId="0" borderId="0" xfId="0" applyAlignment="1">
      <alignment horizontal="justify" wrapText="1"/>
    </xf>
  </cellXfs>
  <cellStyles count="60">
    <cellStyle name="Comma 2" xfId="9"/>
    <cellStyle name="Comma0" xfId="10"/>
    <cellStyle name="Comma1 - Style1" xfId="11"/>
    <cellStyle name="Curren - Style1" xfId="4"/>
    <cellStyle name="Curren - Style1 2" xfId="49"/>
    <cellStyle name="Curren - Style2" xfId="5"/>
    <cellStyle name="Curren - Style3" xfId="12"/>
    <cellStyle name="Curren - Style4" xfId="50"/>
    <cellStyle name="Currency 2" xfId="13"/>
    <cellStyle name="Currency 3" xfId="14"/>
    <cellStyle name="Currency 3 2" xfId="27"/>
    <cellStyle name="Currency0" xfId="15"/>
    <cellStyle name="Date" xfId="16"/>
    <cellStyle name="Date - Style3" xfId="51"/>
    <cellStyle name="Fixed" xfId="17"/>
    <cellStyle name="Fixed1 - Style1" xfId="6"/>
    <cellStyle name="Fixed2 - Style2" xfId="18"/>
    <cellStyle name="Fixed3 - Style3" xfId="52"/>
    <cellStyle name="Hyperlink 2" xfId="53"/>
    <cellStyle name="Normal" xfId="0" builtinId="0"/>
    <cellStyle name="Normal 10" xfId="28"/>
    <cellStyle name="Normal 11" xfId="29"/>
    <cellStyle name="Normal 12" xfId="30"/>
    <cellStyle name="Normal 13" xfId="31"/>
    <cellStyle name="Normal 14" xfId="32"/>
    <cellStyle name="Normal 15" xfId="33"/>
    <cellStyle name="Normal 16" xfId="34"/>
    <cellStyle name="Normal 16 2" xfId="48"/>
    <cellStyle name="Normal 17" xfId="35"/>
    <cellStyle name="Normal 18" xfId="36"/>
    <cellStyle name="Normal 19" xfId="37"/>
    <cellStyle name="Normal 2" xfId="7"/>
    <cellStyle name="Normal 2 2" xfId="38"/>
    <cellStyle name="Normal 2 2 2" xfId="39"/>
    <cellStyle name="Normal 2 2 2 2" xfId="40"/>
    <cellStyle name="Normal 2 2 2 3" xfId="41"/>
    <cellStyle name="Normal 2 3" xfId="42"/>
    <cellStyle name="Normal 2 4" xfId="25"/>
    <cellStyle name="Normal 20" xfId="43"/>
    <cellStyle name="Normal 21" xfId="54"/>
    <cellStyle name="Normal 22" xfId="55"/>
    <cellStyle name="Normal 23" xfId="56"/>
    <cellStyle name="Normal 3" xfId="19"/>
    <cellStyle name="Normal 3 2" xfId="57"/>
    <cellStyle name="Normal 3 3" xfId="58"/>
    <cellStyle name="Normal 4" xfId="20"/>
    <cellStyle name="Normal 5" xfId="23"/>
    <cellStyle name="Normal 6" xfId="3"/>
    <cellStyle name="Normal 7" xfId="24"/>
    <cellStyle name="Normal 8" xfId="44"/>
    <cellStyle name="Normal 9" xfId="45"/>
    <cellStyle name="Normal 9 2" xfId="46"/>
    <cellStyle name="Percen - Style1" xfId="1"/>
    <cellStyle name="Percen - Style2" xfId="21"/>
    <cellStyle name="Percent" xfId="2" builtinId="5"/>
    <cellStyle name="Percent 2" xfId="8"/>
    <cellStyle name="Percent 2 2" xfId="26"/>
    <cellStyle name="Percent 3" xfId="22"/>
    <cellStyle name="Percent 3 2" xfId="59"/>
    <cellStyle name="Percent 4" xfId="4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6F6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externalLink" Target="externalLinks/externalLink3.xml"/><Relationship Id="rId18" Type="http://schemas.openxmlformats.org/officeDocument/2006/relationships/sharedStrings" Target="sharedStrings.xml"/><Relationship Id="rId3" Type="http://schemas.openxmlformats.org/officeDocument/2006/relationships/chartsheet" Target="chartsheets/sheet1.xml"/><Relationship Id="rId7" Type="http://schemas.openxmlformats.org/officeDocument/2006/relationships/worksheet" Target="worksheets/sheet6.xml"/><Relationship Id="rId12" Type="http://schemas.openxmlformats.org/officeDocument/2006/relationships/externalLink" Target="externalLinks/externalLink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externalLink" Target="externalLinks/externalLink1.xml"/><Relationship Id="rId5" Type="http://schemas.openxmlformats.org/officeDocument/2006/relationships/worksheet" Target="worksheets/sheet4.xml"/><Relationship Id="rId15" Type="http://schemas.openxmlformats.org/officeDocument/2006/relationships/externalLink" Target="externalLinks/externalLink5.xml"/><Relationship Id="rId10" Type="http://schemas.openxmlformats.org/officeDocument/2006/relationships/worksheet" Target="worksheets/sheet8.xml"/><Relationship Id="rId19" Type="http://schemas.openxmlformats.org/officeDocument/2006/relationships/calcChain" Target="calcChain.xml"/><Relationship Id="rId4" Type="http://schemas.openxmlformats.org/officeDocument/2006/relationships/worksheet" Target="worksheets/sheet3.xml"/><Relationship Id="rId9" Type="http://schemas.openxmlformats.org/officeDocument/2006/relationships/chartsheet" Target="chartsheets/sheet2.xml"/><Relationship Id="rId14" Type="http://schemas.openxmlformats.org/officeDocument/2006/relationships/externalLink" Target="externalLinks/externalLink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latin typeface="Verdana" panose="020B0604030504040204" pitchFamily="34" charset="0"/>
                <a:ea typeface="Verdana" panose="020B0604030504040204" pitchFamily="34" charset="0"/>
                <a:cs typeface="Verdana" panose="020B0604030504040204" pitchFamily="34" charset="0"/>
              </a:rPr>
              <a:t>School District of Ashland</a:t>
            </a:r>
          </a:p>
          <a:p>
            <a:pPr>
              <a:defRPr/>
            </a:pPr>
            <a:r>
              <a:rPr lang="en-US" sz="1400" b="0">
                <a:latin typeface="Verdana" panose="020B0604030504040204" pitchFamily="34" charset="0"/>
                <a:ea typeface="Verdana" panose="020B0604030504040204" pitchFamily="34" charset="0"/>
                <a:cs typeface="Verdana" panose="020B0604030504040204" pitchFamily="34" charset="0"/>
              </a:rPr>
              <a:t>Example Tax</a:t>
            </a:r>
            <a:r>
              <a:rPr lang="en-US" sz="1400" b="0" baseline="0">
                <a:latin typeface="Verdana" panose="020B0604030504040204" pitchFamily="34" charset="0"/>
                <a:ea typeface="Verdana" panose="020B0604030504040204" pitchFamily="34" charset="0"/>
                <a:cs typeface="Verdana" panose="020B0604030504040204" pitchFamily="34" charset="0"/>
              </a:rPr>
              <a:t> Rate Trend</a:t>
            </a:r>
            <a:endParaRPr lang="en-US" sz="1400" b="0">
              <a:latin typeface="Verdana" panose="020B0604030504040204" pitchFamily="34" charset="0"/>
              <a:ea typeface="Verdana" panose="020B0604030504040204" pitchFamily="34" charset="0"/>
              <a:cs typeface="Verdana" panose="020B0604030504040204" pitchFamily="34" charset="0"/>
            </a:endParaRPr>
          </a:p>
        </c:rich>
      </c:tx>
      <c:overlay val="0"/>
    </c:title>
    <c:autoTitleDeleted val="0"/>
    <c:view3D>
      <c:rotX val="15"/>
      <c:rotY val="20"/>
      <c:rAngAx val="1"/>
    </c:view3D>
    <c:floor>
      <c:thickness val="0"/>
    </c:floor>
    <c:sideWall>
      <c:thickness val="0"/>
    </c:sideWall>
    <c:backWall>
      <c:thickness val="0"/>
    </c:backWall>
    <c:plotArea>
      <c:layout/>
      <c:bar3DChart>
        <c:barDir val="col"/>
        <c:grouping val="stacked"/>
        <c:varyColors val="0"/>
        <c:ser>
          <c:idx val="2"/>
          <c:order val="0"/>
          <c:tx>
            <c:v>EEE Tax Impact</c:v>
          </c:tx>
          <c:spPr>
            <a:solidFill>
              <a:schemeClr val="bg2">
                <a:lumMod val="75000"/>
              </a:schemeClr>
            </a:solidFill>
          </c:spPr>
          <c:invertIfNegative val="0"/>
          <c:val>
            <c:numRef>
              <c:f>#REF!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Lst>
        </c:ser>
        <c:ser>
          <c:idx val="1"/>
          <c:order val="1"/>
          <c:tx>
            <c:v>Proposed Referendum Tax Impact (Question 1)</c:v>
          </c:tx>
          <c:spPr>
            <a:solidFill>
              <a:schemeClr val="accent5">
                <a:lumMod val="75000"/>
              </a:schemeClr>
            </a:solidFill>
          </c:spPr>
          <c:invertIfNegative val="0"/>
          <c:dPt>
            <c:idx val="4"/>
            <c:invertIfNegative val="0"/>
            <c:bubble3D val="0"/>
          </c:dPt>
          <c:val>
            <c:numRef>
              <c:f>#REF!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Lst>
        </c:ser>
        <c:dLbls>
          <c:showLegendKey val="0"/>
          <c:showVal val="0"/>
          <c:showCatName val="0"/>
          <c:showSerName val="0"/>
          <c:showPercent val="0"/>
          <c:showBubbleSize val="0"/>
        </c:dLbls>
        <c:gapWidth val="150"/>
        <c:shape val="box"/>
        <c:axId val="853238304"/>
        <c:axId val="853229056"/>
        <c:axId val="0"/>
      </c:bar3DChart>
      <c:catAx>
        <c:axId val="853238304"/>
        <c:scaling>
          <c:orientation val="minMax"/>
        </c:scaling>
        <c:delete val="0"/>
        <c:axPos val="b"/>
        <c:numFmt formatCode="General" sourceLinked="1"/>
        <c:majorTickMark val="out"/>
        <c:minorTickMark val="none"/>
        <c:tickLblPos val="nextTo"/>
        <c:txPr>
          <a:bodyPr/>
          <a:lstStyle/>
          <a:p>
            <a:pPr>
              <a:defRPr sz="800">
                <a:latin typeface="Verdana" panose="020B0604030504040204" pitchFamily="34" charset="0"/>
                <a:ea typeface="Verdana" panose="020B0604030504040204" pitchFamily="34" charset="0"/>
                <a:cs typeface="Verdana" panose="020B0604030504040204" pitchFamily="34" charset="0"/>
              </a:defRPr>
            </a:pPr>
            <a:endParaRPr lang="en-US"/>
          </a:p>
        </c:txPr>
        <c:crossAx val="853229056"/>
        <c:crosses val="autoZero"/>
        <c:auto val="1"/>
        <c:lblAlgn val="ctr"/>
        <c:lblOffset val="100"/>
        <c:noMultiLvlLbl val="0"/>
      </c:catAx>
      <c:valAx>
        <c:axId val="853229056"/>
        <c:scaling>
          <c:orientation val="minMax"/>
          <c:max val="1.8"/>
          <c:min val="0"/>
        </c:scaling>
        <c:delete val="0"/>
        <c:axPos val="l"/>
        <c:majorGridlines/>
        <c:numFmt formatCode="General" sourceLinked="1"/>
        <c:majorTickMark val="out"/>
        <c:minorTickMark val="none"/>
        <c:tickLblPos val="nextTo"/>
        <c:txPr>
          <a:bodyPr/>
          <a:lstStyle/>
          <a:p>
            <a:pPr>
              <a:defRPr>
                <a:latin typeface="Verdana" panose="020B0604030504040204" pitchFamily="34" charset="0"/>
                <a:ea typeface="Verdana" panose="020B0604030504040204" pitchFamily="34" charset="0"/>
                <a:cs typeface="Verdana" panose="020B0604030504040204" pitchFamily="34" charset="0"/>
              </a:defRPr>
            </a:pPr>
            <a:endParaRPr lang="en-US"/>
          </a:p>
        </c:txPr>
        <c:crossAx val="853238304"/>
        <c:crosses val="autoZero"/>
        <c:crossBetween val="between"/>
      </c:valAx>
    </c:plotArea>
    <c:legend>
      <c:legendPos val="b"/>
      <c:legendEntry>
        <c:idx val="0"/>
        <c:delete val="1"/>
      </c:legendEntry>
      <c:overlay val="0"/>
      <c:spPr>
        <a:noFill/>
      </c:spPr>
    </c:legend>
    <c:plotVisOnly val="1"/>
    <c:dispBlanksAs val="gap"/>
    <c:showDLblsOverMax val="0"/>
  </c:chart>
  <c:spPr>
    <a:ln>
      <a:noFill/>
    </a:ln>
  </c:spPr>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latin typeface="Verdana" panose="020B0604030504040204" pitchFamily="34" charset="0"/>
                <a:ea typeface="Verdana" panose="020B0604030504040204" pitchFamily="34" charset="0"/>
                <a:cs typeface="Verdana" panose="020B0604030504040204" pitchFamily="34" charset="0"/>
              </a:rPr>
              <a:t>School District of Ashland</a:t>
            </a:r>
          </a:p>
          <a:p>
            <a:pPr>
              <a:defRPr/>
            </a:pPr>
            <a:r>
              <a:rPr lang="en-US" sz="1400" b="0">
                <a:latin typeface="Verdana" panose="020B0604030504040204" pitchFamily="34" charset="0"/>
                <a:ea typeface="Verdana" panose="020B0604030504040204" pitchFamily="34" charset="0"/>
                <a:cs typeface="Verdana" panose="020B0604030504040204" pitchFamily="34" charset="0"/>
              </a:rPr>
              <a:t>Tax</a:t>
            </a:r>
            <a:r>
              <a:rPr lang="en-US" sz="1400" b="0" baseline="0">
                <a:latin typeface="Verdana" panose="020B0604030504040204" pitchFamily="34" charset="0"/>
                <a:ea typeface="Verdana" panose="020B0604030504040204" pitchFamily="34" charset="0"/>
                <a:cs typeface="Verdana" panose="020B0604030504040204" pitchFamily="34" charset="0"/>
              </a:rPr>
              <a:t> Levy Trend</a:t>
            </a:r>
            <a:endParaRPr lang="en-US" sz="1400" b="0">
              <a:latin typeface="Verdana" panose="020B0604030504040204" pitchFamily="34" charset="0"/>
              <a:ea typeface="Verdana" panose="020B0604030504040204" pitchFamily="34" charset="0"/>
              <a:cs typeface="Verdana" panose="020B0604030504040204" pitchFamily="34" charset="0"/>
            </a:endParaRPr>
          </a:p>
        </c:rich>
      </c:tx>
      <c:overlay val="0"/>
    </c:title>
    <c:autoTitleDeleted val="0"/>
    <c:view3D>
      <c:rotX val="15"/>
      <c:rotY val="20"/>
      <c:rAngAx val="1"/>
    </c:view3D>
    <c:floor>
      <c:thickness val="0"/>
    </c:floor>
    <c:sideWall>
      <c:thickness val="0"/>
    </c:sideWall>
    <c:backWall>
      <c:thickness val="0"/>
    </c:backWall>
    <c:plotArea>
      <c:layout/>
      <c:bar3DChart>
        <c:barDir val="col"/>
        <c:grouping val="stacked"/>
        <c:varyColors val="0"/>
        <c:ser>
          <c:idx val="0"/>
          <c:order val="0"/>
          <c:tx>
            <c:v>Fund 10 Tax Levy</c:v>
          </c:tx>
          <c:invertIfNegative val="0"/>
          <c:cat>
            <c:strRef>
              <c:f>'graph data2'!$C$17:$C$41</c:f>
              <c:strCache>
                <c:ptCount val="25"/>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pt idx="12">
                  <c:v>2023-24</c:v>
                </c:pt>
                <c:pt idx="13">
                  <c:v>2024-25</c:v>
                </c:pt>
                <c:pt idx="14">
                  <c:v>2025-26</c:v>
                </c:pt>
                <c:pt idx="15">
                  <c:v>2026-27</c:v>
                </c:pt>
                <c:pt idx="16">
                  <c:v>2027-28</c:v>
                </c:pt>
                <c:pt idx="17">
                  <c:v>2028-29</c:v>
                </c:pt>
                <c:pt idx="18">
                  <c:v>2029-30</c:v>
                </c:pt>
                <c:pt idx="19">
                  <c:v>2030-31</c:v>
                </c:pt>
                <c:pt idx="20">
                  <c:v>2031-32</c:v>
                </c:pt>
                <c:pt idx="21">
                  <c:v>2032-33</c:v>
                </c:pt>
                <c:pt idx="22">
                  <c:v>2033-34</c:v>
                </c:pt>
                <c:pt idx="23">
                  <c:v>2034-35</c:v>
                </c:pt>
                <c:pt idx="24">
                  <c:v>2035-36</c:v>
                </c:pt>
              </c:strCache>
            </c:strRef>
          </c:cat>
          <c:val>
            <c:numRef>
              <c:f>'graph data2'!$F$17:$F$41</c:f>
              <c:numCache>
                <c:formatCode>"$"#,##0</c:formatCode>
                <c:ptCount val="25"/>
                <c:pt idx="0">
                  <c:v>5662237</c:v>
                </c:pt>
                <c:pt idx="1">
                  <c:v>5984571</c:v>
                </c:pt>
                <c:pt idx="2">
                  <c:v>5977171</c:v>
                </c:pt>
                <c:pt idx="3">
                  <c:v>6079421</c:v>
                </c:pt>
                <c:pt idx="4">
                  <c:v>5449553</c:v>
                </c:pt>
                <c:pt idx="5">
                  <c:v>5449553</c:v>
                </c:pt>
                <c:pt idx="6">
                  <c:v>5449553</c:v>
                </c:pt>
                <c:pt idx="7">
                  <c:v>5449553</c:v>
                </c:pt>
                <c:pt idx="8">
                  <c:v>5449553</c:v>
                </c:pt>
                <c:pt idx="9">
                  <c:v>5449553</c:v>
                </c:pt>
                <c:pt idx="10">
                  <c:v>5449553</c:v>
                </c:pt>
                <c:pt idx="11">
                  <c:v>5449553</c:v>
                </c:pt>
                <c:pt idx="12">
                  <c:v>5449553</c:v>
                </c:pt>
                <c:pt idx="13">
                  <c:v>5449553</c:v>
                </c:pt>
                <c:pt idx="14">
                  <c:v>5449553</c:v>
                </c:pt>
                <c:pt idx="15">
                  <c:v>5449553</c:v>
                </c:pt>
                <c:pt idx="16">
                  <c:v>5449553</c:v>
                </c:pt>
                <c:pt idx="17">
                  <c:v>5449553</c:v>
                </c:pt>
                <c:pt idx="18">
                  <c:v>5449553</c:v>
                </c:pt>
                <c:pt idx="19">
                  <c:v>5449553</c:v>
                </c:pt>
                <c:pt idx="20">
                  <c:v>5449553</c:v>
                </c:pt>
                <c:pt idx="21">
                  <c:v>5449553</c:v>
                </c:pt>
                <c:pt idx="22">
                  <c:v>5449553</c:v>
                </c:pt>
                <c:pt idx="23">
                  <c:v>5449553</c:v>
                </c:pt>
                <c:pt idx="24">
                  <c:v>5449553</c:v>
                </c:pt>
              </c:numCache>
            </c:numRef>
          </c:val>
        </c:ser>
        <c:ser>
          <c:idx val="1"/>
          <c:order val="1"/>
          <c:tx>
            <c:v>Proposed Referendum Tax Levy</c:v>
          </c:tx>
          <c:invertIfNegative val="0"/>
          <c:cat>
            <c:strRef>
              <c:f>'graph data2'!$C$17:$C$41</c:f>
              <c:strCache>
                <c:ptCount val="25"/>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pt idx="12">
                  <c:v>2023-24</c:v>
                </c:pt>
                <c:pt idx="13">
                  <c:v>2024-25</c:v>
                </c:pt>
                <c:pt idx="14">
                  <c:v>2025-26</c:v>
                </c:pt>
                <c:pt idx="15">
                  <c:v>2026-27</c:v>
                </c:pt>
                <c:pt idx="16">
                  <c:v>2027-28</c:v>
                </c:pt>
                <c:pt idx="17">
                  <c:v>2028-29</c:v>
                </c:pt>
                <c:pt idx="18">
                  <c:v>2029-30</c:v>
                </c:pt>
                <c:pt idx="19">
                  <c:v>2030-31</c:v>
                </c:pt>
                <c:pt idx="20">
                  <c:v>2031-32</c:v>
                </c:pt>
                <c:pt idx="21">
                  <c:v>2032-33</c:v>
                </c:pt>
                <c:pt idx="22">
                  <c:v>2033-34</c:v>
                </c:pt>
                <c:pt idx="23">
                  <c:v>2034-35</c:v>
                </c:pt>
                <c:pt idx="24">
                  <c:v>2035-36</c:v>
                </c:pt>
              </c:strCache>
            </c:strRef>
          </c:cat>
          <c:val>
            <c:numRef>
              <c:f>'graph data2'!$H$17:$H$41</c:f>
              <c:numCache>
                <c:formatCode>"$"#,##0</c:formatCode>
                <c:ptCount val="25"/>
                <c:pt idx="4">
                  <c:v>629868.00000000047</c:v>
                </c:pt>
                <c:pt idx="5">
                  <c:v>722500</c:v>
                </c:pt>
                <c:pt idx="6">
                  <c:v>555674.75</c:v>
                </c:pt>
                <c:pt idx="7">
                  <c:v>388849.5</c:v>
                </c:pt>
                <c:pt idx="8">
                  <c:v>388849.5</c:v>
                </c:pt>
                <c:pt idx="9">
                  <c:v>388849.5</c:v>
                </c:pt>
                <c:pt idx="10">
                  <c:v>388849.5</c:v>
                </c:pt>
                <c:pt idx="11">
                  <c:v>388849.5</c:v>
                </c:pt>
                <c:pt idx="12">
                  <c:v>388849.5</c:v>
                </c:pt>
                <c:pt idx="13">
                  <c:v>388849.5</c:v>
                </c:pt>
                <c:pt idx="14">
                  <c:v>388849.5</c:v>
                </c:pt>
                <c:pt idx="15">
                  <c:v>388849.5</c:v>
                </c:pt>
                <c:pt idx="16">
                  <c:v>388849.5</c:v>
                </c:pt>
                <c:pt idx="17">
                  <c:v>388849.5</c:v>
                </c:pt>
                <c:pt idx="18">
                  <c:v>388849.5</c:v>
                </c:pt>
                <c:pt idx="19">
                  <c:v>388849.5</c:v>
                </c:pt>
                <c:pt idx="20">
                  <c:v>388849.5</c:v>
                </c:pt>
                <c:pt idx="21">
                  <c:v>388849.5</c:v>
                </c:pt>
                <c:pt idx="22">
                  <c:v>388849.5</c:v>
                </c:pt>
                <c:pt idx="23">
                  <c:v>388849.5</c:v>
                </c:pt>
                <c:pt idx="24">
                  <c:v>17027599.5</c:v>
                </c:pt>
              </c:numCache>
            </c:numRef>
          </c:val>
        </c:ser>
        <c:dLbls>
          <c:showLegendKey val="0"/>
          <c:showVal val="0"/>
          <c:showCatName val="0"/>
          <c:showSerName val="0"/>
          <c:showPercent val="0"/>
          <c:showBubbleSize val="0"/>
        </c:dLbls>
        <c:gapWidth val="150"/>
        <c:shape val="box"/>
        <c:axId val="853231776"/>
        <c:axId val="853235040"/>
        <c:axId val="0"/>
      </c:bar3DChart>
      <c:catAx>
        <c:axId val="853231776"/>
        <c:scaling>
          <c:orientation val="minMax"/>
        </c:scaling>
        <c:delete val="0"/>
        <c:axPos val="b"/>
        <c:numFmt formatCode="General" sourceLinked="0"/>
        <c:majorTickMark val="out"/>
        <c:minorTickMark val="none"/>
        <c:tickLblPos val="nextTo"/>
        <c:txPr>
          <a:bodyPr/>
          <a:lstStyle/>
          <a:p>
            <a:pPr>
              <a:defRPr sz="800">
                <a:latin typeface="Verdana" panose="020B0604030504040204" pitchFamily="34" charset="0"/>
                <a:ea typeface="Verdana" panose="020B0604030504040204" pitchFamily="34" charset="0"/>
                <a:cs typeface="Verdana" panose="020B0604030504040204" pitchFamily="34" charset="0"/>
              </a:defRPr>
            </a:pPr>
            <a:endParaRPr lang="en-US"/>
          </a:p>
        </c:txPr>
        <c:crossAx val="853235040"/>
        <c:crosses val="autoZero"/>
        <c:auto val="1"/>
        <c:lblAlgn val="ctr"/>
        <c:lblOffset val="100"/>
        <c:noMultiLvlLbl val="0"/>
      </c:catAx>
      <c:valAx>
        <c:axId val="853235040"/>
        <c:scaling>
          <c:orientation val="minMax"/>
        </c:scaling>
        <c:delete val="0"/>
        <c:axPos val="l"/>
        <c:majorGridlines/>
        <c:numFmt formatCode="&quot;$&quot;#,##0" sourceLinked="1"/>
        <c:majorTickMark val="out"/>
        <c:minorTickMark val="none"/>
        <c:tickLblPos val="nextTo"/>
        <c:txPr>
          <a:bodyPr/>
          <a:lstStyle/>
          <a:p>
            <a:pPr>
              <a:defRPr>
                <a:latin typeface="Verdana" panose="020B0604030504040204" pitchFamily="34" charset="0"/>
                <a:ea typeface="Verdana" panose="020B0604030504040204" pitchFamily="34" charset="0"/>
                <a:cs typeface="Verdana" panose="020B0604030504040204" pitchFamily="34" charset="0"/>
              </a:defRPr>
            </a:pPr>
            <a:endParaRPr lang="en-US"/>
          </a:p>
        </c:txPr>
        <c:crossAx val="853231776"/>
        <c:crosses val="autoZero"/>
        <c:crossBetween val="between"/>
      </c:valAx>
    </c:plotArea>
    <c:legend>
      <c:legendPos val="b"/>
      <c:layout>
        <c:manualLayout>
          <c:xMode val="edge"/>
          <c:yMode val="edge"/>
          <c:x val="0.29798144185096775"/>
          <c:y val="0.9514194637593707"/>
          <c:w val="0.51239425580332731"/>
          <c:h val="3.6477215816974926E-2"/>
        </c:manualLayout>
      </c:layout>
      <c:overlay val="0"/>
    </c:legend>
    <c:plotVisOnly val="1"/>
    <c:dispBlanksAs val="gap"/>
    <c:showDLblsOverMax val="0"/>
  </c:chart>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6.xml"/></Relationships>
</file>

<file path=xl/chartsheets/sheet1.xml><?xml version="1.0" encoding="utf-8"?>
<chartsheet xmlns="http://schemas.openxmlformats.org/spreadsheetml/2006/main" xmlns:r="http://schemas.openxmlformats.org/officeDocument/2006/relationships">
  <sheetPr>
    <tabColor rgb="FFFF0000"/>
  </sheetPr>
  <sheetViews>
    <sheetView zoomScale="118" workbookViewId="0" zoomToFit="1"/>
  </sheetViews>
  <pageMargins left="0.7" right="0.7" top="0.75" bottom="0.75" header="0.3" footer="0.3"/>
  <pageSetup orientation="landscape" r:id="rId1"/>
  <headerFooter>
    <oddFooter>&amp;C&amp;"Verdana,Italic"&amp;8Prepared by Robert W. Baird &amp;&amp; Co. Incorporated S:\Public Finance\school district\ashland sd\debt service\2015\ds1 ashland sd.xlsx /sgk &amp;d</oddFooter>
  </headerFooter>
  <drawing r:id="rId2"/>
</chartsheet>
</file>

<file path=xl/chartsheets/sheet2.xml><?xml version="1.0" encoding="utf-8"?>
<chartsheet xmlns="http://schemas.openxmlformats.org/spreadsheetml/2006/main" xmlns:r="http://schemas.openxmlformats.org/officeDocument/2006/relationships">
  <sheetPr>
    <tabColor rgb="FFFF0000"/>
  </sheetPr>
  <sheetViews>
    <sheetView zoomScale="118" workbookViewId="0" zoomToFit="1"/>
  </sheetViews>
  <pageMargins left="0.7" right="0.7" top="0.75" bottom="0.75" header="0.3" footer="0.3"/>
  <drawing r:id="rId1"/>
</chartsheet>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13</xdr:col>
      <xdr:colOff>19050</xdr:colOff>
      <xdr:row>15</xdr:row>
      <xdr:rowOff>146065</xdr:rowOff>
    </xdr:from>
    <xdr:to>
      <xdr:col>14</xdr:col>
      <xdr:colOff>38100</xdr:colOff>
      <xdr:row>20</xdr:row>
      <xdr:rowOff>28575</xdr:rowOff>
    </xdr:to>
    <xdr:sp macro="" textlink="">
      <xdr:nvSpPr>
        <xdr:cNvPr id="2" name="TextBox 1"/>
        <xdr:cNvSpPr txBox="1"/>
      </xdr:nvSpPr>
      <xdr:spPr>
        <a:xfrm>
          <a:off x="6562725" y="3336940"/>
          <a:ext cx="0" cy="8350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horz" wrap="square" rtlCol="0" anchor="ctr" anchorCtr="0">
          <a:noAutofit/>
        </a:bodyPr>
        <a:lstStyle/>
        <a:p>
          <a:pPr algn="ctr"/>
          <a:r>
            <a:rPr lang="en-US" sz="1200">
              <a:latin typeface="Verdana" pitchFamily="34" charset="0"/>
              <a:ea typeface="Verdana" pitchFamily="34" charset="0"/>
              <a:cs typeface="Verdana" pitchFamily="34" charset="0"/>
            </a:rPr>
            <a:t>Assumes BAN principal and interest</a:t>
          </a:r>
          <a:r>
            <a:rPr lang="en-US" sz="1200" baseline="0">
              <a:latin typeface="Verdana" pitchFamily="34" charset="0"/>
              <a:ea typeface="Verdana" pitchFamily="34" charset="0"/>
              <a:cs typeface="Verdana" pitchFamily="34" charset="0"/>
            </a:rPr>
            <a:t> refunded with Bonds on 7/1/2012.</a:t>
          </a:r>
          <a:endParaRPr lang="en-US" sz="1200">
            <a:latin typeface="Verdana" pitchFamily="34" charset="0"/>
            <a:ea typeface="Verdana" pitchFamily="34" charset="0"/>
            <a:cs typeface="Verdana" pitchFamily="34" charset="0"/>
          </a:endParaRPr>
        </a:p>
      </xdr:txBody>
    </xdr:sp>
    <xdr:clientData/>
  </xdr:twoCellAnchor>
  <xdr:twoCellAnchor>
    <xdr:from>
      <xdr:col>36</xdr:col>
      <xdr:colOff>646017</xdr:colOff>
      <xdr:row>13</xdr:row>
      <xdr:rowOff>101413</xdr:rowOff>
    </xdr:from>
    <xdr:to>
      <xdr:col>36</xdr:col>
      <xdr:colOff>851646</xdr:colOff>
      <xdr:row>14</xdr:row>
      <xdr:rowOff>44823</xdr:rowOff>
    </xdr:to>
    <xdr:sp macro="" textlink="">
      <xdr:nvSpPr>
        <xdr:cNvPr id="3" name="Line 9"/>
        <xdr:cNvSpPr>
          <a:spLocks noChangeShapeType="1"/>
        </xdr:cNvSpPr>
      </xdr:nvSpPr>
      <xdr:spPr bwMode="auto">
        <a:xfrm flipH="1" flipV="1">
          <a:off x="15152592" y="2911288"/>
          <a:ext cx="205629" cy="133910"/>
        </a:xfrm>
        <a:prstGeom prst="line">
          <a:avLst/>
        </a:prstGeom>
        <a:noFill/>
        <a:ln w="9525">
          <a:solidFill>
            <a:srgbClr val="000000"/>
          </a:solidFill>
          <a:round/>
          <a:headEnd/>
          <a:tailEnd/>
        </a:ln>
      </xdr:spPr>
    </xdr:sp>
    <xdr:clientData/>
  </xdr:twoCellAnchor>
  <xdr:twoCellAnchor>
    <xdr:from>
      <xdr:col>36</xdr:col>
      <xdr:colOff>694763</xdr:colOff>
      <xdr:row>14</xdr:row>
      <xdr:rowOff>22412</xdr:rowOff>
    </xdr:from>
    <xdr:to>
      <xdr:col>36</xdr:col>
      <xdr:colOff>862847</xdr:colOff>
      <xdr:row>14</xdr:row>
      <xdr:rowOff>100853</xdr:rowOff>
    </xdr:to>
    <xdr:sp macro="" textlink="">
      <xdr:nvSpPr>
        <xdr:cNvPr id="4" name="Line 10"/>
        <xdr:cNvSpPr>
          <a:spLocks noChangeShapeType="1"/>
        </xdr:cNvSpPr>
      </xdr:nvSpPr>
      <xdr:spPr bwMode="auto">
        <a:xfrm flipH="1">
          <a:off x="15217587" y="3014383"/>
          <a:ext cx="168084" cy="78441"/>
        </a:xfrm>
        <a:prstGeom prst="line">
          <a:avLst/>
        </a:prstGeom>
        <a:noFill/>
        <a:ln w="9525">
          <a:solidFill>
            <a:srgbClr val="000000"/>
          </a:solidFill>
          <a:round/>
          <a:headEnd/>
          <a:tailEnd/>
        </a:ln>
      </xdr:spPr>
    </xdr:sp>
    <xdr:clientData/>
  </xdr:twoCellAnchor>
  <xdr:twoCellAnchor>
    <xdr:from>
      <xdr:col>36</xdr:col>
      <xdr:colOff>835398</xdr:colOff>
      <xdr:row>13</xdr:row>
      <xdr:rowOff>180973</xdr:rowOff>
    </xdr:from>
    <xdr:to>
      <xdr:col>36</xdr:col>
      <xdr:colOff>844923</xdr:colOff>
      <xdr:row>34</xdr:row>
      <xdr:rowOff>152398</xdr:rowOff>
    </xdr:to>
    <xdr:cxnSp macro="">
      <xdr:nvCxnSpPr>
        <xdr:cNvPr id="5" name="Straight Arrow Connector 4"/>
        <xdr:cNvCxnSpPr/>
      </xdr:nvCxnSpPr>
      <xdr:spPr bwMode="auto">
        <a:xfrm rot="16200000" flipH="1">
          <a:off x="13360773" y="4972048"/>
          <a:ext cx="3971925" cy="9525"/>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19050</xdr:colOff>
      <xdr:row>15</xdr:row>
      <xdr:rowOff>146065</xdr:rowOff>
    </xdr:from>
    <xdr:to>
      <xdr:col>14</xdr:col>
      <xdr:colOff>38100</xdr:colOff>
      <xdr:row>20</xdr:row>
      <xdr:rowOff>28575</xdr:rowOff>
    </xdr:to>
    <xdr:sp macro="" textlink="">
      <xdr:nvSpPr>
        <xdr:cNvPr id="7" name="TextBox 6"/>
        <xdr:cNvSpPr txBox="1"/>
      </xdr:nvSpPr>
      <xdr:spPr>
        <a:xfrm>
          <a:off x="6457950" y="3146440"/>
          <a:ext cx="2133600" cy="8350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horz" wrap="square" rtlCol="0" anchor="ctr" anchorCtr="0">
          <a:noAutofit/>
        </a:bodyPr>
        <a:lstStyle/>
        <a:p>
          <a:pPr algn="ctr"/>
          <a:r>
            <a:rPr lang="en-US" sz="1200">
              <a:latin typeface="Verdana" pitchFamily="34" charset="0"/>
              <a:ea typeface="Verdana" pitchFamily="34" charset="0"/>
              <a:cs typeface="Verdana" pitchFamily="34" charset="0"/>
            </a:rPr>
            <a:t>Assumes BAN principal and interest</a:t>
          </a:r>
          <a:r>
            <a:rPr lang="en-US" sz="1200" baseline="0">
              <a:latin typeface="Verdana" pitchFamily="34" charset="0"/>
              <a:ea typeface="Verdana" pitchFamily="34" charset="0"/>
              <a:cs typeface="Verdana" pitchFamily="34" charset="0"/>
            </a:rPr>
            <a:t> refunded with Bonds on 7/1/2012.</a:t>
          </a:r>
          <a:endParaRPr lang="en-US" sz="1200">
            <a:latin typeface="Verdana" pitchFamily="34" charset="0"/>
            <a:ea typeface="Verdana" pitchFamily="34" charset="0"/>
            <a:cs typeface="Verdana" pitchFamily="34" charset="0"/>
          </a:endParaRPr>
        </a:p>
      </xdr:txBody>
    </xdr:sp>
    <xdr:clientData/>
  </xdr:twoCellAnchor>
  <xdr:twoCellAnchor>
    <xdr:from>
      <xdr:col>36</xdr:col>
      <xdr:colOff>646017</xdr:colOff>
      <xdr:row>13</xdr:row>
      <xdr:rowOff>101413</xdr:rowOff>
    </xdr:from>
    <xdr:to>
      <xdr:col>36</xdr:col>
      <xdr:colOff>851646</xdr:colOff>
      <xdr:row>14</xdr:row>
      <xdr:rowOff>44823</xdr:rowOff>
    </xdr:to>
    <xdr:sp macro="" textlink="">
      <xdr:nvSpPr>
        <xdr:cNvPr id="3" name="Line 9"/>
        <xdr:cNvSpPr>
          <a:spLocks noChangeShapeType="1"/>
        </xdr:cNvSpPr>
      </xdr:nvSpPr>
      <xdr:spPr bwMode="auto">
        <a:xfrm flipH="1" flipV="1">
          <a:off x="15168841" y="2902884"/>
          <a:ext cx="205629" cy="133910"/>
        </a:xfrm>
        <a:prstGeom prst="line">
          <a:avLst/>
        </a:prstGeom>
        <a:noFill/>
        <a:ln w="9525">
          <a:solidFill>
            <a:srgbClr val="000000"/>
          </a:solidFill>
          <a:round/>
          <a:headEnd/>
          <a:tailEnd/>
        </a:ln>
      </xdr:spPr>
    </xdr:sp>
    <xdr:clientData/>
  </xdr:twoCellAnchor>
  <xdr:twoCellAnchor>
    <xdr:from>
      <xdr:col>36</xdr:col>
      <xdr:colOff>683558</xdr:colOff>
      <xdr:row>14</xdr:row>
      <xdr:rowOff>22412</xdr:rowOff>
    </xdr:from>
    <xdr:to>
      <xdr:col>36</xdr:col>
      <xdr:colOff>862848</xdr:colOff>
      <xdr:row>14</xdr:row>
      <xdr:rowOff>89647</xdr:rowOff>
    </xdr:to>
    <xdr:sp macro="" textlink="">
      <xdr:nvSpPr>
        <xdr:cNvPr id="4" name="Line 10"/>
        <xdr:cNvSpPr>
          <a:spLocks noChangeShapeType="1"/>
        </xdr:cNvSpPr>
      </xdr:nvSpPr>
      <xdr:spPr bwMode="auto">
        <a:xfrm flipH="1">
          <a:off x="15206382" y="3014383"/>
          <a:ext cx="179290" cy="67235"/>
        </a:xfrm>
        <a:prstGeom prst="line">
          <a:avLst/>
        </a:prstGeom>
        <a:noFill/>
        <a:ln w="9525">
          <a:solidFill>
            <a:srgbClr val="000000"/>
          </a:solidFill>
          <a:round/>
          <a:headEnd/>
          <a:tailEnd/>
        </a:ln>
      </xdr:spPr>
    </xdr:sp>
    <xdr:clientData/>
  </xdr:twoCellAnchor>
  <xdr:twoCellAnchor>
    <xdr:from>
      <xdr:col>36</xdr:col>
      <xdr:colOff>835398</xdr:colOff>
      <xdr:row>13</xdr:row>
      <xdr:rowOff>180973</xdr:rowOff>
    </xdr:from>
    <xdr:to>
      <xdr:col>36</xdr:col>
      <xdr:colOff>844923</xdr:colOff>
      <xdr:row>34</xdr:row>
      <xdr:rowOff>152398</xdr:rowOff>
    </xdr:to>
    <xdr:cxnSp macro="">
      <xdr:nvCxnSpPr>
        <xdr:cNvPr id="5" name="Straight Arrow Connector 4"/>
        <xdr:cNvCxnSpPr/>
      </xdr:nvCxnSpPr>
      <xdr:spPr bwMode="auto">
        <a:xfrm rot="16200000" flipH="1">
          <a:off x="13377022" y="4963644"/>
          <a:ext cx="3971925" cy="9525"/>
        </a:xfrm>
        <a:prstGeom prst="straightConnector1">
          <a:avLst/>
        </a:prstGeom>
        <a:solidFill>
          <a:srgbClr val="FFFFFF"/>
        </a:solidFill>
        <a:ln w="9525" cap="flat" cmpd="sng" algn="ctr">
          <a:solidFill>
            <a:srgbClr val="000000"/>
          </a:solidFill>
          <a:prstDash val="solid"/>
          <a:round/>
          <a:headEnd type="none" w="med" len="me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absoluteAnchor>
    <xdr:pos x="0" y="0"/>
    <xdr:ext cx="8669364" cy="628811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0.08996</cdr:x>
      <cdr:y>0.23013</cdr:y>
    </cdr:from>
    <cdr:to>
      <cdr:x>0.27835</cdr:x>
      <cdr:y>0.32115</cdr:y>
    </cdr:to>
    <cdr:sp macro="" textlink="">
      <cdr:nvSpPr>
        <cdr:cNvPr id="3" name="TextBox 2"/>
        <cdr:cNvSpPr txBox="1"/>
      </cdr:nvSpPr>
      <cdr:spPr>
        <a:xfrm xmlns:a="http://schemas.openxmlformats.org/drawingml/2006/main">
          <a:off x="779865" y="1447101"/>
          <a:ext cx="1633222" cy="57234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000" b="1" i="1" baseline="0"/>
            <a:t>2015-16 Energy </a:t>
          </a:r>
        </a:p>
        <a:p xmlns:a="http://schemas.openxmlformats.org/drawingml/2006/main">
          <a:pPr algn="ctr"/>
          <a:r>
            <a:rPr lang="en-US" sz="1000" b="1" i="1" baseline="0"/>
            <a:t>Efficiency Levy </a:t>
          </a:r>
        </a:p>
        <a:p xmlns:a="http://schemas.openxmlformats.org/drawingml/2006/main">
          <a:pPr algn="ctr"/>
          <a:r>
            <a:rPr lang="en-US" sz="1000" b="1" i="1" baseline="0"/>
            <a:t>$600,000</a:t>
          </a:r>
          <a:endParaRPr lang="en-US" sz="1000" b="1" i="1"/>
        </a:p>
      </cdr:txBody>
    </cdr:sp>
  </cdr:relSizeAnchor>
  <cdr:relSizeAnchor xmlns:cdr="http://schemas.openxmlformats.org/drawingml/2006/chartDrawing">
    <cdr:from>
      <cdr:x>0.09311</cdr:x>
      <cdr:y>0.31579</cdr:y>
    </cdr:from>
    <cdr:to>
      <cdr:x>0.15177</cdr:x>
      <cdr:y>0.47369</cdr:y>
    </cdr:to>
    <cdr:cxnSp macro="">
      <cdr:nvCxnSpPr>
        <cdr:cNvPr id="5" name="Straight Arrow Connector 4"/>
        <cdr:cNvCxnSpPr/>
      </cdr:nvCxnSpPr>
      <cdr:spPr bwMode="auto">
        <a:xfrm xmlns:a="http://schemas.openxmlformats.org/drawingml/2006/main" flipH="1">
          <a:off x="807164" y="1985720"/>
          <a:ext cx="508578" cy="992884"/>
        </a:xfrm>
        <a:prstGeom xmlns:a="http://schemas.openxmlformats.org/drawingml/2006/main" prst="straightConnector1">
          <a:avLst/>
        </a:prstGeom>
        <a:solidFill xmlns:a="http://schemas.openxmlformats.org/drawingml/2006/main">
          <a:srgbClr val="FFFFFF"/>
        </a:solidFill>
        <a:ln xmlns:a="http://schemas.openxmlformats.org/drawingml/2006/main" w="15875" cap="flat" cmpd="sng" algn="ctr">
          <a:solidFill>
            <a:srgbClr val="000000"/>
          </a:solidFill>
          <a:prstDash val="solid"/>
          <a:round/>
          <a:headEnd type="none" w="med" len="med"/>
          <a:tailEnd type="arrow"/>
        </a:ln>
        <a:effectLst xmlns:a="http://schemas.openxmlformats.org/drawingml/2006/main"/>
      </cdr:spPr>
    </cdr:cxnSp>
  </cdr:relSizeAnchor>
  <cdr:relSizeAnchor xmlns:cdr="http://schemas.openxmlformats.org/drawingml/2006/chartDrawing">
    <cdr:from>
      <cdr:x>0.03259</cdr:x>
      <cdr:y>0.94095</cdr:y>
    </cdr:from>
    <cdr:to>
      <cdr:x>0.16946</cdr:x>
      <cdr:y>0.9846</cdr:y>
    </cdr:to>
    <cdr:sp macro="" textlink="">
      <cdr:nvSpPr>
        <cdr:cNvPr id="7" name="TextBox 6"/>
        <cdr:cNvSpPr txBox="1"/>
      </cdr:nvSpPr>
      <cdr:spPr>
        <a:xfrm xmlns:a="http://schemas.openxmlformats.org/drawingml/2006/main">
          <a:off x="282521" y="5916801"/>
          <a:ext cx="1186589" cy="2744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t>*Net of State Aid</a:t>
          </a:r>
        </a:p>
      </cdr:txBody>
    </cdr:sp>
  </cdr:relSizeAnchor>
</c:userShapes>
</file>

<file path=xl/drawings/drawing5.xml><?xml version="1.0" encoding="utf-8"?>
<xdr:wsDr xmlns:xdr="http://schemas.openxmlformats.org/drawingml/2006/spreadsheetDrawing" xmlns:a="http://schemas.openxmlformats.org/drawingml/2006/main">
  <xdr:twoCellAnchor>
    <xdr:from>
      <xdr:col>13</xdr:col>
      <xdr:colOff>19050</xdr:colOff>
      <xdr:row>14</xdr:row>
      <xdr:rowOff>146065</xdr:rowOff>
    </xdr:from>
    <xdr:to>
      <xdr:col>14</xdr:col>
      <xdr:colOff>38100</xdr:colOff>
      <xdr:row>19</xdr:row>
      <xdr:rowOff>28575</xdr:rowOff>
    </xdr:to>
    <xdr:sp macro="" textlink="">
      <xdr:nvSpPr>
        <xdr:cNvPr id="2" name="TextBox 1"/>
        <xdr:cNvSpPr txBox="1"/>
      </xdr:nvSpPr>
      <xdr:spPr>
        <a:xfrm>
          <a:off x="5219700" y="3146440"/>
          <a:ext cx="0" cy="8350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horz" wrap="square" rtlCol="0" anchor="ctr" anchorCtr="0">
          <a:noAutofit/>
        </a:bodyPr>
        <a:lstStyle/>
        <a:p>
          <a:pPr algn="ctr"/>
          <a:r>
            <a:rPr lang="en-US" sz="1200">
              <a:latin typeface="Verdana" pitchFamily="34" charset="0"/>
              <a:ea typeface="Verdana" pitchFamily="34" charset="0"/>
              <a:cs typeface="Verdana" pitchFamily="34" charset="0"/>
            </a:rPr>
            <a:t>Assumes BAN principal and interest</a:t>
          </a:r>
          <a:r>
            <a:rPr lang="en-US" sz="1200" baseline="0">
              <a:latin typeface="Verdana" pitchFamily="34" charset="0"/>
              <a:ea typeface="Verdana" pitchFamily="34" charset="0"/>
              <a:cs typeface="Verdana" pitchFamily="34" charset="0"/>
            </a:rPr>
            <a:t> refunded with Bonds on 7/1/2012.</a:t>
          </a:r>
          <a:endParaRPr lang="en-US" sz="1200">
            <a:latin typeface="Verdana" pitchFamily="34" charset="0"/>
            <a:ea typeface="Verdana" pitchFamily="34" charset="0"/>
            <a:cs typeface="Verdana"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absoluteAnchor>
    <xdr:pos x="0" y="0"/>
    <xdr:ext cx="8669364" cy="628811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QPRO\DS\DS_MS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WFS1\VOL1\QPRO\MODELS\SCHOOLS\INFO\BRILLS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Transfer%20Files\metwater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WFS1\VOL1\SHARED\PUBFIN\QPRO\EXDEBT\LITTLV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SHDATA\PUBFIN\REBATE\EXCEL\MIR-9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scal"/>
      <sheetName val="CAL"/>
      <sheetName val="1998cal"/>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ll rate"/>
      <sheetName val="cost comp"/>
      <sheetName val="capacity"/>
      <sheetName val="valuation"/>
      <sheetName val="debt service"/>
      <sheetName val="School Expenses"/>
      <sheetName val="School Expenses (2)"/>
      <sheetName val="Project graph"/>
      <sheetName val="data"/>
      <sheetName val="BRILLSD"/>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crow Inputs"/>
      <sheetName val="New Issue Inputs"/>
      <sheetName val="Inputs"/>
      <sheetName val="sources-1"/>
      <sheetName val="Escrow Total"/>
      <sheetName val="BP 9-6-01"/>
      <sheetName val="OF 9-6-01"/>
      <sheetName val="BP 10-11-01"/>
      <sheetName val="OF 10-11-01"/>
      <sheetName val="1992"/>
      <sheetName val="1993B"/>
      <sheetName val="Escrow Yield"/>
      <sheetName val="2001B-1"/>
      <sheetName val="2001B-2"/>
      <sheetName val="Arb yield"/>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DEBT (2)"/>
      <sheetName val="EXDEBT (3)"/>
      <sheetName val="info"/>
      <sheetName val="new-chart"/>
      <sheetName val="info-chart"/>
      <sheetName val="info-chart new"/>
      <sheetName val="new-chart (2)"/>
      <sheetName val="new-chart (3)"/>
      <sheetName val="waterworks"/>
      <sheetName val="CDA"/>
      <sheetName val="C"/>
      <sheetName val="E"/>
      <sheetName val="capacity graph"/>
      <sheetName val="growth"/>
      <sheetName val="growth-new issues"/>
      <sheetName val="debt graph"/>
      <sheetName val="debt1"/>
      <sheetName val="debt-new issue"/>
      <sheetName val="Graph1"/>
      <sheetName val="d s"/>
    </sheetNames>
    <sheetDataSet>
      <sheetData sheetId="0"/>
      <sheetData sheetId="1"/>
      <sheetData sheetId="2"/>
      <sheetData sheetId="3" refreshError="1"/>
      <sheetData sheetId="4" refreshError="1"/>
      <sheetData sheetId="5" refreshError="1"/>
      <sheetData sheetId="6" refreshError="1"/>
      <sheetData sheetId="7" refreshError="1"/>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ow r="18">
          <cell r="AD18">
            <v>0</v>
          </cell>
        </row>
        <row r="19">
          <cell r="AD19" t="e">
            <v>#REF!</v>
          </cell>
        </row>
        <row r="20">
          <cell r="AD20">
            <v>1786126.454475</v>
          </cell>
        </row>
        <row r="21">
          <cell r="AD21">
            <v>1556130.4685249999</v>
          </cell>
        </row>
        <row r="22">
          <cell r="AD22">
            <v>1072335.6463404109</v>
          </cell>
        </row>
        <row r="23">
          <cell r="AD23">
            <v>1098713.1480750002</v>
          </cell>
        </row>
        <row r="24">
          <cell r="AD24">
            <v>1106439.395975</v>
          </cell>
        </row>
        <row r="25">
          <cell r="AD25">
            <v>842213.14807499992</v>
          </cell>
        </row>
        <row r="26">
          <cell r="AD26">
            <v>436913.14955684938</v>
          </cell>
        </row>
        <row r="27">
          <cell r="AD27">
            <v>343223.15157500003</v>
          </cell>
        </row>
        <row r="28">
          <cell r="AD28">
            <v>341490.64919999999</v>
          </cell>
        </row>
        <row r="29">
          <cell r="AD29">
            <v>339074.397925</v>
          </cell>
        </row>
        <row r="30">
          <cell r="AD30">
            <v>213998.14765575342</v>
          </cell>
        </row>
        <row r="31">
          <cell r="AD31">
            <v>211401.89707500002</v>
          </cell>
        </row>
        <row r="32">
          <cell r="AD32">
            <v>213209.396825</v>
          </cell>
        </row>
        <row r="33">
          <cell r="AD33">
            <v>214246.89595000001</v>
          </cell>
        </row>
        <row r="34">
          <cell r="AD34">
            <v>214571.89951246575</v>
          </cell>
        </row>
        <row r="35">
          <cell r="AD35">
            <v>214210.6269</v>
          </cell>
        </row>
        <row r="36">
          <cell r="AD36">
            <v>185850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Notes"/>
      <sheetName val="A"/>
      <sheetName val="B"/>
      <sheetName val="C"/>
      <sheetName val="D"/>
      <sheetName val="E"/>
      <sheetName val="E-1"/>
      <sheetName val="E-2"/>
      <sheetName val="F"/>
      <sheetName val="F-1"/>
      <sheetName val="F-2"/>
      <sheetName val="G"/>
      <sheetName val="G-1"/>
      <sheetName val="G-2"/>
      <sheetName val="H"/>
      <sheetName val="H-1"/>
      <sheetName val="H-2"/>
      <sheetName val="Print Macros"/>
      <sheetName val="Invest Summary Macros"/>
      <sheetName val="Module1"/>
    </sheetNames>
    <sheetDataSet>
      <sheetData sheetId="0" refreshError="1"/>
      <sheetData sheetId="1" refreshError="1"/>
      <sheetData sheetId="2" refreshError="1">
        <row r="105">
          <cell r="F105">
            <v>8569849.5599999875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pageSetUpPr fitToPage="1"/>
  </sheetPr>
  <dimension ref="A1:BD215"/>
  <sheetViews>
    <sheetView showGridLines="0" view="pageBreakPreview" topLeftCell="E1" zoomScale="85" zoomScaleNormal="75" zoomScaleSheetLayoutView="85" workbookViewId="0">
      <selection activeCell="AT14" sqref="AT14"/>
    </sheetView>
  </sheetViews>
  <sheetFormatPr defaultColWidth="8.76953125" defaultRowHeight="14.7"/>
  <cols>
    <col min="1" max="1" width="7.54296875" style="3" bestFit="1" customWidth="1"/>
    <col min="2" max="2" width="7.6796875" style="3" hidden="1" customWidth="1"/>
    <col min="3" max="3" width="7.31640625" style="3" bestFit="1" customWidth="1"/>
    <col min="4" max="4" width="12.6796875" style="3" bestFit="1" customWidth="1"/>
    <col min="5" max="5" width="15.453125" style="3" bestFit="1" customWidth="1"/>
    <col min="6" max="6" width="2.76953125" style="3" customWidth="1"/>
    <col min="7" max="7" width="7" style="3" customWidth="1"/>
    <col min="8" max="8" width="6.76953125" style="3" customWidth="1"/>
    <col min="9" max="9" width="1.31640625" style="3" customWidth="1"/>
    <col min="10" max="10" width="14.31640625" style="3" customWidth="1"/>
    <col min="11" max="11" width="1.31640625" style="3" hidden="1" customWidth="1"/>
    <col min="12" max="12" width="10.54296875" style="3" hidden="1" customWidth="1"/>
    <col min="13" max="13" width="1.31640625" style="3" customWidth="1"/>
    <col min="14" max="14" width="24.6796875" style="3" hidden="1" customWidth="1"/>
    <col min="15" max="15" width="1.31640625" style="3" hidden="1" customWidth="1"/>
    <col min="16" max="17" width="14.31640625" style="3" customWidth="1"/>
    <col min="18" max="18" width="14.31640625" style="3" hidden="1" customWidth="1"/>
    <col min="19" max="19" width="14.31640625" style="3" customWidth="1"/>
    <col min="20" max="20" width="1.31640625" style="3" customWidth="1"/>
    <col min="21" max="21" width="14.31640625" style="3" hidden="1" customWidth="1"/>
    <col min="22" max="22" width="1.31640625" style="3" hidden="1" customWidth="1"/>
    <col min="23" max="23" width="14.31640625" style="3" hidden="1" customWidth="1"/>
    <col min="24" max="24" width="1.31640625" style="3" hidden="1" customWidth="1"/>
    <col min="25" max="25" width="14.31640625" style="3" hidden="1" customWidth="1"/>
    <col min="26" max="26" width="1.31640625" style="3" hidden="1" customWidth="1"/>
    <col min="27" max="27" width="10.54296875" style="3" hidden="1" customWidth="1"/>
    <col min="28" max="28" width="1.31640625" style="3" customWidth="1"/>
    <col min="29" max="29" width="14.31640625" style="3" customWidth="1"/>
    <col min="30" max="30" width="1.31640625" style="3" customWidth="1"/>
    <col min="31" max="31" width="14.31640625" style="3" customWidth="1"/>
    <col min="32" max="32" width="1.31640625" style="3" customWidth="1"/>
    <col min="33" max="33" width="14.31640625" style="3" customWidth="1"/>
    <col min="34" max="34" width="1.31640625" style="3" hidden="1" customWidth="1"/>
    <col min="35" max="35" width="11.6796875" style="3" hidden="1" customWidth="1"/>
    <col min="36" max="36" width="1.31640625" style="3" customWidth="1"/>
    <col min="37" max="37" width="10.54296875" style="3" customWidth="1"/>
    <col min="38" max="38" width="10.31640625" style="3" hidden="1" customWidth="1"/>
    <col min="39" max="39" width="6.76953125" style="3" customWidth="1"/>
    <col min="40" max="40" width="2.76953125" style="3" customWidth="1"/>
    <col min="41" max="41" width="20.453125" style="3" bestFit="1" customWidth="1"/>
    <col min="42" max="42" width="10.76953125" style="13" customWidth="1"/>
    <col min="43" max="44" width="14.31640625" style="84" customWidth="1"/>
    <col min="45" max="45" width="14.31640625" style="84" hidden="1" customWidth="1"/>
    <col min="46" max="47" width="14.31640625" style="84" customWidth="1"/>
    <col min="48" max="48" width="2.76953125" style="3" customWidth="1"/>
    <col min="49" max="50" width="6.76953125" style="84" customWidth="1"/>
    <col min="51" max="51" width="2.76953125" style="3" customWidth="1"/>
    <col min="52" max="56" width="14.31640625" style="3" customWidth="1"/>
    <col min="57" max="16384" width="8.76953125" style="3"/>
  </cols>
  <sheetData>
    <row r="1" spans="1:56" ht="29.7">
      <c r="A1" s="9"/>
      <c r="B1" s="115"/>
      <c r="C1" s="10"/>
      <c r="D1" s="10"/>
      <c r="E1" s="15"/>
      <c r="F1" s="11" t="s">
        <v>0</v>
      </c>
      <c r="G1" s="4" t="s">
        <v>70</v>
      </c>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7"/>
      <c r="AM1" s="2"/>
    </row>
    <row r="2" spans="1:56" ht="20.100000000000001">
      <c r="A2" s="14"/>
      <c r="B2" s="115"/>
      <c r="C2" s="15"/>
      <c r="D2" s="15"/>
      <c r="E2" s="15"/>
      <c r="F2" s="11" t="s">
        <v>0</v>
      </c>
      <c r="G2" s="5" t="s">
        <v>69</v>
      </c>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7"/>
      <c r="AM2" s="2"/>
    </row>
    <row r="3" spans="1:56" ht="17.7">
      <c r="A3" s="14"/>
      <c r="B3" s="115"/>
      <c r="C3" s="15"/>
      <c r="D3" s="15"/>
      <c r="E3" s="15"/>
      <c r="F3" s="11" t="s">
        <v>0</v>
      </c>
      <c r="G3" s="16"/>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7"/>
      <c r="AM3" s="7"/>
      <c r="AO3" s="2"/>
    </row>
    <row r="4" spans="1:56">
      <c r="A4" s="2"/>
      <c r="B4" s="2"/>
      <c r="C4" s="2"/>
      <c r="D4" s="2"/>
      <c r="E4" s="2"/>
      <c r="F4" s="11" t="s">
        <v>0</v>
      </c>
      <c r="G4" s="1"/>
      <c r="H4" s="1"/>
      <c r="I4" s="1"/>
      <c r="J4" s="1"/>
      <c r="K4" s="1"/>
      <c r="L4" s="1"/>
      <c r="M4" s="1"/>
      <c r="N4" s="1"/>
      <c r="O4" s="1"/>
      <c r="P4" s="103"/>
      <c r="Q4" s="103"/>
      <c r="R4" s="103"/>
      <c r="S4" s="103"/>
      <c r="T4" s="1"/>
      <c r="U4" s="1"/>
      <c r="V4" s="1"/>
      <c r="W4" s="1"/>
      <c r="X4" s="1"/>
      <c r="Y4" s="1"/>
      <c r="Z4" s="1"/>
      <c r="AA4" s="1"/>
      <c r="AB4" s="1"/>
      <c r="AC4" s="1"/>
      <c r="AD4" s="1"/>
      <c r="AE4" s="1"/>
      <c r="AF4" s="1"/>
      <c r="AG4" s="1"/>
      <c r="AH4" s="1"/>
      <c r="AI4" s="1"/>
      <c r="AJ4" s="1"/>
      <c r="AK4" s="1"/>
      <c r="AL4" s="1"/>
      <c r="AM4" s="1"/>
      <c r="AO4" s="2"/>
    </row>
    <row r="5" spans="1:56" ht="20.100000000000001">
      <c r="A5" s="2"/>
      <c r="B5" s="2"/>
      <c r="C5" s="2"/>
      <c r="D5" s="2"/>
      <c r="E5" s="2"/>
      <c r="F5" s="11" t="s">
        <v>0</v>
      </c>
      <c r="G5" s="2"/>
      <c r="H5" s="2"/>
      <c r="I5" s="2" t="s">
        <v>109</v>
      </c>
      <c r="J5" s="2"/>
      <c r="K5" s="2"/>
      <c r="L5" s="2"/>
      <c r="M5" s="2"/>
      <c r="N5" s="17">
        <v>0</v>
      </c>
      <c r="O5" s="2"/>
      <c r="P5" s="135">
        <v>8000000</v>
      </c>
      <c r="Q5" s="136"/>
      <c r="R5" s="136"/>
      <c r="S5" s="137"/>
      <c r="T5" s="2"/>
      <c r="V5" s="2"/>
      <c r="W5" s="2"/>
      <c r="X5" s="2"/>
      <c r="Y5" s="2"/>
      <c r="Z5" s="2"/>
      <c r="AA5" s="2"/>
      <c r="AB5" s="2"/>
      <c r="AC5" s="167"/>
      <c r="AD5" s="2"/>
      <c r="AF5" s="2"/>
      <c r="AG5" s="2"/>
      <c r="AH5" s="2"/>
      <c r="AI5" s="2"/>
      <c r="AJ5" s="2"/>
      <c r="AK5" s="2"/>
      <c r="AL5" s="2"/>
      <c r="AM5" s="2"/>
      <c r="AO5" s="2"/>
    </row>
    <row r="6" spans="1:56" ht="15" customHeight="1">
      <c r="A6" s="118"/>
      <c r="B6" s="118"/>
      <c r="C6" s="118"/>
      <c r="D6" s="118"/>
      <c r="E6" s="118"/>
      <c r="F6" s="120" t="s">
        <v>0</v>
      </c>
      <c r="G6" s="118"/>
      <c r="H6" s="2"/>
      <c r="I6" s="2"/>
      <c r="J6" s="18"/>
      <c r="K6" s="2"/>
      <c r="L6" s="2"/>
      <c r="M6" s="2"/>
      <c r="N6" s="19" t="s">
        <v>35</v>
      </c>
      <c r="O6" s="2"/>
      <c r="P6" s="138" t="s">
        <v>41</v>
      </c>
      <c r="Q6" s="139"/>
      <c r="R6" s="139"/>
      <c r="S6" s="140"/>
      <c r="T6" s="2"/>
      <c r="V6" s="2"/>
      <c r="X6" s="2"/>
      <c r="Y6" s="2"/>
      <c r="Z6" s="2"/>
      <c r="AA6" s="2"/>
      <c r="AB6" s="2"/>
      <c r="AC6" s="221" t="s">
        <v>123</v>
      </c>
      <c r="AD6" s="2"/>
      <c r="AF6" s="2"/>
      <c r="AG6" s="2"/>
      <c r="AH6" s="2"/>
      <c r="AI6" s="2"/>
      <c r="AJ6" s="2"/>
      <c r="AK6" s="2"/>
      <c r="AL6" s="2"/>
      <c r="AM6" s="2"/>
      <c r="AO6" s="2"/>
    </row>
    <row r="7" spans="1:56" ht="15" customHeight="1" thickBot="1">
      <c r="A7" s="118"/>
      <c r="B7" s="118"/>
      <c r="C7" s="118"/>
      <c r="D7" s="118"/>
      <c r="E7" s="118"/>
      <c r="F7" s="120" t="s">
        <v>0</v>
      </c>
      <c r="G7" s="118"/>
      <c r="H7" s="2"/>
      <c r="I7" s="2"/>
      <c r="J7" s="18"/>
      <c r="K7" s="2"/>
      <c r="M7" s="2"/>
      <c r="N7" s="112">
        <v>41000</v>
      </c>
      <c r="O7" s="2"/>
      <c r="P7" s="141">
        <v>42614</v>
      </c>
      <c r="Q7" s="139"/>
      <c r="R7" s="139"/>
      <c r="S7" s="140"/>
      <c r="T7" s="20"/>
      <c r="U7" s="18" t="s">
        <v>51</v>
      </c>
      <c r="V7" s="20"/>
      <c r="W7" s="18" t="s">
        <v>12</v>
      </c>
      <c r="X7" s="20"/>
      <c r="Y7" s="20"/>
      <c r="Z7" s="20"/>
      <c r="AA7" s="20"/>
      <c r="AB7" s="20"/>
      <c r="AC7" s="18" t="s">
        <v>124</v>
      </c>
      <c r="AD7" s="20"/>
      <c r="AE7" s="18" t="s">
        <v>51</v>
      </c>
      <c r="AF7" s="20"/>
      <c r="AL7" s="20"/>
      <c r="AM7" s="2"/>
      <c r="AO7" s="2"/>
    </row>
    <row r="8" spans="1:56" ht="15" customHeight="1">
      <c r="A8" s="116" t="s">
        <v>1</v>
      </c>
      <c r="B8" s="116" t="s">
        <v>43</v>
      </c>
      <c r="C8" s="116" t="s">
        <v>2</v>
      </c>
      <c r="D8" s="116" t="s">
        <v>3</v>
      </c>
      <c r="E8" s="116" t="s">
        <v>4</v>
      </c>
      <c r="F8" s="120" t="s">
        <v>0</v>
      </c>
      <c r="G8" s="119" t="s">
        <v>8</v>
      </c>
      <c r="H8" s="18" t="s">
        <v>2</v>
      </c>
      <c r="I8" s="2"/>
      <c r="J8" s="224" t="s">
        <v>117</v>
      </c>
      <c r="K8" s="2"/>
      <c r="L8" s="18" t="s">
        <v>9</v>
      </c>
      <c r="M8" s="2"/>
      <c r="N8" s="114">
        <v>41365</v>
      </c>
      <c r="O8" s="2"/>
      <c r="P8" s="142">
        <v>42795</v>
      </c>
      <c r="Q8" s="139"/>
      <c r="R8" s="139"/>
      <c r="S8" s="140"/>
      <c r="T8" s="2"/>
      <c r="U8" s="18" t="s">
        <v>53</v>
      </c>
      <c r="V8" s="2"/>
      <c r="W8" s="18" t="s">
        <v>18</v>
      </c>
      <c r="X8" s="2"/>
      <c r="Y8" s="18" t="s">
        <v>13</v>
      </c>
      <c r="Z8" s="2"/>
      <c r="AA8" s="18" t="s">
        <v>13</v>
      </c>
      <c r="AB8" s="2"/>
      <c r="AC8" s="18" t="s">
        <v>50</v>
      </c>
      <c r="AD8" s="2"/>
      <c r="AE8" s="18" t="s">
        <v>31</v>
      </c>
      <c r="AF8" s="2"/>
      <c r="AG8" s="18" t="s">
        <v>11</v>
      </c>
      <c r="AH8" s="18"/>
      <c r="AI8" s="18"/>
      <c r="AJ8" s="18"/>
      <c r="AK8" s="18" t="s">
        <v>123</v>
      </c>
      <c r="AL8" s="2"/>
      <c r="AM8" s="18" t="s">
        <v>2</v>
      </c>
      <c r="AN8" s="2"/>
      <c r="AO8" s="21">
        <v>2015</v>
      </c>
      <c r="AP8" s="3"/>
      <c r="AQ8" s="98" t="s">
        <v>5</v>
      </c>
      <c r="AR8" s="99"/>
      <c r="AS8" s="99"/>
      <c r="AT8" s="99"/>
      <c r="AU8" s="100"/>
      <c r="AW8" s="128"/>
      <c r="AX8" s="128"/>
    </row>
    <row r="9" spans="1:56" ht="15" customHeight="1">
      <c r="A9" s="116"/>
      <c r="B9" s="116" t="s">
        <v>44</v>
      </c>
      <c r="C9" s="116"/>
      <c r="D9" s="116" t="s">
        <v>6</v>
      </c>
      <c r="E9" s="116" t="s">
        <v>7</v>
      </c>
      <c r="F9" s="120" t="s">
        <v>0</v>
      </c>
      <c r="G9" s="119" t="s">
        <v>2</v>
      </c>
      <c r="H9" s="18" t="s">
        <v>17</v>
      </c>
      <c r="I9" s="2"/>
      <c r="J9" s="225" t="s">
        <v>8</v>
      </c>
      <c r="K9" s="2"/>
      <c r="L9" s="6" t="s">
        <v>19</v>
      </c>
      <c r="M9" s="2"/>
      <c r="N9" s="23" t="s">
        <v>4</v>
      </c>
      <c r="O9" s="2"/>
      <c r="P9" s="143" t="s">
        <v>10</v>
      </c>
      <c r="Q9" s="23" t="s">
        <v>4</v>
      </c>
      <c r="R9" s="122" t="s">
        <v>12</v>
      </c>
      <c r="S9" s="144" t="s">
        <v>11</v>
      </c>
      <c r="T9" s="18"/>
      <c r="U9" s="127" t="s">
        <v>54</v>
      </c>
      <c r="V9" s="18"/>
      <c r="W9" s="18" t="s">
        <v>23</v>
      </c>
      <c r="X9" s="18"/>
      <c r="Y9" s="18" t="s">
        <v>32</v>
      </c>
      <c r="Z9" s="18"/>
      <c r="AA9" s="6" t="s">
        <v>19</v>
      </c>
      <c r="AB9" s="18"/>
      <c r="AC9" s="18" t="s">
        <v>66</v>
      </c>
      <c r="AD9" s="18"/>
      <c r="AE9" s="222" t="s">
        <v>125</v>
      </c>
      <c r="AF9" s="18"/>
      <c r="AG9" s="18" t="s">
        <v>32</v>
      </c>
      <c r="AH9" s="6"/>
      <c r="AI9" s="6" t="s">
        <v>19</v>
      </c>
      <c r="AJ9" s="6"/>
      <c r="AK9" s="6" t="s">
        <v>19</v>
      </c>
      <c r="AL9" s="18"/>
      <c r="AM9" s="18" t="s">
        <v>17</v>
      </c>
      <c r="AN9" s="2"/>
      <c r="AO9" s="25" t="s">
        <v>14</v>
      </c>
      <c r="AP9" s="26" t="s">
        <v>15</v>
      </c>
      <c r="AQ9" s="85"/>
      <c r="AR9" s="86"/>
      <c r="AS9" s="125" t="s">
        <v>47</v>
      </c>
      <c r="AT9" s="86"/>
      <c r="AU9" s="87"/>
      <c r="AW9" s="13"/>
      <c r="AX9" s="86"/>
      <c r="AZ9" s="13" t="s">
        <v>55</v>
      </c>
      <c r="BB9" s="13" t="s">
        <v>65</v>
      </c>
    </row>
    <row r="10" spans="1:56" ht="15" customHeight="1" thickBot="1">
      <c r="A10" s="116"/>
      <c r="B10" s="117">
        <v>0</v>
      </c>
      <c r="C10" s="116"/>
      <c r="D10" s="116"/>
      <c r="E10" s="116" t="s">
        <v>16</v>
      </c>
      <c r="F10" s="120" t="s">
        <v>0</v>
      </c>
      <c r="I10" s="2"/>
      <c r="L10" s="22" t="s">
        <v>26</v>
      </c>
      <c r="M10" s="2"/>
      <c r="N10" s="27"/>
      <c r="O10" s="2"/>
      <c r="P10" s="145" t="s">
        <v>67</v>
      </c>
      <c r="Q10" s="146" t="s">
        <v>68</v>
      </c>
      <c r="R10" s="147" t="s">
        <v>45</v>
      </c>
      <c r="S10" s="148"/>
      <c r="T10" s="6"/>
      <c r="U10" s="113" t="s">
        <v>26</v>
      </c>
      <c r="V10" s="6"/>
      <c r="X10" s="6"/>
      <c r="Y10" s="113" t="s">
        <v>52</v>
      </c>
      <c r="Z10" s="6"/>
      <c r="AA10" s="22" t="s">
        <v>36</v>
      </c>
      <c r="AB10" s="6"/>
      <c r="AC10" s="158"/>
      <c r="AD10" s="6"/>
      <c r="AE10" s="113" t="s">
        <v>26</v>
      </c>
      <c r="AF10" s="6"/>
      <c r="AG10" s="113" t="s">
        <v>52</v>
      </c>
      <c r="AH10" s="24"/>
      <c r="AI10" s="22" t="s">
        <v>36</v>
      </c>
      <c r="AJ10" s="24"/>
      <c r="AK10" s="22" t="s">
        <v>36</v>
      </c>
      <c r="AL10" s="6"/>
      <c r="AN10" s="2"/>
      <c r="AO10" s="28" t="s">
        <v>20</v>
      </c>
      <c r="AP10" s="3"/>
      <c r="AQ10" s="88" t="s">
        <v>21</v>
      </c>
      <c r="AR10" s="89" t="s">
        <v>22</v>
      </c>
      <c r="AS10" s="125" t="s">
        <v>48</v>
      </c>
      <c r="AT10" s="89" t="s">
        <v>128</v>
      </c>
      <c r="AU10" s="90" t="s">
        <v>24</v>
      </c>
      <c r="AW10" s="13"/>
      <c r="AX10" s="89"/>
      <c r="AZ10" s="13" t="s">
        <v>56</v>
      </c>
      <c r="BA10" s="13" t="s">
        <v>65</v>
      </c>
      <c r="BB10" s="129" t="s">
        <v>57</v>
      </c>
      <c r="BD10" s="129" t="s">
        <v>58</v>
      </c>
    </row>
    <row r="11" spans="1:56" ht="15" customHeight="1" thickBot="1">
      <c r="A11" s="119"/>
      <c r="B11" s="119"/>
      <c r="C11" s="118"/>
      <c r="D11" s="118"/>
      <c r="E11" s="118"/>
      <c r="F11" s="120" t="s">
        <v>0</v>
      </c>
      <c r="G11" s="121"/>
      <c r="I11" s="2"/>
      <c r="M11" s="2"/>
      <c r="N11" s="29" t="s">
        <v>25</v>
      </c>
      <c r="O11" s="2"/>
      <c r="P11" s="149"/>
      <c r="Q11" s="150" t="s">
        <v>25</v>
      </c>
      <c r="R11" s="151" t="s">
        <v>44</v>
      </c>
      <c r="S11" s="152"/>
      <c r="T11" s="31"/>
      <c r="U11" s="32"/>
      <c r="V11" s="2"/>
      <c r="W11" s="32"/>
      <c r="X11" s="2"/>
      <c r="Y11" s="2"/>
      <c r="Z11" s="2"/>
      <c r="AB11" s="24"/>
      <c r="AC11" s="167"/>
      <c r="AD11" s="31"/>
      <c r="AE11" s="32"/>
      <c r="AF11" s="2"/>
      <c r="AL11" s="31"/>
      <c r="AN11" s="1"/>
      <c r="AO11" s="33"/>
      <c r="AQ11" s="91"/>
      <c r="AR11" s="92"/>
      <c r="AS11" s="126" t="s">
        <v>49</v>
      </c>
      <c r="AT11" s="92"/>
      <c r="AU11" s="93"/>
      <c r="AW11" s="133" t="s">
        <v>64</v>
      </c>
      <c r="AX11" s="134"/>
      <c r="AZ11" s="130" t="s">
        <v>59</v>
      </c>
      <c r="BA11" s="130" t="s">
        <v>60</v>
      </c>
      <c r="BB11" s="130" t="s">
        <v>61</v>
      </c>
      <c r="BC11" s="130" t="s">
        <v>62</v>
      </c>
      <c r="BD11" s="130" t="s">
        <v>63</v>
      </c>
    </row>
    <row r="12" spans="1:56" ht="15" customHeight="1">
      <c r="A12" s="119"/>
      <c r="B12" s="119"/>
      <c r="C12" s="118"/>
      <c r="D12" s="118"/>
      <c r="E12" s="118"/>
      <c r="F12" s="120" t="s">
        <v>0</v>
      </c>
      <c r="G12" s="118"/>
      <c r="H12" s="2"/>
      <c r="I12" s="2"/>
      <c r="M12" s="2"/>
      <c r="N12" s="34">
        <v>4.4999999999999998E-2</v>
      </c>
      <c r="O12" s="2"/>
      <c r="P12" s="153"/>
      <c r="Q12" s="154">
        <f>+E40</f>
        <v>0.04</v>
      </c>
      <c r="R12" s="154"/>
      <c r="S12" s="152"/>
      <c r="T12" s="2"/>
      <c r="U12" s="35"/>
      <c r="V12" s="35"/>
      <c r="W12" s="35"/>
      <c r="X12" s="35"/>
      <c r="Y12" s="35"/>
      <c r="Z12" s="35"/>
      <c r="AA12" s="35"/>
      <c r="AB12" s="2"/>
      <c r="AC12" s="169"/>
      <c r="AD12" s="2"/>
      <c r="AE12" s="35"/>
      <c r="AF12" s="35"/>
      <c r="AG12" s="2"/>
      <c r="AH12" s="2"/>
      <c r="AJ12" s="2"/>
      <c r="AL12" s="2"/>
      <c r="AM12" s="2"/>
      <c r="AN12" s="36"/>
      <c r="AO12" s="2"/>
    </row>
    <row r="13" spans="1:56" ht="15" customHeight="1">
      <c r="A13" s="37"/>
      <c r="B13" s="37"/>
      <c r="C13" s="38"/>
      <c r="D13" s="39"/>
      <c r="E13" s="39"/>
      <c r="F13" s="11" t="s">
        <v>0</v>
      </c>
      <c r="G13" s="40"/>
      <c r="H13" s="40"/>
      <c r="I13" s="2"/>
      <c r="J13" s="41"/>
      <c r="K13" s="2"/>
      <c r="L13" s="18">
        <f>+J13/$AO14*1000</f>
        <v>0</v>
      </c>
      <c r="M13" s="2"/>
      <c r="N13" s="41"/>
      <c r="O13" s="2"/>
      <c r="P13" s="155"/>
      <c r="Q13" s="48"/>
      <c r="R13" s="48"/>
      <c r="S13" s="156"/>
      <c r="T13" s="42"/>
      <c r="U13" s="43"/>
      <c r="V13" s="42"/>
      <c r="W13" s="43"/>
      <c r="X13" s="42"/>
      <c r="Y13" s="41"/>
      <c r="Z13" s="18"/>
      <c r="AA13" s="18"/>
      <c r="AB13" s="18"/>
      <c r="AC13" s="48"/>
      <c r="AD13" s="42"/>
      <c r="AE13" s="43"/>
      <c r="AF13" s="42"/>
      <c r="AG13" s="41"/>
      <c r="AH13" s="18"/>
      <c r="AI13" s="18"/>
      <c r="AJ13" s="18"/>
      <c r="AK13" s="18"/>
      <c r="AM13" s="40"/>
      <c r="AN13" s="2"/>
      <c r="AQ13" s="94"/>
      <c r="AR13" s="94"/>
      <c r="AS13" s="94"/>
      <c r="AT13" s="94"/>
      <c r="AU13" s="94"/>
      <c r="AW13" s="40">
        <v>2014</v>
      </c>
      <c r="AX13" s="40">
        <v>2015</v>
      </c>
      <c r="AZ13" s="3">
        <v>0</v>
      </c>
      <c r="BA13" s="131">
        <f>AZ13</f>
        <v>0</v>
      </c>
      <c r="BB13" s="131">
        <f>AU13+AZ13</f>
        <v>0</v>
      </c>
      <c r="BC13" s="131">
        <f>BB13-BA13</f>
        <v>0</v>
      </c>
      <c r="BD13" s="131">
        <f>IF(BC13&lt;0,0,BC13)</f>
        <v>0</v>
      </c>
    </row>
    <row r="14" spans="1:56" ht="15" customHeight="1">
      <c r="A14" s="37"/>
      <c r="B14" s="37"/>
      <c r="C14" s="38"/>
      <c r="D14" s="39"/>
      <c r="E14" s="39"/>
      <c r="F14" s="11"/>
      <c r="G14" s="40">
        <v>2015</v>
      </c>
      <c r="H14" s="40">
        <v>2016</v>
      </c>
      <c r="I14" s="2"/>
      <c r="J14" s="223">
        <v>600000</v>
      </c>
      <c r="K14" s="2"/>
      <c r="L14" s="18">
        <f>+J14/AO14*1000</f>
        <v>0.89353629160344805</v>
      </c>
      <c r="M14" s="2"/>
      <c r="N14" s="41"/>
      <c r="O14" s="2"/>
      <c r="P14" s="155"/>
      <c r="Q14" s="48"/>
      <c r="R14" s="48"/>
      <c r="S14" s="156"/>
      <c r="T14" s="42"/>
      <c r="U14" s="43"/>
      <c r="V14" s="42"/>
      <c r="W14" s="43"/>
      <c r="X14" s="42"/>
      <c r="Y14" s="41"/>
      <c r="Z14" s="18"/>
      <c r="AA14" s="18"/>
      <c r="AB14" s="18"/>
      <c r="AC14" s="48">
        <f t="shared" ref="AC14:AC34" si="0">J14+S14</f>
        <v>600000</v>
      </c>
      <c r="AD14" s="42"/>
      <c r="AE14" s="43">
        <f t="shared" ref="AE14:AE35" si="1">IF(BD13&lt;0,-BD13*$S$45,(IF($Q$43&gt;BD13,-BD13*$Q$44,-$Q$43*$Q$44+(BD13-$Q$43)*-$S$45)))</f>
        <v>0</v>
      </c>
      <c r="AF14" s="42"/>
      <c r="AG14" s="223">
        <f t="shared" ref="AG14:AG17" si="2">J14+S14+AE14</f>
        <v>600000</v>
      </c>
      <c r="AH14" s="18"/>
      <c r="AI14" s="18">
        <f t="shared" ref="AI14:AI34" si="3">+AG14/$AO14*1000</f>
        <v>0.89353629160344805</v>
      </c>
      <c r="AJ14" s="18"/>
      <c r="AK14" s="18">
        <f t="shared" ref="AK14:AK33" si="4">+AG14/$AO14*1000</f>
        <v>0.89353629160344805</v>
      </c>
      <c r="AM14" s="40">
        <v>2016</v>
      </c>
      <c r="AN14" s="2"/>
      <c r="AO14" s="44">
        <v>671489234</v>
      </c>
      <c r="AQ14" s="94"/>
      <c r="AR14" s="94"/>
      <c r="AS14" s="94"/>
      <c r="AT14" s="94"/>
      <c r="AU14" s="94">
        <f t="shared" ref="AU14:AU34" si="5">SUM(AQ14:AT14)</f>
        <v>0</v>
      </c>
      <c r="AW14" s="40">
        <v>2015</v>
      </c>
      <c r="AX14" s="40">
        <v>2016</v>
      </c>
      <c r="AZ14" s="131">
        <v>600000</v>
      </c>
      <c r="BA14" s="131">
        <f>$AZ$13</f>
        <v>0</v>
      </c>
      <c r="BB14" s="131">
        <f>AU14+AZ14</f>
        <v>600000</v>
      </c>
      <c r="BC14" s="131">
        <f>BB14-BA14</f>
        <v>600000</v>
      </c>
      <c r="BD14" s="131">
        <f>IF(BC14&lt;0,0,BC14)</f>
        <v>600000</v>
      </c>
    </row>
    <row r="15" spans="1:56">
      <c r="A15" s="37">
        <v>0.04</v>
      </c>
      <c r="B15" s="37">
        <f t="shared" ref="B15:B34" si="6">-B$10*A15</f>
        <v>0</v>
      </c>
      <c r="C15" s="38">
        <f>6/12</f>
        <v>0.5</v>
      </c>
      <c r="D15" s="39">
        <f t="shared" ref="D15:D34" si="7">+P15*C15/1000</f>
        <v>140</v>
      </c>
      <c r="E15" s="39">
        <f>+D15*(A15+B15)*1000</f>
        <v>5600.0000000000009</v>
      </c>
      <c r="F15" s="11" t="s">
        <v>0</v>
      </c>
      <c r="G15" s="40">
        <v>2016</v>
      </c>
      <c r="H15" s="40">
        <v>2017</v>
      </c>
      <c r="I15" s="2"/>
      <c r="J15" s="41"/>
      <c r="K15" s="2"/>
      <c r="L15" s="18">
        <f t="shared" ref="L15:L33" si="8">+J15/$AO15*1000</f>
        <v>0</v>
      </c>
      <c r="M15" s="2"/>
      <c r="N15" s="101">
        <f>N5*N12*12/12</f>
        <v>0</v>
      </c>
      <c r="O15" s="2"/>
      <c r="P15" s="155">
        <v>280000</v>
      </c>
      <c r="Q15" s="48">
        <f>(P15*A15/2)*6/6+(P16*A16/2+Q16)*12/12</f>
        <v>314400</v>
      </c>
      <c r="R15" s="48">
        <f t="shared" ref="R15:R34" si="9">-B$10*Q15</f>
        <v>0</v>
      </c>
      <c r="S15" s="156">
        <f>+P15+Q15+R15</f>
        <v>594400</v>
      </c>
      <c r="T15" s="42"/>
      <c r="U15" s="43"/>
      <c r="V15" s="42"/>
      <c r="W15" s="43"/>
      <c r="X15" s="42"/>
      <c r="Y15" s="41">
        <f t="shared" ref="Y15:Y35" si="10">+S15+U15+W15</f>
        <v>594400</v>
      </c>
      <c r="Z15" s="18"/>
      <c r="AA15" s="18">
        <f t="shared" ref="AA15:AA34" si="11">+Y15/$AO15*1000</f>
        <v>0.88519661954848261</v>
      </c>
      <c r="AB15" s="18"/>
      <c r="AC15" s="48">
        <f t="shared" si="0"/>
        <v>594400</v>
      </c>
      <c r="AD15" s="42"/>
      <c r="AE15" s="43">
        <f t="shared" si="1"/>
        <v>-277260</v>
      </c>
      <c r="AF15" s="42"/>
      <c r="AG15" s="190">
        <f t="shared" si="2"/>
        <v>317140</v>
      </c>
      <c r="AH15" s="18"/>
      <c r="AI15" s="18">
        <f t="shared" si="3"/>
        <v>0.47229349919852925</v>
      </c>
      <c r="AJ15" s="18"/>
      <c r="AK15" s="18">
        <f t="shared" si="4"/>
        <v>0.47229349919852925</v>
      </c>
      <c r="AM15" s="40">
        <f t="shared" ref="AM15:AM35" si="12">H15</f>
        <v>2017</v>
      </c>
      <c r="AN15" s="2"/>
      <c r="AO15" s="39">
        <f>AO14*(1+AP15)</f>
        <v>671489234</v>
      </c>
      <c r="AP15" s="45">
        <v>0</v>
      </c>
      <c r="AQ15" s="94">
        <f t="shared" ref="AQ15:AQ34" si="13">P15</f>
        <v>280000</v>
      </c>
      <c r="AR15" s="94">
        <f>(AR16+AQ15*A15)*6/12</f>
        <v>160000</v>
      </c>
      <c r="AS15" s="41">
        <f t="shared" ref="AS15:AS34" si="14">-B$10*AR15</f>
        <v>0</v>
      </c>
      <c r="AT15" s="94"/>
      <c r="AU15" s="94">
        <f t="shared" si="5"/>
        <v>440000</v>
      </c>
      <c r="AW15" s="40">
        <f t="shared" ref="AW15:AX35" si="15">G15</f>
        <v>2016</v>
      </c>
      <c r="AX15" s="40">
        <f t="shared" si="15"/>
        <v>2017</v>
      </c>
      <c r="AZ15" s="131"/>
      <c r="BA15" s="131">
        <f t="shared" ref="BA15:BA34" si="16">$AZ$13</f>
        <v>0</v>
      </c>
      <c r="BB15" s="131">
        <f t="shared" ref="BB15:BB34" si="17">AU15+AZ15</f>
        <v>440000</v>
      </c>
      <c r="BC15" s="131">
        <f t="shared" ref="BC15:BC34" si="18">BB15-BA15</f>
        <v>440000</v>
      </c>
      <c r="BD15" s="131">
        <f t="shared" ref="BD15:BD34" si="19">IF(BC15&lt;0,0,BC15)</f>
        <v>440000</v>
      </c>
    </row>
    <row r="16" spans="1:56">
      <c r="A16" s="37">
        <f>A15</f>
        <v>0.04</v>
      </c>
      <c r="B16" s="37">
        <f t="shared" si="6"/>
        <v>0</v>
      </c>
      <c r="C16" s="38">
        <f>+C15+1</f>
        <v>1.5</v>
      </c>
      <c r="D16" s="39">
        <f t="shared" si="7"/>
        <v>322.5</v>
      </c>
      <c r="E16" s="39">
        <f t="shared" ref="E16:E34" si="20">+D16*(A16+B16)*1000</f>
        <v>12900</v>
      </c>
      <c r="F16" s="11" t="s">
        <v>0</v>
      </c>
      <c r="G16" s="40">
        <f t="shared" ref="G16:G34" si="21">+G15+1</f>
        <v>2017</v>
      </c>
      <c r="H16" s="40">
        <f t="shared" ref="H16:H34" si="22">H15+1</f>
        <v>2018</v>
      </c>
      <c r="I16" s="2"/>
      <c r="J16" s="41"/>
      <c r="K16" s="2"/>
      <c r="L16" s="18">
        <f t="shared" si="8"/>
        <v>0</v>
      </c>
      <c r="M16" s="2"/>
      <c r="N16" s="46"/>
      <c r="O16" s="2"/>
      <c r="P16" s="155">
        <v>215000</v>
      </c>
      <c r="Q16" s="48">
        <f t="shared" ref="Q16:Q33" si="23">(P16*A16/2)+(P17*A17/2+Q17)</f>
        <v>304500</v>
      </c>
      <c r="R16" s="48">
        <f t="shared" si="9"/>
        <v>0</v>
      </c>
      <c r="S16" s="156">
        <f t="shared" ref="S16:S34" si="24">+P16+Q16+R16</f>
        <v>519500</v>
      </c>
      <c r="T16" s="42"/>
      <c r="U16" s="43"/>
      <c r="V16" s="42"/>
      <c r="W16" s="43"/>
      <c r="X16" s="42"/>
      <c r="Y16" s="41">
        <f t="shared" si="10"/>
        <v>519500</v>
      </c>
      <c r="Z16" s="18"/>
      <c r="AA16" s="18">
        <f t="shared" si="11"/>
        <v>0.77365350581331882</v>
      </c>
      <c r="AB16" s="18"/>
      <c r="AC16" s="48">
        <f t="shared" si="0"/>
        <v>519500</v>
      </c>
      <c r="AD16" s="42"/>
      <c r="AE16" s="43">
        <f t="shared" si="1"/>
        <v>-203324</v>
      </c>
      <c r="AF16" s="42"/>
      <c r="AG16" s="190">
        <f t="shared" si="2"/>
        <v>316176</v>
      </c>
      <c r="AH16" s="18"/>
      <c r="AI16" s="18">
        <f t="shared" si="3"/>
        <v>0.47085788422335301</v>
      </c>
      <c r="AJ16" s="18"/>
      <c r="AK16" s="18">
        <f t="shared" si="4"/>
        <v>0.47085788422335301</v>
      </c>
      <c r="AL16" s="18"/>
      <c r="AM16" s="40">
        <f t="shared" si="12"/>
        <v>2018</v>
      </c>
      <c r="AN16" s="2"/>
      <c r="AO16" s="39">
        <f t="shared" ref="AO16:AO34" si="25">AO15*(1+AP16)</f>
        <v>671489234</v>
      </c>
      <c r="AP16" s="47">
        <v>0</v>
      </c>
      <c r="AQ16" s="94">
        <f t="shared" si="13"/>
        <v>215000</v>
      </c>
      <c r="AR16" s="94">
        <f t="shared" ref="AR16:AR34" si="26">(AR17+AQ16*A16)</f>
        <v>308800</v>
      </c>
      <c r="AS16" s="41">
        <f t="shared" si="14"/>
        <v>0</v>
      </c>
      <c r="AT16" s="94"/>
      <c r="AU16" s="94">
        <f t="shared" si="5"/>
        <v>523800</v>
      </c>
      <c r="AW16" s="40">
        <f t="shared" si="15"/>
        <v>2017</v>
      </c>
      <c r="AX16" s="40">
        <f t="shared" si="15"/>
        <v>2018</v>
      </c>
      <c r="AZ16" s="131"/>
      <c r="BA16" s="131">
        <f t="shared" si="16"/>
        <v>0</v>
      </c>
      <c r="BB16" s="131">
        <f t="shared" si="17"/>
        <v>523800</v>
      </c>
      <c r="BC16" s="131">
        <f t="shared" si="18"/>
        <v>523800</v>
      </c>
      <c r="BD16" s="131">
        <f t="shared" si="19"/>
        <v>523800</v>
      </c>
    </row>
    <row r="17" spans="1:56">
      <c r="A17" s="37">
        <f>A16</f>
        <v>0.04</v>
      </c>
      <c r="B17" s="37">
        <f t="shared" si="6"/>
        <v>0</v>
      </c>
      <c r="C17" s="38">
        <f>+C16+1</f>
        <v>2.5</v>
      </c>
      <c r="D17" s="39">
        <f t="shared" si="7"/>
        <v>650</v>
      </c>
      <c r="E17" s="39">
        <f t="shared" si="20"/>
        <v>26000</v>
      </c>
      <c r="F17" s="11" t="s">
        <v>0</v>
      </c>
      <c r="G17" s="40">
        <f t="shared" si="21"/>
        <v>2018</v>
      </c>
      <c r="H17" s="40">
        <f t="shared" si="22"/>
        <v>2019</v>
      </c>
      <c r="I17" s="2"/>
      <c r="J17" s="41"/>
      <c r="K17" s="2"/>
      <c r="L17" s="18">
        <f t="shared" si="8"/>
        <v>0</v>
      </c>
      <c r="M17" s="2"/>
      <c r="N17" s="49"/>
      <c r="O17" s="2"/>
      <c r="P17" s="155">
        <v>260000</v>
      </c>
      <c r="Q17" s="48">
        <f t="shared" si="23"/>
        <v>295000</v>
      </c>
      <c r="R17" s="48">
        <f t="shared" si="9"/>
        <v>0</v>
      </c>
      <c r="S17" s="156">
        <f t="shared" si="24"/>
        <v>555000</v>
      </c>
      <c r="T17" s="42"/>
      <c r="U17" s="43"/>
      <c r="V17" s="42"/>
      <c r="W17" s="43"/>
      <c r="X17" s="42"/>
      <c r="Y17" s="41">
        <f t="shared" si="10"/>
        <v>555000</v>
      </c>
      <c r="Z17" s="18"/>
      <c r="AA17" s="18">
        <f t="shared" si="11"/>
        <v>0.82652106973318951</v>
      </c>
      <c r="AB17" s="18"/>
      <c r="AC17" s="48">
        <f t="shared" si="0"/>
        <v>555000</v>
      </c>
      <c r="AD17" s="42"/>
      <c r="AE17" s="43">
        <f t="shared" si="1"/>
        <v>-242047.98</v>
      </c>
      <c r="AF17" s="42"/>
      <c r="AG17" s="190">
        <f t="shared" si="2"/>
        <v>312952.02</v>
      </c>
      <c r="AH17" s="18"/>
      <c r="AI17" s="18">
        <f t="shared" si="3"/>
        <v>0.46605664566768024</v>
      </c>
      <c r="AJ17" s="18"/>
      <c r="AK17" s="18">
        <f t="shared" si="4"/>
        <v>0.46605664566768024</v>
      </c>
      <c r="AL17" s="18"/>
      <c r="AM17" s="40">
        <f t="shared" si="12"/>
        <v>2019</v>
      </c>
      <c r="AN17" s="2"/>
      <c r="AO17" s="39">
        <f t="shared" si="25"/>
        <v>671489234</v>
      </c>
      <c r="AP17" s="47">
        <f>AP16</f>
        <v>0</v>
      </c>
      <c r="AQ17" s="94">
        <f t="shared" si="13"/>
        <v>260000</v>
      </c>
      <c r="AR17" s="94">
        <f t="shared" si="26"/>
        <v>300200</v>
      </c>
      <c r="AS17" s="41">
        <f t="shared" si="14"/>
        <v>0</v>
      </c>
      <c r="AT17" s="94"/>
      <c r="AU17" s="94">
        <f t="shared" si="5"/>
        <v>560200</v>
      </c>
      <c r="AW17" s="40">
        <f t="shared" si="15"/>
        <v>2018</v>
      </c>
      <c r="AX17" s="40">
        <f t="shared" si="15"/>
        <v>2019</v>
      </c>
      <c r="AZ17" s="131"/>
      <c r="BA17" s="131">
        <f t="shared" si="16"/>
        <v>0</v>
      </c>
      <c r="BB17" s="131">
        <f t="shared" si="17"/>
        <v>560200</v>
      </c>
      <c r="BC17" s="131">
        <f t="shared" si="18"/>
        <v>560200</v>
      </c>
      <c r="BD17" s="131">
        <f t="shared" si="19"/>
        <v>560200</v>
      </c>
    </row>
    <row r="18" spans="1:56">
      <c r="A18" s="37">
        <f t="shared" ref="A18:A34" si="27">A17</f>
        <v>0.04</v>
      </c>
      <c r="B18" s="37">
        <f t="shared" si="6"/>
        <v>0</v>
      </c>
      <c r="C18" s="38">
        <f>+C17+1</f>
        <v>3.5</v>
      </c>
      <c r="D18" s="39">
        <f t="shared" si="7"/>
        <v>1015</v>
      </c>
      <c r="E18" s="39">
        <f t="shared" si="20"/>
        <v>40600</v>
      </c>
      <c r="F18" s="11" t="s">
        <v>0</v>
      </c>
      <c r="G18" s="40">
        <f t="shared" si="21"/>
        <v>2019</v>
      </c>
      <c r="H18" s="40">
        <f t="shared" si="22"/>
        <v>2020</v>
      </c>
      <c r="I18" s="2"/>
      <c r="J18" s="41"/>
      <c r="K18" s="2"/>
      <c r="L18" s="18">
        <f t="shared" si="8"/>
        <v>0</v>
      </c>
      <c r="M18" s="2"/>
      <c r="N18" s="49"/>
      <c r="O18" s="2"/>
      <c r="P18" s="155">
        <v>290000</v>
      </c>
      <c r="Q18" s="48">
        <f t="shared" si="23"/>
        <v>284000</v>
      </c>
      <c r="R18" s="48">
        <f t="shared" si="9"/>
        <v>0</v>
      </c>
      <c r="S18" s="156">
        <f t="shared" si="24"/>
        <v>574000</v>
      </c>
      <c r="T18" s="42"/>
      <c r="U18" s="43"/>
      <c r="V18" s="42"/>
      <c r="W18" s="43"/>
      <c r="X18" s="42"/>
      <c r="Y18" s="41">
        <f t="shared" si="10"/>
        <v>574000</v>
      </c>
      <c r="Z18" s="18"/>
      <c r="AA18" s="18">
        <f t="shared" si="11"/>
        <v>0.85481638563396545</v>
      </c>
      <c r="AB18" s="18"/>
      <c r="AC18" s="48">
        <f t="shared" si="0"/>
        <v>574000</v>
      </c>
      <c r="AD18" s="42"/>
      <c r="AE18" s="43">
        <f t="shared" si="1"/>
        <v>-258868.42</v>
      </c>
      <c r="AF18" s="42"/>
      <c r="AG18" s="190">
        <f>J18+S18+AE18</f>
        <v>315131.57999999996</v>
      </c>
      <c r="AH18" s="18"/>
      <c r="AI18" s="18">
        <f t="shared" si="3"/>
        <v>0.46930250560055881</v>
      </c>
      <c r="AJ18" s="18"/>
      <c r="AK18" s="18">
        <f t="shared" si="4"/>
        <v>0.46930250560055881</v>
      </c>
      <c r="AL18" s="18"/>
      <c r="AM18" s="40">
        <f t="shared" si="12"/>
        <v>2020</v>
      </c>
      <c r="AN18" s="2"/>
      <c r="AO18" s="39">
        <f t="shared" si="25"/>
        <v>671489234</v>
      </c>
      <c r="AP18" s="47">
        <f t="shared" ref="AP18:AP34" si="28">+AP17</f>
        <v>0</v>
      </c>
      <c r="AQ18" s="94">
        <f t="shared" si="13"/>
        <v>290000</v>
      </c>
      <c r="AR18" s="94">
        <f t="shared" si="26"/>
        <v>289800</v>
      </c>
      <c r="AS18" s="41">
        <f t="shared" si="14"/>
        <v>0</v>
      </c>
      <c r="AT18" s="94"/>
      <c r="AU18" s="94">
        <f t="shared" si="5"/>
        <v>579800</v>
      </c>
      <c r="AW18" s="40">
        <f t="shared" si="15"/>
        <v>2019</v>
      </c>
      <c r="AX18" s="40">
        <f t="shared" si="15"/>
        <v>2020</v>
      </c>
      <c r="AZ18" s="131"/>
      <c r="BA18" s="131">
        <f t="shared" si="16"/>
        <v>0</v>
      </c>
      <c r="BB18" s="131">
        <f t="shared" si="17"/>
        <v>579800</v>
      </c>
      <c r="BC18" s="131">
        <f t="shared" si="18"/>
        <v>579800</v>
      </c>
      <c r="BD18" s="131">
        <f t="shared" si="19"/>
        <v>579800</v>
      </c>
    </row>
    <row r="19" spans="1:56">
      <c r="A19" s="37">
        <f t="shared" si="27"/>
        <v>0.04</v>
      </c>
      <c r="B19" s="37">
        <f t="shared" si="6"/>
        <v>0</v>
      </c>
      <c r="C19" s="38">
        <f>+C18+1</f>
        <v>4.5</v>
      </c>
      <c r="D19" s="39">
        <f t="shared" si="7"/>
        <v>1395</v>
      </c>
      <c r="E19" s="39">
        <f t="shared" si="20"/>
        <v>55800.000000000007</v>
      </c>
      <c r="F19" s="11" t="s">
        <v>0</v>
      </c>
      <c r="G19" s="40">
        <f t="shared" si="21"/>
        <v>2020</v>
      </c>
      <c r="H19" s="40">
        <f t="shared" si="22"/>
        <v>2021</v>
      </c>
      <c r="I19" s="2"/>
      <c r="J19" s="41"/>
      <c r="K19" s="2"/>
      <c r="L19" s="18">
        <f t="shared" si="8"/>
        <v>0</v>
      </c>
      <c r="M19" s="2"/>
      <c r="N19" s="49"/>
      <c r="O19" s="2"/>
      <c r="P19" s="155">
        <v>310000</v>
      </c>
      <c r="Q19" s="48">
        <f t="shared" si="23"/>
        <v>272000</v>
      </c>
      <c r="R19" s="48">
        <f t="shared" si="9"/>
        <v>0</v>
      </c>
      <c r="S19" s="156">
        <f t="shared" si="24"/>
        <v>582000</v>
      </c>
      <c r="T19" s="42"/>
      <c r="U19" s="43"/>
      <c r="V19" s="42"/>
      <c r="W19" s="43"/>
      <c r="X19" s="42"/>
      <c r="Y19" s="41">
        <f t="shared" si="10"/>
        <v>582000</v>
      </c>
      <c r="Z19" s="18"/>
      <c r="AA19" s="18">
        <f t="shared" si="11"/>
        <v>0.86673020285534463</v>
      </c>
      <c r="AB19" s="18"/>
      <c r="AC19" s="48">
        <f t="shared" si="0"/>
        <v>582000</v>
      </c>
      <c r="AD19" s="42"/>
      <c r="AE19" s="43">
        <f t="shared" si="1"/>
        <v>-267925.58</v>
      </c>
      <c r="AF19" s="42"/>
      <c r="AG19" s="190">
        <f t="shared" ref="AG19:AG35" si="29">J19+S19+AE19</f>
        <v>314074.42</v>
      </c>
      <c r="AH19" s="18"/>
      <c r="AI19" s="18">
        <f t="shared" si="3"/>
        <v>0.46772815422383968</v>
      </c>
      <c r="AJ19" s="18"/>
      <c r="AK19" s="18">
        <f t="shared" si="4"/>
        <v>0.46772815422383968</v>
      </c>
      <c r="AL19" s="18"/>
      <c r="AM19" s="40">
        <f t="shared" si="12"/>
        <v>2021</v>
      </c>
      <c r="AN19" s="2"/>
      <c r="AO19" s="39">
        <f t="shared" si="25"/>
        <v>671489234</v>
      </c>
      <c r="AP19" s="47">
        <f t="shared" si="28"/>
        <v>0</v>
      </c>
      <c r="AQ19" s="94">
        <f t="shared" si="13"/>
        <v>310000</v>
      </c>
      <c r="AR19" s="94">
        <f t="shared" si="26"/>
        <v>278200</v>
      </c>
      <c r="AS19" s="41">
        <f t="shared" si="14"/>
        <v>0</v>
      </c>
      <c r="AT19" s="94"/>
      <c r="AU19" s="94">
        <f t="shared" si="5"/>
        <v>588200</v>
      </c>
      <c r="AW19" s="40">
        <f t="shared" si="15"/>
        <v>2020</v>
      </c>
      <c r="AX19" s="40">
        <f t="shared" si="15"/>
        <v>2021</v>
      </c>
      <c r="AZ19" s="131"/>
      <c r="BA19" s="131">
        <f t="shared" si="16"/>
        <v>0</v>
      </c>
      <c r="BB19" s="131">
        <f t="shared" si="17"/>
        <v>588200</v>
      </c>
      <c r="BC19" s="131">
        <f t="shared" si="18"/>
        <v>588200</v>
      </c>
      <c r="BD19" s="131">
        <f t="shared" si="19"/>
        <v>588200</v>
      </c>
    </row>
    <row r="20" spans="1:56">
      <c r="A20" s="37">
        <f t="shared" si="27"/>
        <v>0.04</v>
      </c>
      <c r="B20" s="37">
        <f t="shared" si="6"/>
        <v>0</v>
      </c>
      <c r="C20" s="38">
        <f t="shared" ref="C20:C34" si="30">+C19+1</f>
        <v>5.5</v>
      </c>
      <c r="D20" s="39">
        <f t="shared" si="7"/>
        <v>1815</v>
      </c>
      <c r="E20" s="39">
        <f t="shared" si="20"/>
        <v>72600.000000000015</v>
      </c>
      <c r="F20" s="11" t="s">
        <v>0</v>
      </c>
      <c r="G20" s="40">
        <f t="shared" si="21"/>
        <v>2021</v>
      </c>
      <c r="H20" s="40">
        <f t="shared" si="22"/>
        <v>2022</v>
      </c>
      <c r="I20" s="2"/>
      <c r="J20" s="41"/>
      <c r="K20" s="2"/>
      <c r="L20" s="18">
        <f t="shared" si="8"/>
        <v>0</v>
      </c>
      <c r="M20" s="2"/>
      <c r="N20" s="49"/>
      <c r="O20" s="2"/>
      <c r="P20" s="155">
        <v>330000</v>
      </c>
      <c r="Q20" s="48">
        <f t="shared" si="23"/>
        <v>259200</v>
      </c>
      <c r="R20" s="48">
        <f t="shared" si="9"/>
        <v>0</v>
      </c>
      <c r="S20" s="156">
        <f t="shared" si="24"/>
        <v>589200</v>
      </c>
      <c r="T20" s="42"/>
      <c r="U20" s="43"/>
      <c r="V20" s="42"/>
      <c r="W20" s="43"/>
      <c r="X20" s="42"/>
      <c r="Y20" s="41">
        <f t="shared" si="10"/>
        <v>589200</v>
      </c>
      <c r="Z20" s="18"/>
      <c r="AA20" s="18">
        <f t="shared" si="11"/>
        <v>0.87745263835458598</v>
      </c>
      <c r="AB20" s="18"/>
      <c r="AC20" s="48">
        <f t="shared" si="0"/>
        <v>589200</v>
      </c>
      <c r="AD20" s="42"/>
      <c r="AE20" s="43">
        <f t="shared" si="1"/>
        <v>-271807.22000000003</v>
      </c>
      <c r="AF20" s="42"/>
      <c r="AG20" s="190">
        <f t="shared" si="29"/>
        <v>317392.77999999997</v>
      </c>
      <c r="AH20" s="18"/>
      <c r="AI20" s="18">
        <f t="shared" si="3"/>
        <v>0.47266994603818169</v>
      </c>
      <c r="AJ20" s="18"/>
      <c r="AK20" s="18">
        <f t="shared" si="4"/>
        <v>0.47266994603818169</v>
      </c>
      <c r="AL20" s="18"/>
      <c r="AM20" s="40">
        <f t="shared" si="12"/>
        <v>2022</v>
      </c>
      <c r="AN20" s="2"/>
      <c r="AO20" s="39">
        <f t="shared" si="25"/>
        <v>671489234</v>
      </c>
      <c r="AP20" s="47">
        <f t="shared" si="28"/>
        <v>0</v>
      </c>
      <c r="AQ20" s="94">
        <f t="shared" si="13"/>
        <v>330000</v>
      </c>
      <c r="AR20" s="94">
        <f t="shared" si="26"/>
        <v>265800</v>
      </c>
      <c r="AS20" s="41">
        <f t="shared" si="14"/>
        <v>0</v>
      </c>
      <c r="AT20" s="94"/>
      <c r="AU20" s="94">
        <f t="shared" si="5"/>
        <v>595800</v>
      </c>
      <c r="AW20" s="40">
        <f t="shared" si="15"/>
        <v>2021</v>
      </c>
      <c r="AX20" s="40">
        <f t="shared" si="15"/>
        <v>2022</v>
      </c>
      <c r="AZ20" s="131"/>
      <c r="BA20" s="131">
        <f t="shared" si="16"/>
        <v>0</v>
      </c>
      <c r="BB20" s="131">
        <f t="shared" si="17"/>
        <v>595800</v>
      </c>
      <c r="BC20" s="131">
        <f t="shared" si="18"/>
        <v>595800</v>
      </c>
      <c r="BD20" s="131">
        <f t="shared" si="19"/>
        <v>595800</v>
      </c>
    </row>
    <row r="21" spans="1:56">
      <c r="A21" s="37">
        <f t="shared" si="27"/>
        <v>0.04</v>
      </c>
      <c r="B21" s="37">
        <f t="shared" si="6"/>
        <v>0</v>
      </c>
      <c r="C21" s="38">
        <f t="shared" si="30"/>
        <v>6.5</v>
      </c>
      <c r="D21" s="39">
        <f t="shared" si="7"/>
        <v>2242.5</v>
      </c>
      <c r="E21" s="39">
        <f t="shared" si="20"/>
        <v>89700</v>
      </c>
      <c r="F21" s="11" t="s">
        <v>0</v>
      </c>
      <c r="G21" s="40">
        <f t="shared" si="21"/>
        <v>2022</v>
      </c>
      <c r="H21" s="40">
        <f t="shared" si="22"/>
        <v>2023</v>
      </c>
      <c r="I21" s="2"/>
      <c r="J21" s="41"/>
      <c r="K21" s="2"/>
      <c r="L21" s="18">
        <f t="shared" si="8"/>
        <v>0</v>
      </c>
      <c r="M21" s="2"/>
      <c r="N21" s="49"/>
      <c r="O21" s="2"/>
      <c r="P21" s="155">
        <v>345000</v>
      </c>
      <c r="Q21" s="48">
        <f t="shared" si="23"/>
        <v>245700</v>
      </c>
      <c r="R21" s="48">
        <f t="shared" si="9"/>
        <v>0</v>
      </c>
      <c r="S21" s="156">
        <f t="shared" si="24"/>
        <v>590700</v>
      </c>
      <c r="T21" s="42"/>
      <c r="U21" s="43"/>
      <c r="V21" s="42"/>
      <c r="W21" s="43"/>
      <c r="X21" s="42"/>
      <c r="Y21" s="41">
        <f t="shared" si="10"/>
        <v>590700</v>
      </c>
      <c r="Z21" s="18"/>
      <c r="AA21" s="18">
        <f t="shared" si="11"/>
        <v>0.87968647908359465</v>
      </c>
      <c r="AB21" s="18"/>
      <c r="AC21" s="48">
        <f t="shared" si="0"/>
        <v>590700</v>
      </c>
      <c r="AD21" s="42"/>
      <c r="AE21" s="43">
        <f t="shared" si="1"/>
        <v>-275319.18</v>
      </c>
      <c r="AF21" s="42"/>
      <c r="AG21" s="190">
        <f t="shared" si="29"/>
        <v>315380.82</v>
      </c>
      <c r="AH21" s="18"/>
      <c r="AI21" s="18">
        <f t="shared" si="3"/>
        <v>0.46967368057609099</v>
      </c>
      <c r="AJ21" s="18"/>
      <c r="AK21" s="18">
        <f t="shared" si="4"/>
        <v>0.46967368057609099</v>
      </c>
      <c r="AL21" s="18"/>
      <c r="AM21" s="40">
        <f t="shared" si="12"/>
        <v>2023</v>
      </c>
      <c r="AN21" s="2"/>
      <c r="AO21" s="39">
        <f t="shared" si="25"/>
        <v>671489234</v>
      </c>
      <c r="AP21" s="47">
        <f t="shared" si="28"/>
        <v>0</v>
      </c>
      <c r="AQ21" s="94">
        <f t="shared" si="13"/>
        <v>345000</v>
      </c>
      <c r="AR21" s="94">
        <f t="shared" si="26"/>
        <v>252600</v>
      </c>
      <c r="AS21" s="41">
        <f t="shared" si="14"/>
        <v>0</v>
      </c>
      <c r="AT21" s="94"/>
      <c r="AU21" s="94">
        <f t="shared" si="5"/>
        <v>597600</v>
      </c>
      <c r="AW21" s="40">
        <f t="shared" si="15"/>
        <v>2022</v>
      </c>
      <c r="AX21" s="40">
        <f t="shared" si="15"/>
        <v>2023</v>
      </c>
      <c r="AZ21" s="131"/>
      <c r="BA21" s="131">
        <f t="shared" si="16"/>
        <v>0</v>
      </c>
      <c r="BB21" s="131">
        <f t="shared" si="17"/>
        <v>597600</v>
      </c>
      <c r="BC21" s="131">
        <f t="shared" si="18"/>
        <v>597600</v>
      </c>
      <c r="BD21" s="131">
        <f t="shared" si="19"/>
        <v>597600</v>
      </c>
    </row>
    <row r="22" spans="1:56">
      <c r="A22" s="37">
        <f t="shared" si="27"/>
        <v>0.04</v>
      </c>
      <c r="B22" s="37">
        <f t="shared" si="6"/>
        <v>0</v>
      </c>
      <c r="C22" s="38">
        <f t="shared" si="30"/>
        <v>7.5</v>
      </c>
      <c r="D22" s="39">
        <f t="shared" si="7"/>
        <v>2662.5</v>
      </c>
      <c r="E22" s="39">
        <f t="shared" si="20"/>
        <v>106500</v>
      </c>
      <c r="F22" s="11" t="s">
        <v>0</v>
      </c>
      <c r="G22" s="40">
        <f t="shared" si="21"/>
        <v>2023</v>
      </c>
      <c r="H22" s="40">
        <f t="shared" si="22"/>
        <v>2024</v>
      </c>
      <c r="I22" s="2"/>
      <c r="J22" s="41"/>
      <c r="K22" s="2"/>
      <c r="L22" s="18">
        <f t="shared" si="8"/>
        <v>0</v>
      </c>
      <c r="M22" s="2"/>
      <c r="N22" s="49"/>
      <c r="O22" s="2"/>
      <c r="P22" s="155">
        <v>355000</v>
      </c>
      <c r="Q22" s="48">
        <f t="shared" si="23"/>
        <v>231700</v>
      </c>
      <c r="R22" s="48">
        <f t="shared" si="9"/>
        <v>0</v>
      </c>
      <c r="S22" s="156">
        <f t="shared" si="24"/>
        <v>586700</v>
      </c>
      <c r="T22" s="42"/>
      <c r="U22" s="43"/>
      <c r="V22" s="42"/>
      <c r="W22" s="43"/>
      <c r="X22" s="42"/>
      <c r="Y22" s="41">
        <f t="shared" si="10"/>
        <v>586700</v>
      </c>
      <c r="Z22" s="18"/>
      <c r="AA22" s="18">
        <f t="shared" si="11"/>
        <v>0.873729570472905</v>
      </c>
      <c r="AB22" s="18"/>
      <c r="AC22" s="48">
        <f t="shared" si="0"/>
        <v>586700</v>
      </c>
      <c r="AD22" s="42"/>
      <c r="AE22" s="43">
        <f t="shared" si="1"/>
        <v>-276150.96000000002</v>
      </c>
      <c r="AF22" s="42"/>
      <c r="AG22" s="190">
        <f t="shared" si="29"/>
        <v>310549.03999999998</v>
      </c>
      <c r="AH22" s="18"/>
      <c r="AI22" s="18">
        <f t="shared" si="3"/>
        <v>0.46247806260435143</v>
      </c>
      <c r="AJ22" s="18"/>
      <c r="AK22" s="18">
        <f t="shared" si="4"/>
        <v>0.46247806260435143</v>
      </c>
      <c r="AL22" s="18"/>
      <c r="AM22" s="40">
        <f t="shared" si="12"/>
        <v>2024</v>
      </c>
      <c r="AN22" s="2"/>
      <c r="AO22" s="39">
        <f t="shared" si="25"/>
        <v>671489234</v>
      </c>
      <c r="AP22" s="47">
        <f t="shared" si="28"/>
        <v>0</v>
      </c>
      <c r="AQ22" s="94">
        <f t="shared" si="13"/>
        <v>355000</v>
      </c>
      <c r="AR22" s="94">
        <f t="shared" si="26"/>
        <v>238800</v>
      </c>
      <c r="AS22" s="41">
        <f t="shared" si="14"/>
        <v>0</v>
      </c>
      <c r="AT22" s="94"/>
      <c r="AU22" s="94">
        <f t="shared" si="5"/>
        <v>593800</v>
      </c>
      <c r="AW22" s="40">
        <f t="shared" si="15"/>
        <v>2023</v>
      </c>
      <c r="AX22" s="40">
        <f t="shared" si="15"/>
        <v>2024</v>
      </c>
      <c r="AZ22" s="131"/>
      <c r="BA22" s="131">
        <f t="shared" si="16"/>
        <v>0</v>
      </c>
      <c r="BB22" s="131">
        <f t="shared" si="17"/>
        <v>593800</v>
      </c>
      <c r="BC22" s="131">
        <f t="shared" si="18"/>
        <v>593800</v>
      </c>
      <c r="BD22" s="131">
        <f t="shared" si="19"/>
        <v>593800</v>
      </c>
    </row>
    <row r="23" spans="1:56">
      <c r="A23" s="37">
        <f t="shared" si="27"/>
        <v>0.04</v>
      </c>
      <c r="B23" s="37">
        <f t="shared" si="6"/>
        <v>0</v>
      </c>
      <c r="C23" s="38">
        <f t="shared" si="30"/>
        <v>8.5</v>
      </c>
      <c r="D23" s="39">
        <f t="shared" si="7"/>
        <v>3145</v>
      </c>
      <c r="E23" s="39">
        <f t="shared" si="20"/>
        <v>125800</v>
      </c>
      <c r="F23" s="11" t="s">
        <v>0</v>
      </c>
      <c r="G23" s="40">
        <f t="shared" si="21"/>
        <v>2024</v>
      </c>
      <c r="H23" s="40">
        <f t="shared" si="22"/>
        <v>2025</v>
      </c>
      <c r="I23" s="2"/>
      <c r="J23" s="41"/>
      <c r="K23" s="2"/>
      <c r="L23" s="18">
        <f t="shared" si="8"/>
        <v>0</v>
      </c>
      <c r="M23" s="2"/>
      <c r="N23" s="49"/>
      <c r="O23" s="2"/>
      <c r="P23" s="155">
        <v>370000</v>
      </c>
      <c r="Q23" s="48">
        <f t="shared" si="23"/>
        <v>217200</v>
      </c>
      <c r="R23" s="48">
        <f t="shared" si="9"/>
        <v>0</v>
      </c>
      <c r="S23" s="156">
        <f t="shared" si="24"/>
        <v>587200</v>
      </c>
      <c r="T23" s="42"/>
      <c r="U23" s="43"/>
      <c r="V23" s="42"/>
      <c r="W23" s="43"/>
      <c r="X23" s="42"/>
      <c r="Y23" s="41">
        <f t="shared" si="10"/>
        <v>587200</v>
      </c>
      <c r="Z23" s="18"/>
      <c r="AA23" s="18">
        <f t="shared" si="11"/>
        <v>0.87447418404924115</v>
      </c>
      <c r="AB23" s="18"/>
      <c r="AC23" s="48">
        <f t="shared" si="0"/>
        <v>587200</v>
      </c>
      <c r="AD23" s="42"/>
      <c r="AE23" s="43">
        <f t="shared" si="1"/>
        <v>-274394.98</v>
      </c>
      <c r="AF23" s="42"/>
      <c r="AG23" s="190">
        <f t="shared" si="29"/>
        <v>312805.02</v>
      </c>
      <c r="AH23" s="18"/>
      <c r="AI23" s="18">
        <f t="shared" si="3"/>
        <v>0.4658377292762374</v>
      </c>
      <c r="AJ23" s="18"/>
      <c r="AK23" s="18">
        <f t="shared" si="4"/>
        <v>0.4658377292762374</v>
      </c>
      <c r="AL23" s="18"/>
      <c r="AM23" s="40">
        <f t="shared" si="12"/>
        <v>2025</v>
      </c>
      <c r="AN23" s="2"/>
      <c r="AO23" s="39">
        <f t="shared" si="25"/>
        <v>671489234</v>
      </c>
      <c r="AP23" s="47">
        <f t="shared" si="28"/>
        <v>0</v>
      </c>
      <c r="AQ23" s="94">
        <f t="shared" si="13"/>
        <v>370000</v>
      </c>
      <c r="AR23" s="94">
        <f t="shared" si="26"/>
        <v>224600</v>
      </c>
      <c r="AS23" s="41">
        <f t="shared" si="14"/>
        <v>0</v>
      </c>
      <c r="AT23" s="94"/>
      <c r="AU23" s="94">
        <f t="shared" si="5"/>
        <v>594600</v>
      </c>
      <c r="AW23" s="40">
        <f t="shared" si="15"/>
        <v>2024</v>
      </c>
      <c r="AX23" s="40">
        <f t="shared" si="15"/>
        <v>2025</v>
      </c>
      <c r="AZ23" s="131"/>
      <c r="BA23" s="131">
        <f t="shared" si="16"/>
        <v>0</v>
      </c>
      <c r="BB23" s="131">
        <f t="shared" si="17"/>
        <v>594600</v>
      </c>
      <c r="BC23" s="131">
        <f t="shared" si="18"/>
        <v>594600</v>
      </c>
      <c r="BD23" s="131">
        <f t="shared" si="19"/>
        <v>594600</v>
      </c>
    </row>
    <row r="24" spans="1:56">
      <c r="A24" s="37">
        <f t="shared" si="27"/>
        <v>0.04</v>
      </c>
      <c r="B24" s="37">
        <f t="shared" si="6"/>
        <v>0</v>
      </c>
      <c r="C24" s="38">
        <f t="shared" si="30"/>
        <v>9.5</v>
      </c>
      <c r="D24" s="39">
        <f t="shared" si="7"/>
        <v>3657.5</v>
      </c>
      <c r="E24" s="39">
        <f t="shared" si="20"/>
        <v>146300</v>
      </c>
      <c r="F24" s="11" t="s">
        <v>0</v>
      </c>
      <c r="G24" s="40">
        <f t="shared" si="21"/>
        <v>2025</v>
      </c>
      <c r="H24" s="40">
        <f t="shared" si="22"/>
        <v>2026</v>
      </c>
      <c r="I24" s="2"/>
      <c r="J24" s="41"/>
      <c r="K24" s="2"/>
      <c r="L24" s="18">
        <f t="shared" si="8"/>
        <v>0</v>
      </c>
      <c r="M24" s="2"/>
      <c r="N24" s="41"/>
      <c r="O24" s="2"/>
      <c r="P24" s="155">
        <v>385000</v>
      </c>
      <c r="Q24" s="48">
        <f t="shared" si="23"/>
        <v>202100</v>
      </c>
      <c r="R24" s="48">
        <f t="shared" si="9"/>
        <v>0</v>
      </c>
      <c r="S24" s="156">
        <f t="shared" si="24"/>
        <v>587100</v>
      </c>
      <c r="T24" s="42"/>
      <c r="U24" s="43"/>
      <c r="V24" s="42"/>
      <c r="W24" s="43"/>
      <c r="X24" s="42"/>
      <c r="Y24" s="41">
        <f t="shared" si="10"/>
        <v>587100</v>
      </c>
      <c r="Z24" s="18"/>
      <c r="AA24" s="18">
        <f t="shared" si="11"/>
        <v>0.87432526133397404</v>
      </c>
      <c r="AB24" s="18"/>
      <c r="AC24" s="48">
        <f t="shared" si="0"/>
        <v>587100</v>
      </c>
      <c r="AD24" s="42"/>
      <c r="AE24" s="43">
        <f t="shared" si="1"/>
        <v>-274764.66000000003</v>
      </c>
      <c r="AF24" s="42"/>
      <c r="AG24" s="190">
        <f t="shared" si="29"/>
        <v>312335.33999999997</v>
      </c>
      <c r="AH24" s="18"/>
      <c r="AI24" s="18">
        <f t="shared" si="3"/>
        <v>0.46513826906717015</v>
      </c>
      <c r="AJ24" s="18"/>
      <c r="AK24" s="18">
        <f t="shared" si="4"/>
        <v>0.46513826906717015</v>
      </c>
      <c r="AL24" s="18"/>
      <c r="AM24" s="40">
        <f t="shared" si="12"/>
        <v>2026</v>
      </c>
      <c r="AN24" s="2"/>
      <c r="AO24" s="39">
        <f t="shared" si="25"/>
        <v>671489234</v>
      </c>
      <c r="AP24" s="47">
        <f t="shared" si="28"/>
        <v>0</v>
      </c>
      <c r="AQ24" s="94">
        <f t="shared" si="13"/>
        <v>385000</v>
      </c>
      <c r="AR24" s="94">
        <f t="shared" si="26"/>
        <v>209800</v>
      </c>
      <c r="AS24" s="41">
        <f t="shared" si="14"/>
        <v>0</v>
      </c>
      <c r="AT24" s="94"/>
      <c r="AU24" s="94">
        <f t="shared" si="5"/>
        <v>594800</v>
      </c>
      <c r="AW24" s="40">
        <f t="shared" si="15"/>
        <v>2025</v>
      </c>
      <c r="AX24" s="40">
        <f t="shared" si="15"/>
        <v>2026</v>
      </c>
      <c r="AZ24" s="131"/>
      <c r="BA24" s="131">
        <f t="shared" si="16"/>
        <v>0</v>
      </c>
      <c r="BB24" s="131">
        <f t="shared" si="17"/>
        <v>594800</v>
      </c>
      <c r="BC24" s="131">
        <f t="shared" si="18"/>
        <v>594800</v>
      </c>
      <c r="BD24" s="131">
        <f t="shared" si="19"/>
        <v>594800</v>
      </c>
    </row>
    <row r="25" spans="1:56">
      <c r="A25" s="37">
        <f t="shared" si="27"/>
        <v>0.04</v>
      </c>
      <c r="B25" s="37">
        <f t="shared" si="6"/>
        <v>0</v>
      </c>
      <c r="C25" s="38">
        <f t="shared" si="30"/>
        <v>10.5</v>
      </c>
      <c r="D25" s="39">
        <f t="shared" si="7"/>
        <v>4252.5</v>
      </c>
      <c r="E25" s="39">
        <f t="shared" si="20"/>
        <v>170100</v>
      </c>
      <c r="F25" s="11" t="s">
        <v>0</v>
      </c>
      <c r="G25" s="40">
        <f t="shared" si="21"/>
        <v>2026</v>
      </c>
      <c r="H25" s="40">
        <f t="shared" si="22"/>
        <v>2027</v>
      </c>
      <c r="I25" s="2"/>
      <c r="J25" s="41"/>
      <c r="K25" s="2"/>
      <c r="L25" s="18">
        <f t="shared" si="8"/>
        <v>0</v>
      </c>
      <c r="M25" s="2"/>
      <c r="N25" s="41"/>
      <c r="O25" s="2"/>
      <c r="P25" s="155">
        <v>405000</v>
      </c>
      <c r="Q25" s="48">
        <f t="shared" si="23"/>
        <v>186300</v>
      </c>
      <c r="R25" s="48">
        <f t="shared" si="9"/>
        <v>0</v>
      </c>
      <c r="S25" s="156">
        <f t="shared" si="24"/>
        <v>591300</v>
      </c>
      <c r="T25" s="42"/>
      <c r="U25" s="43"/>
      <c r="V25" s="42"/>
      <c r="W25" s="43"/>
      <c r="X25" s="42"/>
      <c r="Y25" s="41">
        <f t="shared" si="10"/>
        <v>591300</v>
      </c>
      <c r="Z25" s="18"/>
      <c r="AA25" s="18">
        <f t="shared" si="11"/>
        <v>0.88058001537519814</v>
      </c>
      <c r="AB25" s="18"/>
      <c r="AC25" s="48">
        <f t="shared" si="0"/>
        <v>591300</v>
      </c>
      <c r="AD25" s="42"/>
      <c r="AE25" s="43">
        <f t="shared" si="1"/>
        <v>-274857.08</v>
      </c>
      <c r="AF25" s="42"/>
      <c r="AG25" s="190">
        <f t="shared" si="29"/>
        <v>316442.92</v>
      </c>
      <c r="AH25" s="18"/>
      <c r="AI25" s="18">
        <f t="shared" si="3"/>
        <v>0.47125538873494432</v>
      </c>
      <c r="AJ25" s="18"/>
      <c r="AK25" s="18">
        <f t="shared" si="4"/>
        <v>0.47125538873494432</v>
      </c>
      <c r="AL25" s="18"/>
      <c r="AM25" s="40">
        <f t="shared" si="12"/>
        <v>2027</v>
      </c>
      <c r="AN25" s="2"/>
      <c r="AO25" s="39">
        <f t="shared" si="25"/>
        <v>671489234</v>
      </c>
      <c r="AP25" s="47">
        <f t="shared" si="28"/>
        <v>0</v>
      </c>
      <c r="AQ25" s="94">
        <f t="shared" si="13"/>
        <v>405000</v>
      </c>
      <c r="AR25" s="94">
        <f t="shared" si="26"/>
        <v>194400</v>
      </c>
      <c r="AS25" s="41">
        <f t="shared" si="14"/>
        <v>0</v>
      </c>
      <c r="AT25" s="94"/>
      <c r="AU25" s="94">
        <f t="shared" si="5"/>
        <v>599400</v>
      </c>
      <c r="AW25" s="40">
        <f t="shared" si="15"/>
        <v>2026</v>
      </c>
      <c r="AX25" s="40">
        <f t="shared" si="15"/>
        <v>2027</v>
      </c>
      <c r="AZ25" s="131"/>
      <c r="BA25" s="131">
        <f t="shared" si="16"/>
        <v>0</v>
      </c>
      <c r="BB25" s="131">
        <f t="shared" si="17"/>
        <v>599400</v>
      </c>
      <c r="BC25" s="131">
        <f t="shared" si="18"/>
        <v>599400</v>
      </c>
      <c r="BD25" s="131">
        <f t="shared" si="19"/>
        <v>599400</v>
      </c>
    </row>
    <row r="26" spans="1:56">
      <c r="A26" s="37">
        <f t="shared" si="27"/>
        <v>0.04</v>
      </c>
      <c r="B26" s="37">
        <f t="shared" si="6"/>
        <v>0</v>
      </c>
      <c r="C26" s="38">
        <f t="shared" si="30"/>
        <v>11.5</v>
      </c>
      <c r="D26" s="39">
        <f t="shared" si="7"/>
        <v>4830</v>
      </c>
      <c r="E26" s="39">
        <f t="shared" si="20"/>
        <v>193200.00000000003</v>
      </c>
      <c r="F26" s="11" t="s">
        <v>0</v>
      </c>
      <c r="G26" s="40">
        <f t="shared" si="21"/>
        <v>2027</v>
      </c>
      <c r="H26" s="40">
        <f t="shared" si="22"/>
        <v>2028</v>
      </c>
      <c r="I26" s="2"/>
      <c r="J26" s="41"/>
      <c r="K26" s="2"/>
      <c r="L26" s="18">
        <f t="shared" si="8"/>
        <v>0</v>
      </c>
      <c r="M26" s="2"/>
      <c r="N26" s="41"/>
      <c r="O26" s="2"/>
      <c r="P26" s="155">
        <v>420000</v>
      </c>
      <c r="Q26" s="48">
        <f t="shared" si="23"/>
        <v>169800</v>
      </c>
      <c r="R26" s="48">
        <f t="shared" si="9"/>
        <v>0</v>
      </c>
      <c r="S26" s="156">
        <f t="shared" si="24"/>
        <v>589800</v>
      </c>
      <c r="T26" s="42"/>
      <c r="U26" s="43"/>
      <c r="V26" s="42"/>
      <c r="W26" s="43"/>
      <c r="X26" s="42"/>
      <c r="Y26" s="41">
        <f t="shared" si="10"/>
        <v>589800</v>
      </c>
      <c r="Z26" s="18"/>
      <c r="AA26" s="18">
        <f t="shared" si="11"/>
        <v>0.87834617464618947</v>
      </c>
      <c r="AB26" s="18"/>
      <c r="AC26" s="48">
        <f t="shared" si="0"/>
        <v>589800</v>
      </c>
      <c r="AD26" s="42"/>
      <c r="AE26" s="43">
        <f t="shared" si="1"/>
        <v>-276982.74</v>
      </c>
      <c r="AF26" s="42"/>
      <c r="AG26" s="190">
        <f t="shared" si="29"/>
        <v>312817.26</v>
      </c>
      <c r="AH26" s="18"/>
      <c r="AI26" s="18">
        <f t="shared" si="3"/>
        <v>0.46585595741658609</v>
      </c>
      <c r="AJ26" s="18"/>
      <c r="AK26" s="18">
        <f t="shared" si="4"/>
        <v>0.46585595741658609</v>
      </c>
      <c r="AL26" s="18"/>
      <c r="AM26" s="40">
        <f t="shared" si="12"/>
        <v>2028</v>
      </c>
      <c r="AN26" s="2"/>
      <c r="AO26" s="39">
        <f t="shared" si="25"/>
        <v>671489234</v>
      </c>
      <c r="AP26" s="47">
        <f t="shared" si="28"/>
        <v>0</v>
      </c>
      <c r="AQ26" s="94">
        <f t="shared" si="13"/>
        <v>420000</v>
      </c>
      <c r="AR26" s="94">
        <f t="shared" si="26"/>
        <v>178200</v>
      </c>
      <c r="AS26" s="41">
        <f t="shared" si="14"/>
        <v>0</v>
      </c>
      <c r="AT26" s="94"/>
      <c r="AU26" s="94">
        <f t="shared" si="5"/>
        <v>598200</v>
      </c>
      <c r="AW26" s="40">
        <f t="shared" si="15"/>
        <v>2027</v>
      </c>
      <c r="AX26" s="40">
        <f t="shared" si="15"/>
        <v>2028</v>
      </c>
      <c r="AZ26" s="131"/>
      <c r="BA26" s="131">
        <f t="shared" si="16"/>
        <v>0</v>
      </c>
      <c r="BB26" s="131">
        <f t="shared" si="17"/>
        <v>598200</v>
      </c>
      <c r="BC26" s="131">
        <f t="shared" si="18"/>
        <v>598200</v>
      </c>
      <c r="BD26" s="131">
        <f t="shared" si="19"/>
        <v>598200</v>
      </c>
    </row>
    <row r="27" spans="1:56">
      <c r="A27" s="37">
        <f t="shared" si="27"/>
        <v>0.04</v>
      </c>
      <c r="B27" s="37">
        <f t="shared" si="6"/>
        <v>0</v>
      </c>
      <c r="C27" s="38">
        <f t="shared" si="30"/>
        <v>12.5</v>
      </c>
      <c r="D27" s="39">
        <f t="shared" si="7"/>
        <v>5437.5</v>
      </c>
      <c r="E27" s="39">
        <f t="shared" si="20"/>
        <v>217500</v>
      </c>
      <c r="F27" s="11" t="s">
        <v>0</v>
      </c>
      <c r="G27" s="40">
        <f t="shared" si="21"/>
        <v>2028</v>
      </c>
      <c r="H27" s="40">
        <f t="shared" si="22"/>
        <v>2029</v>
      </c>
      <c r="I27" s="2"/>
      <c r="J27" s="41"/>
      <c r="K27" s="2"/>
      <c r="L27" s="18">
        <f t="shared" si="8"/>
        <v>0</v>
      </c>
      <c r="M27" s="2"/>
      <c r="N27" s="41"/>
      <c r="O27" s="2"/>
      <c r="P27" s="155">
        <v>435000</v>
      </c>
      <c r="Q27" s="48">
        <f t="shared" si="23"/>
        <v>152700</v>
      </c>
      <c r="R27" s="48">
        <f t="shared" si="9"/>
        <v>0</v>
      </c>
      <c r="S27" s="156">
        <f t="shared" si="24"/>
        <v>587700</v>
      </c>
      <c r="T27" s="42"/>
      <c r="U27" s="43"/>
      <c r="V27" s="42"/>
      <c r="W27" s="43"/>
      <c r="X27" s="42"/>
      <c r="Y27" s="41">
        <f t="shared" si="10"/>
        <v>587700</v>
      </c>
      <c r="Z27" s="18"/>
      <c r="AA27" s="18">
        <f t="shared" si="11"/>
        <v>0.87521879762557742</v>
      </c>
      <c r="AB27" s="18"/>
      <c r="AC27" s="48">
        <f t="shared" si="0"/>
        <v>587700</v>
      </c>
      <c r="AD27" s="42"/>
      <c r="AE27" s="43">
        <f t="shared" si="1"/>
        <v>-276428.22000000003</v>
      </c>
      <c r="AF27" s="42"/>
      <c r="AG27" s="190">
        <f t="shared" si="29"/>
        <v>311271.77999999997</v>
      </c>
      <c r="AH27" s="18"/>
      <c r="AI27" s="18">
        <f t="shared" si="3"/>
        <v>0.46355438663667387</v>
      </c>
      <c r="AJ27" s="18"/>
      <c r="AK27" s="18">
        <f t="shared" si="4"/>
        <v>0.46355438663667387</v>
      </c>
      <c r="AL27" s="18"/>
      <c r="AM27" s="40">
        <f t="shared" si="12"/>
        <v>2029</v>
      </c>
      <c r="AN27" s="2"/>
      <c r="AO27" s="39">
        <f t="shared" si="25"/>
        <v>671489234</v>
      </c>
      <c r="AP27" s="47">
        <f t="shared" si="28"/>
        <v>0</v>
      </c>
      <c r="AQ27" s="94">
        <f t="shared" si="13"/>
        <v>435000</v>
      </c>
      <c r="AR27" s="94">
        <f t="shared" si="26"/>
        <v>161400</v>
      </c>
      <c r="AS27" s="41">
        <f t="shared" si="14"/>
        <v>0</v>
      </c>
      <c r="AT27" s="94"/>
      <c r="AU27" s="94">
        <f t="shared" si="5"/>
        <v>596400</v>
      </c>
      <c r="AW27" s="40">
        <f t="shared" si="15"/>
        <v>2028</v>
      </c>
      <c r="AX27" s="40">
        <f t="shared" si="15"/>
        <v>2029</v>
      </c>
      <c r="AZ27" s="131"/>
      <c r="BA27" s="131">
        <f t="shared" si="16"/>
        <v>0</v>
      </c>
      <c r="BB27" s="131">
        <f t="shared" si="17"/>
        <v>596400</v>
      </c>
      <c r="BC27" s="131">
        <f t="shared" si="18"/>
        <v>596400</v>
      </c>
      <c r="BD27" s="131">
        <f t="shared" si="19"/>
        <v>596400</v>
      </c>
    </row>
    <row r="28" spans="1:56">
      <c r="A28" s="37">
        <f t="shared" si="27"/>
        <v>0.04</v>
      </c>
      <c r="B28" s="37">
        <f t="shared" si="6"/>
        <v>0</v>
      </c>
      <c r="C28" s="38">
        <f t="shared" si="30"/>
        <v>13.5</v>
      </c>
      <c r="D28" s="39">
        <f t="shared" si="7"/>
        <v>6142.5</v>
      </c>
      <c r="E28" s="39">
        <f t="shared" si="20"/>
        <v>245700.00000000003</v>
      </c>
      <c r="F28" s="11" t="s">
        <v>0</v>
      </c>
      <c r="G28" s="40">
        <f t="shared" si="21"/>
        <v>2029</v>
      </c>
      <c r="H28" s="40">
        <f t="shared" si="22"/>
        <v>2030</v>
      </c>
      <c r="I28" s="2"/>
      <c r="J28" s="41"/>
      <c r="K28" s="2"/>
      <c r="L28" s="18">
        <f t="shared" si="8"/>
        <v>0</v>
      </c>
      <c r="M28" s="2"/>
      <c r="N28" s="41"/>
      <c r="O28" s="2"/>
      <c r="P28" s="155">
        <v>455000</v>
      </c>
      <c r="Q28" s="48">
        <f t="shared" si="23"/>
        <v>134900</v>
      </c>
      <c r="R28" s="48">
        <f t="shared" si="9"/>
        <v>0</v>
      </c>
      <c r="S28" s="156">
        <f t="shared" si="24"/>
        <v>589900</v>
      </c>
      <c r="T28" s="42"/>
      <c r="U28" s="43"/>
      <c r="V28" s="42"/>
      <c r="W28" s="43"/>
      <c r="X28" s="42"/>
      <c r="Y28" s="41">
        <f t="shared" si="10"/>
        <v>589900</v>
      </c>
      <c r="Z28" s="18"/>
      <c r="AA28" s="18">
        <f t="shared" si="11"/>
        <v>0.87849509736145681</v>
      </c>
      <c r="AB28" s="18"/>
      <c r="AC28" s="48">
        <f t="shared" si="0"/>
        <v>589900</v>
      </c>
      <c r="AD28" s="42"/>
      <c r="AE28" s="43">
        <f t="shared" si="1"/>
        <v>-275596.44</v>
      </c>
      <c r="AF28" s="42"/>
      <c r="AG28" s="190">
        <f t="shared" si="29"/>
        <v>314303.56</v>
      </c>
      <c r="AH28" s="18"/>
      <c r="AI28" s="18">
        <f t="shared" si="3"/>
        <v>0.46806939573360307</v>
      </c>
      <c r="AJ28" s="18"/>
      <c r="AK28" s="18">
        <f t="shared" si="4"/>
        <v>0.46806939573360307</v>
      </c>
      <c r="AL28" s="18"/>
      <c r="AM28" s="40">
        <f t="shared" si="12"/>
        <v>2030</v>
      </c>
      <c r="AN28" s="2"/>
      <c r="AO28" s="39">
        <f t="shared" si="25"/>
        <v>671489234</v>
      </c>
      <c r="AP28" s="47">
        <f t="shared" si="28"/>
        <v>0</v>
      </c>
      <c r="AQ28" s="94">
        <f t="shared" si="13"/>
        <v>455000</v>
      </c>
      <c r="AR28" s="94">
        <f t="shared" si="26"/>
        <v>144000</v>
      </c>
      <c r="AS28" s="41">
        <f t="shared" si="14"/>
        <v>0</v>
      </c>
      <c r="AT28" s="94"/>
      <c r="AU28" s="94">
        <f t="shared" si="5"/>
        <v>599000</v>
      </c>
      <c r="AW28" s="40">
        <f t="shared" si="15"/>
        <v>2029</v>
      </c>
      <c r="AX28" s="40">
        <f t="shared" si="15"/>
        <v>2030</v>
      </c>
      <c r="AZ28" s="131"/>
      <c r="BA28" s="131">
        <f t="shared" si="16"/>
        <v>0</v>
      </c>
      <c r="BB28" s="131">
        <f t="shared" si="17"/>
        <v>599000</v>
      </c>
      <c r="BC28" s="131">
        <f t="shared" si="18"/>
        <v>599000</v>
      </c>
      <c r="BD28" s="131">
        <f t="shared" si="19"/>
        <v>599000</v>
      </c>
    </row>
    <row r="29" spans="1:56">
      <c r="A29" s="37">
        <f t="shared" si="27"/>
        <v>0.04</v>
      </c>
      <c r="B29" s="37">
        <f t="shared" si="6"/>
        <v>0</v>
      </c>
      <c r="C29" s="38">
        <f t="shared" si="30"/>
        <v>14.5</v>
      </c>
      <c r="D29" s="39">
        <f t="shared" si="7"/>
        <v>6887.5</v>
      </c>
      <c r="E29" s="39">
        <f t="shared" si="20"/>
        <v>275500</v>
      </c>
      <c r="F29" s="11" t="s">
        <v>0</v>
      </c>
      <c r="G29" s="40">
        <f t="shared" si="21"/>
        <v>2030</v>
      </c>
      <c r="H29" s="40">
        <f t="shared" si="22"/>
        <v>2031</v>
      </c>
      <c r="I29" s="2"/>
      <c r="J29" s="41"/>
      <c r="K29" s="2"/>
      <c r="L29" s="18">
        <f t="shared" si="8"/>
        <v>0</v>
      </c>
      <c r="M29" s="2"/>
      <c r="N29" s="41"/>
      <c r="O29" s="2"/>
      <c r="P29" s="155">
        <v>475000</v>
      </c>
      <c r="Q29" s="48">
        <f t="shared" si="23"/>
        <v>116300</v>
      </c>
      <c r="R29" s="48">
        <f t="shared" si="9"/>
        <v>0</v>
      </c>
      <c r="S29" s="156">
        <f t="shared" si="24"/>
        <v>591300</v>
      </c>
      <c r="T29" s="42"/>
      <c r="U29" s="43"/>
      <c r="V29" s="42"/>
      <c r="W29" s="43"/>
      <c r="X29" s="42"/>
      <c r="Y29" s="41">
        <f t="shared" si="10"/>
        <v>591300</v>
      </c>
      <c r="Z29" s="18"/>
      <c r="AA29" s="18">
        <f t="shared" si="11"/>
        <v>0.88058001537519814</v>
      </c>
      <c r="AB29" s="18"/>
      <c r="AC29" s="48">
        <f t="shared" si="0"/>
        <v>591300</v>
      </c>
      <c r="AD29" s="42"/>
      <c r="AE29" s="43">
        <f t="shared" si="1"/>
        <v>-276797.90000000002</v>
      </c>
      <c r="AF29" s="42"/>
      <c r="AG29" s="190">
        <f t="shared" si="29"/>
        <v>314502.09999999998</v>
      </c>
      <c r="AH29" s="18"/>
      <c r="AI29" s="18">
        <f t="shared" si="3"/>
        <v>0.46836506689249463</v>
      </c>
      <c r="AJ29" s="18"/>
      <c r="AK29" s="18">
        <f t="shared" si="4"/>
        <v>0.46836506689249463</v>
      </c>
      <c r="AL29" s="18"/>
      <c r="AM29" s="40">
        <f t="shared" si="12"/>
        <v>2031</v>
      </c>
      <c r="AN29" s="2"/>
      <c r="AO29" s="39">
        <f t="shared" si="25"/>
        <v>671489234</v>
      </c>
      <c r="AP29" s="47">
        <f t="shared" si="28"/>
        <v>0</v>
      </c>
      <c r="AQ29" s="94">
        <f t="shared" si="13"/>
        <v>475000</v>
      </c>
      <c r="AR29" s="94">
        <f t="shared" si="26"/>
        <v>125800</v>
      </c>
      <c r="AS29" s="41">
        <f t="shared" si="14"/>
        <v>0</v>
      </c>
      <c r="AT29" s="94"/>
      <c r="AU29" s="94">
        <f t="shared" si="5"/>
        <v>600800</v>
      </c>
      <c r="AW29" s="40">
        <f t="shared" si="15"/>
        <v>2030</v>
      </c>
      <c r="AX29" s="40">
        <f t="shared" si="15"/>
        <v>2031</v>
      </c>
      <c r="AZ29" s="131"/>
      <c r="BA29" s="131">
        <f t="shared" si="16"/>
        <v>0</v>
      </c>
      <c r="BB29" s="131">
        <f t="shared" si="17"/>
        <v>600800</v>
      </c>
      <c r="BC29" s="131">
        <f t="shared" si="18"/>
        <v>600800</v>
      </c>
      <c r="BD29" s="131">
        <f t="shared" si="19"/>
        <v>600800</v>
      </c>
    </row>
    <row r="30" spans="1:56">
      <c r="A30" s="37">
        <f t="shared" si="27"/>
        <v>0.04</v>
      </c>
      <c r="B30" s="37">
        <f t="shared" si="6"/>
        <v>0</v>
      </c>
      <c r="C30" s="38">
        <f t="shared" si="30"/>
        <v>15.5</v>
      </c>
      <c r="D30" s="39">
        <f t="shared" si="7"/>
        <v>7595</v>
      </c>
      <c r="E30" s="39">
        <f t="shared" si="20"/>
        <v>303800</v>
      </c>
      <c r="F30" s="11" t="s">
        <v>0</v>
      </c>
      <c r="G30" s="40">
        <f t="shared" si="21"/>
        <v>2031</v>
      </c>
      <c r="H30" s="40">
        <f t="shared" si="22"/>
        <v>2032</v>
      </c>
      <c r="I30" s="2"/>
      <c r="J30" s="41"/>
      <c r="K30" s="2"/>
      <c r="L30" s="18">
        <f t="shared" si="8"/>
        <v>0</v>
      </c>
      <c r="M30" s="2"/>
      <c r="N30" s="41"/>
      <c r="O30" s="2"/>
      <c r="P30" s="155">
        <v>490000</v>
      </c>
      <c r="Q30" s="48">
        <f t="shared" si="23"/>
        <v>97000</v>
      </c>
      <c r="R30" s="48">
        <f t="shared" si="9"/>
        <v>0</v>
      </c>
      <c r="S30" s="156">
        <f t="shared" si="24"/>
        <v>587000</v>
      </c>
      <c r="T30" s="42"/>
      <c r="U30" s="43"/>
      <c r="V30" s="42"/>
      <c r="W30" s="43"/>
      <c r="X30" s="42"/>
      <c r="Y30" s="41">
        <f t="shared" si="10"/>
        <v>587000</v>
      </c>
      <c r="Z30" s="18"/>
      <c r="AA30" s="18">
        <f t="shared" si="11"/>
        <v>0.87417633861870669</v>
      </c>
      <c r="AB30" s="18"/>
      <c r="AC30" s="48">
        <f t="shared" si="0"/>
        <v>587000</v>
      </c>
      <c r="AD30" s="42"/>
      <c r="AE30" s="43">
        <f t="shared" si="1"/>
        <v>-277629.68</v>
      </c>
      <c r="AF30" s="42"/>
      <c r="AG30" s="190">
        <f t="shared" si="29"/>
        <v>309370.32</v>
      </c>
      <c r="AH30" s="18"/>
      <c r="AI30" s="18">
        <f t="shared" si="3"/>
        <v>0.46072268077495343</v>
      </c>
      <c r="AJ30" s="18"/>
      <c r="AK30" s="18">
        <f t="shared" si="4"/>
        <v>0.46072268077495343</v>
      </c>
      <c r="AL30" s="50"/>
      <c r="AM30" s="40">
        <f t="shared" si="12"/>
        <v>2032</v>
      </c>
      <c r="AN30" s="2"/>
      <c r="AO30" s="39">
        <f t="shared" si="25"/>
        <v>671489234</v>
      </c>
      <c r="AP30" s="47">
        <f t="shared" si="28"/>
        <v>0</v>
      </c>
      <c r="AQ30" s="94">
        <f t="shared" si="13"/>
        <v>490000</v>
      </c>
      <c r="AR30" s="94">
        <f t="shared" si="26"/>
        <v>106800</v>
      </c>
      <c r="AS30" s="41">
        <f t="shared" si="14"/>
        <v>0</v>
      </c>
      <c r="AT30" s="94"/>
      <c r="AU30" s="94">
        <f t="shared" si="5"/>
        <v>596800</v>
      </c>
      <c r="AW30" s="40">
        <f t="shared" si="15"/>
        <v>2031</v>
      </c>
      <c r="AX30" s="40">
        <f t="shared" si="15"/>
        <v>2032</v>
      </c>
      <c r="AZ30" s="131"/>
      <c r="BA30" s="131">
        <f t="shared" si="16"/>
        <v>0</v>
      </c>
      <c r="BB30" s="131">
        <f t="shared" si="17"/>
        <v>596800</v>
      </c>
      <c r="BC30" s="131">
        <f t="shared" si="18"/>
        <v>596800</v>
      </c>
      <c r="BD30" s="131">
        <f t="shared" si="19"/>
        <v>596800</v>
      </c>
    </row>
    <row r="31" spans="1:56">
      <c r="A31" s="37">
        <f t="shared" si="27"/>
        <v>0.04</v>
      </c>
      <c r="B31" s="37">
        <f t="shared" si="6"/>
        <v>0</v>
      </c>
      <c r="C31" s="38">
        <f t="shared" si="30"/>
        <v>16.5</v>
      </c>
      <c r="D31" s="39">
        <f t="shared" si="7"/>
        <v>8415</v>
      </c>
      <c r="E31" s="39">
        <f t="shared" si="20"/>
        <v>336600</v>
      </c>
      <c r="F31" s="11" t="s">
        <v>0</v>
      </c>
      <c r="G31" s="40">
        <f t="shared" si="21"/>
        <v>2032</v>
      </c>
      <c r="H31" s="40">
        <f t="shared" si="22"/>
        <v>2033</v>
      </c>
      <c r="I31" s="2"/>
      <c r="J31" s="41"/>
      <c r="K31" s="2"/>
      <c r="L31" s="18">
        <f t="shared" si="8"/>
        <v>0</v>
      </c>
      <c r="M31" s="2"/>
      <c r="N31" s="41"/>
      <c r="O31" s="2"/>
      <c r="P31" s="155">
        <v>510000</v>
      </c>
      <c r="Q31" s="48">
        <f t="shared" si="23"/>
        <v>77000</v>
      </c>
      <c r="R31" s="48">
        <f t="shared" si="9"/>
        <v>0</v>
      </c>
      <c r="S31" s="156">
        <f t="shared" si="24"/>
        <v>587000</v>
      </c>
      <c r="T31" s="51"/>
      <c r="U31" s="43"/>
      <c r="V31" s="51"/>
      <c r="W31" s="43"/>
      <c r="X31" s="51"/>
      <c r="Y31" s="41">
        <f t="shared" si="10"/>
        <v>587000</v>
      </c>
      <c r="Z31" s="50"/>
      <c r="AA31" s="18">
        <f t="shared" si="11"/>
        <v>0.87417633861870669</v>
      </c>
      <c r="AB31" s="18"/>
      <c r="AC31" s="48">
        <f t="shared" si="0"/>
        <v>587000</v>
      </c>
      <c r="AD31" s="51"/>
      <c r="AE31" s="43">
        <f t="shared" si="1"/>
        <v>-275781.28000000003</v>
      </c>
      <c r="AF31" s="51"/>
      <c r="AG31" s="190">
        <f t="shared" si="29"/>
        <v>311218.71999999997</v>
      </c>
      <c r="AH31" s="18"/>
      <c r="AI31" s="18">
        <f t="shared" si="3"/>
        <v>0.46347536824395302</v>
      </c>
      <c r="AJ31" s="54"/>
      <c r="AK31" s="18">
        <f t="shared" si="4"/>
        <v>0.46347536824395302</v>
      </c>
      <c r="AL31" s="52"/>
      <c r="AM31" s="40">
        <f t="shared" si="12"/>
        <v>2033</v>
      </c>
      <c r="AN31" s="2"/>
      <c r="AO31" s="39">
        <f t="shared" si="25"/>
        <v>671489234</v>
      </c>
      <c r="AP31" s="47">
        <f t="shared" si="28"/>
        <v>0</v>
      </c>
      <c r="AQ31" s="94">
        <f t="shared" si="13"/>
        <v>510000</v>
      </c>
      <c r="AR31" s="94">
        <f t="shared" si="26"/>
        <v>87200</v>
      </c>
      <c r="AS31" s="41">
        <f t="shared" si="14"/>
        <v>0</v>
      </c>
      <c r="AT31" s="94"/>
      <c r="AU31" s="94">
        <f t="shared" si="5"/>
        <v>597200</v>
      </c>
      <c r="AW31" s="40">
        <f t="shared" si="15"/>
        <v>2032</v>
      </c>
      <c r="AX31" s="40">
        <f t="shared" si="15"/>
        <v>2033</v>
      </c>
      <c r="AZ31" s="131"/>
      <c r="BA31" s="131">
        <f t="shared" si="16"/>
        <v>0</v>
      </c>
      <c r="BB31" s="131">
        <f t="shared" si="17"/>
        <v>597200</v>
      </c>
      <c r="BC31" s="131">
        <f t="shared" si="18"/>
        <v>597200</v>
      </c>
      <c r="BD31" s="131">
        <f t="shared" si="19"/>
        <v>597200</v>
      </c>
    </row>
    <row r="32" spans="1:56">
      <c r="A32" s="37">
        <f t="shared" si="27"/>
        <v>0.04</v>
      </c>
      <c r="B32" s="37">
        <f t="shared" si="6"/>
        <v>0</v>
      </c>
      <c r="C32" s="38">
        <f t="shared" si="30"/>
        <v>17.5</v>
      </c>
      <c r="D32" s="39">
        <f t="shared" si="7"/>
        <v>9362.5</v>
      </c>
      <c r="E32" s="39">
        <f t="shared" si="20"/>
        <v>374500</v>
      </c>
      <c r="F32" s="11" t="s">
        <v>0</v>
      </c>
      <c r="G32" s="40">
        <f t="shared" si="21"/>
        <v>2033</v>
      </c>
      <c r="H32" s="40">
        <f t="shared" si="22"/>
        <v>2034</v>
      </c>
      <c r="I32" s="2"/>
      <c r="J32" s="41"/>
      <c r="K32" s="2"/>
      <c r="L32" s="18">
        <f t="shared" si="8"/>
        <v>0</v>
      </c>
      <c r="M32" s="2"/>
      <c r="N32" s="41"/>
      <c r="O32" s="2"/>
      <c r="P32" s="155">
        <v>535000</v>
      </c>
      <c r="Q32" s="48">
        <f t="shared" si="23"/>
        <v>56100</v>
      </c>
      <c r="R32" s="48">
        <f t="shared" si="9"/>
        <v>0</v>
      </c>
      <c r="S32" s="156">
        <f t="shared" si="24"/>
        <v>591100</v>
      </c>
      <c r="T32" s="53"/>
      <c r="U32" s="43"/>
      <c r="V32" s="53"/>
      <c r="W32" s="43"/>
      <c r="X32" s="53"/>
      <c r="Y32" s="41">
        <f t="shared" si="10"/>
        <v>591100</v>
      </c>
      <c r="Z32" s="52"/>
      <c r="AA32" s="18">
        <f t="shared" si="11"/>
        <v>0.88028216994466357</v>
      </c>
      <c r="AB32" s="54"/>
      <c r="AC32" s="48">
        <f t="shared" si="0"/>
        <v>591100</v>
      </c>
      <c r="AD32" s="53"/>
      <c r="AE32" s="43">
        <f t="shared" si="1"/>
        <v>-275966.12</v>
      </c>
      <c r="AF32" s="53"/>
      <c r="AG32" s="190">
        <f t="shared" si="29"/>
        <v>315133.88</v>
      </c>
      <c r="AH32" s="54"/>
      <c r="AI32" s="18">
        <f t="shared" si="3"/>
        <v>0.46930593082301003</v>
      </c>
      <c r="AJ32" s="54"/>
      <c r="AK32" s="18">
        <f t="shared" si="4"/>
        <v>0.46930593082301003</v>
      </c>
      <c r="AL32" s="52"/>
      <c r="AM32" s="40">
        <f t="shared" si="12"/>
        <v>2034</v>
      </c>
      <c r="AN32" s="2"/>
      <c r="AO32" s="39">
        <f t="shared" si="25"/>
        <v>671489234</v>
      </c>
      <c r="AP32" s="47">
        <f t="shared" si="28"/>
        <v>0</v>
      </c>
      <c r="AQ32" s="94">
        <f t="shared" si="13"/>
        <v>535000</v>
      </c>
      <c r="AR32" s="94">
        <f t="shared" si="26"/>
        <v>66800</v>
      </c>
      <c r="AS32" s="41">
        <f t="shared" si="14"/>
        <v>0</v>
      </c>
      <c r="AT32" s="94"/>
      <c r="AU32" s="94">
        <f t="shared" si="5"/>
        <v>601800</v>
      </c>
      <c r="AW32" s="40">
        <f t="shared" si="15"/>
        <v>2033</v>
      </c>
      <c r="AX32" s="40">
        <f t="shared" si="15"/>
        <v>2034</v>
      </c>
      <c r="AZ32" s="131"/>
      <c r="BA32" s="131">
        <f t="shared" si="16"/>
        <v>0</v>
      </c>
      <c r="BB32" s="131">
        <f t="shared" si="17"/>
        <v>601800</v>
      </c>
      <c r="BC32" s="131">
        <f t="shared" si="18"/>
        <v>601800</v>
      </c>
      <c r="BD32" s="131">
        <f t="shared" si="19"/>
        <v>601800</v>
      </c>
    </row>
    <row r="33" spans="1:56">
      <c r="A33" s="37">
        <f t="shared" si="27"/>
        <v>0.04</v>
      </c>
      <c r="B33" s="37">
        <f t="shared" si="6"/>
        <v>0</v>
      </c>
      <c r="C33" s="38">
        <f t="shared" si="30"/>
        <v>18.5</v>
      </c>
      <c r="D33" s="39">
        <f t="shared" si="7"/>
        <v>10267.5</v>
      </c>
      <c r="E33" s="39">
        <f t="shared" si="20"/>
        <v>410700</v>
      </c>
      <c r="F33" s="11" t="s">
        <v>0</v>
      </c>
      <c r="G33" s="40">
        <f t="shared" si="21"/>
        <v>2034</v>
      </c>
      <c r="H33" s="40">
        <f t="shared" si="22"/>
        <v>2035</v>
      </c>
      <c r="I33" s="2"/>
      <c r="J33" s="41"/>
      <c r="K33" s="2"/>
      <c r="L33" s="18">
        <f t="shared" si="8"/>
        <v>0</v>
      </c>
      <c r="M33" s="2"/>
      <c r="N33" s="41"/>
      <c r="O33" s="2"/>
      <c r="P33" s="155">
        <v>555000</v>
      </c>
      <c r="Q33" s="48">
        <f t="shared" si="23"/>
        <v>34300</v>
      </c>
      <c r="R33" s="48">
        <f t="shared" si="9"/>
        <v>0</v>
      </c>
      <c r="S33" s="156">
        <f t="shared" si="24"/>
        <v>589300</v>
      </c>
      <c r="T33" s="53"/>
      <c r="U33" s="43"/>
      <c r="V33" s="53"/>
      <c r="W33" s="43"/>
      <c r="X33" s="53"/>
      <c r="Y33" s="41">
        <f t="shared" si="10"/>
        <v>589300</v>
      </c>
      <c r="Z33" s="52"/>
      <c r="AA33" s="18">
        <f t="shared" si="11"/>
        <v>0.87760156106985332</v>
      </c>
      <c r="AB33" s="54"/>
      <c r="AC33" s="48">
        <f t="shared" si="0"/>
        <v>589300</v>
      </c>
      <c r="AD33" s="53"/>
      <c r="AE33" s="43">
        <f t="shared" si="1"/>
        <v>-278091.78000000003</v>
      </c>
      <c r="AF33" s="53"/>
      <c r="AG33" s="190">
        <f t="shared" si="29"/>
        <v>311208.21999999997</v>
      </c>
      <c r="AH33" s="54"/>
      <c r="AI33" s="18">
        <f t="shared" si="3"/>
        <v>0.46345973135884999</v>
      </c>
      <c r="AJ33" s="54"/>
      <c r="AK33" s="18">
        <f t="shared" si="4"/>
        <v>0.46345973135884999</v>
      </c>
      <c r="AL33" s="52"/>
      <c r="AM33" s="40">
        <f t="shared" si="12"/>
        <v>2035</v>
      </c>
      <c r="AN33" s="2"/>
      <c r="AO33" s="39">
        <f t="shared" si="25"/>
        <v>671489234</v>
      </c>
      <c r="AP33" s="47">
        <f t="shared" si="28"/>
        <v>0</v>
      </c>
      <c r="AQ33" s="94">
        <f t="shared" si="13"/>
        <v>555000</v>
      </c>
      <c r="AR33" s="94">
        <f t="shared" si="26"/>
        <v>45400</v>
      </c>
      <c r="AS33" s="41">
        <f t="shared" si="14"/>
        <v>0</v>
      </c>
      <c r="AT33" s="94"/>
      <c r="AU33" s="94">
        <f t="shared" si="5"/>
        <v>600400</v>
      </c>
      <c r="AW33" s="40">
        <f t="shared" si="15"/>
        <v>2034</v>
      </c>
      <c r="AX33" s="40">
        <f t="shared" si="15"/>
        <v>2035</v>
      </c>
      <c r="AZ33" s="131"/>
      <c r="BA33" s="131">
        <f t="shared" si="16"/>
        <v>0</v>
      </c>
      <c r="BB33" s="131">
        <f t="shared" si="17"/>
        <v>600400</v>
      </c>
      <c r="BC33" s="131">
        <f t="shared" si="18"/>
        <v>600400</v>
      </c>
      <c r="BD33" s="131">
        <f t="shared" si="19"/>
        <v>600400</v>
      </c>
    </row>
    <row r="34" spans="1:56">
      <c r="A34" s="37">
        <f t="shared" si="27"/>
        <v>0.04</v>
      </c>
      <c r="B34" s="37">
        <f t="shared" si="6"/>
        <v>0</v>
      </c>
      <c r="C34" s="38">
        <f t="shared" si="30"/>
        <v>19.5</v>
      </c>
      <c r="D34" s="39">
        <f t="shared" si="7"/>
        <v>11310</v>
      </c>
      <c r="E34" s="39">
        <f t="shared" si="20"/>
        <v>452400.00000000006</v>
      </c>
      <c r="F34" s="11" t="s">
        <v>0</v>
      </c>
      <c r="G34" s="40">
        <f t="shared" si="21"/>
        <v>2035</v>
      </c>
      <c r="H34" s="40">
        <f t="shared" si="22"/>
        <v>2036</v>
      </c>
      <c r="I34" s="2"/>
      <c r="J34" s="2"/>
      <c r="K34" s="2"/>
      <c r="L34" s="18"/>
      <c r="M34" s="2"/>
      <c r="N34" s="41"/>
      <c r="O34" s="2"/>
      <c r="P34" s="155">
        <f>P5-SUM(P15:P33)</f>
        <v>580000</v>
      </c>
      <c r="Q34" s="48">
        <f>(P34*A34/2)+(P35*A35/2+Q35)</f>
        <v>11600</v>
      </c>
      <c r="R34" s="48">
        <f t="shared" si="9"/>
        <v>0</v>
      </c>
      <c r="S34" s="156">
        <f t="shared" si="24"/>
        <v>591600</v>
      </c>
      <c r="T34" s="53"/>
      <c r="U34" s="43"/>
      <c r="V34" s="53"/>
      <c r="W34" s="43"/>
      <c r="X34" s="53"/>
      <c r="Y34" s="41">
        <f t="shared" si="10"/>
        <v>591600</v>
      </c>
      <c r="Z34" s="52"/>
      <c r="AA34" s="18">
        <f t="shared" si="11"/>
        <v>0.88102678352099983</v>
      </c>
      <c r="AB34" s="54"/>
      <c r="AC34" s="48">
        <f t="shared" si="0"/>
        <v>591600</v>
      </c>
      <c r="AD34" s="53"/>
      <c r="AE34" s="43">
        <f t="shared" si="1"/>
        <v>-277444.84000000003</v>
      </c>
      <c r="AF34" s="53"/>
      <c r="AG34" s="190">
        <f t="shared" si="29"/>
        <v>314155.15999999997</v>
      </c>
      <c r="AH34" s="54"/>
      <c r="AI34" s="18">
        <f t="shared" si="3"/>
        <v>0.46784839442414644</v>
      </c>
      <c r="AJ34" s="54"/>
      <c r="AK34" s="18">
        <f>+AG34/$AO34*1000</f>
        <v>0.46784839442414644</v>
      </c>
      <c r="AL34" s="52"/>
      <c r="AM34" s="40">
        <f t="shared" si="12"/>
        <v>2036</v>
      </c>
      <c r="AN34" s="2"/>
      <c r="AO34" s="39">
        <f t="shared" si="25"/>
        <v>671489234</v>
      </c>
      <c r="AP34" s="47">
        <f t="shared" si="28"/>
        <v>0</v>
      </c>
      <c r="AQ34" s="94">
        <f t="shared" si="13"/>
        <v>580000</v>
      </c>
      <c r="AR34" s="94">
        <f t="shared" si="26"/>
        <v>23200</v>
      </c>
      <c r="AS34" s="41">
        <f t="shared" si="14"/>
        <v>0</v>
      </c>
      <c r="AT34" s="94"/>
      <c r="AU34" s="94">
        <f t="shared" si="5"/>
        <v>603200</v>
      </c>
      <c r="AW34" s="40">
        <f t="shared" si="15"/>
        <v>2035</v>
      </c>
      <c r="AX34" s="40">
        <f t="shared" si="15"/>
        <v>2036</v>
      </c>
      <c r="AZ34" s="131"/>
      <c r="BA34" s="131">
        <f t="shared" si="16"/>
        <v>0</v>
      </c>
      <c r="BB34" s="131">
        <f t="shared" si="17"/>
        <v>603200</v>
      </c>
      <c r="BC34" s="131">
        <f t="shared" si="18"/>
        <v>603200</v>
      </c>
      <c r="BD34" s="131">
        <f t="shared" si="19"/>
        <v>603200</v>
      </c>
    </row>
    <row r="35" spans="1:56" ht="15" customHeight="1">
      <c r="A35" s="37"/>
      <c r="B35" s="37"/>
      <c r="C35" s="38"/>
      <c r="D35" s="39"/>
      <c r="E35" s="39"/>
      <c r="F35" s="11" t="s">
        <v>0</v>
      </c>
      <c r="G35" s="40">
        <f>+G34+1</f>
        <v>2036</v>
      </c>
      <c r="H35" s="40">
        <f>H34+1</f>
        <v>2037</v>
      </c>
      <c r="I35" s="2"/>
      <c r="J35" s="2"/>
      <c r="K35" s="2"/>
      <c r="L35" s="18"/>
      <c r="M35" s="2"/>
      <c r="N35" s="41"/>
      <c r="O35" s="2"/>
      <c r="P35" s="155"/>
      <c r="Q35" s="48"/>
      <c r="R35" s="53"/>
      <c r="S35" s="156"/>
      <c r="T35" s="53"/>
      <c r="U35" s="43"/>
      <c r="V35" s="53"/>
      <c r="W35" s="43"/>
      <c r="X35" s="53"/>
      <c r="Y35" s="41">
        <f t="shared" si="10"/>
        <v>0</v>
      </c>
      <c r="Z35" s="52"/>
      <c r="AA35" s="18"/>
      <c r="AB35" s="54"/>
      <c r="AC35" s="48"/>
      <c r="AD35" s="53"/>
      <c r="AE35" s="43">
        <f t="shared" si="1"/>
        <v>-278738.72000000003</v>
      </c>
      <c r="AF35" s="53"/>
      <c r="AG35" s="41">
        <f t="shared" si="29"/>
        <v>-278738.72000000003</v>
      </c>
      <c r="AH35" s="54"/>
      <c r="AI35" s="18"/>
      <c r="AJ35" s="54"/>
      <c r="AL35" s="52"/>
      <c r="AM35" s="40">
        <f t="shared" si="12"/>
        <v>2037</v>
      </c>
      <c r="AN35" s="2"/>
      <c r="AO35" s="39"/>
      <c r="AP35" s="47"/>
      <c r="AQ35" s="94"/>
      <c r="AR35" s="94"/>
      <c r="AS35" s="94"/>
      <c r="AT35" s="94"/>
      <c r="AU35" s="94"/>
      <c r="AW35" s="40">
        <f t="shared" si="15"/>
        <v>2036</v>
      </c>
      <c r="AX35" s="40">
        <f t="shared" si="15"/>
        <v>2037</v>
      </c>
      <c r="AZ35" s="131"/>
    </row>
    <row r="36" spans="1:56" ht="15" customHeight="1" thickBot="1">
      <c r="A36" s="37"/>
      <c r="B36" s="37"/>
      <c r="C36" s="38"/>
      <c r="F36" s="11" t="s">
        <v>0</v>
      </c>
      <c r="G36" s="40"/>
      <c r="H36" s="40"/>
      <c r="I36" s="2"/>
      <c r="J36" s="2"/>
      <c r="K36" s="2"/>
      <c r="L36" s="55"/>
      <c r="M36" s="2"/>
      <c r="N36" s="53"/>
      <c r="O36" s="2"/>
      <c r="P36" s="157"/>
      <c r="Q36" s="53"/>
      <c r="R36" s="158"/>
      <c r="S36" s="159"/>
      <c r="T36" s="53"/>
      <c r="U36" s="41"/>
      <c r="V36" s="53"/>
      <c r="W36" s="41"/>
      <c r="X36" s="53"/>
      <c r="Y36" s="53"/>
      <c r="Z36" s="52"/>
      <c r="AA36" s="123" t="s">
        <v>46</v>
      </c>
      <c r="AB36" s="54"/>
      <c r="AC36" s="53"/>
      <c r="AD36" s="53"/>
      <c r="AE36" s="41"/>
      <c r="AF36" s="53"/>
      <c r="AG36" s="41"/>
      <c r="AH36" s="54"/>
      <c r="AI36" s="123" t="s">
        <v>46</v>
      </c>
      <c r="AJ36" s="54"/>
      <c r="AK36" s="123" t="s">
        <v>126</v>
      </c>
      <c r="AL36" s="52"/>
      <c r="AM36" s="40"/>
      <c r="AN36" s="2"/>
      <c r="AQ36" s="94"/>
      <c r="AR36" s="94"/>
      <c r="AS36" s="94"/>
      <c r="AT36" s="94"/>
      <c r="AU36" s="94"/>
      <c r="AW36" s="40"/>
      <c r="AX36" s="40"/>
    </row>
    <row r="37" spans="1:56" ht="15" customHeight="1" thickBot="1">
      <c r="A37" s="37"/>
      <c r="B37" s="37"/>
      <c r="C37" s="38"/>
      <c r="D37" s="56">
        <f>SUM(D13:D36)</f>
        <v>91545</v>
      </c>
      <c r="E37" s="57">
        <f>SUM(E13:E36)</f>
        <v>3661800</v>
      </c>
      <c r="F37" s="11" t="s">
        <v>0</v>
      </c>
      <c r="G37" s="2"/>
      <c r="H37" s="2"/>
      <c r="I37" s="2"/>
      <c r="J37" s="58">
        <f>SUM(J13:J36)</f>
        <v>600000</v>
      </c>
      <c r="K37" s="2"/>
      <c r="L37" s="55"/>
      <c r="M37" s="2"/>
      <c r="N37" s="102">
        <f>SUM(N13:N36)</f>
        <v>0</v>
      </c>
      <c r="O37" s="2"/>
      <c r="P37" s="160">
        <f>SUM(P13:P36)</f>
        <v>8000000</v>
      </c>
      <c r="Q37" s="58">
        <f>SUM(Q13:Q36)</f>
        <v>3661800</v>
      </c>
      <c r="R37" s="58">
        <f>SUM(R13:R36)</f>
        <v>0</v>
      </c>
      <c r="S37" s="161">
        <f>SUM(S13:S36)</f>
        <v>11661800</v>
      </c>
      <c r="T37" s="53"/>
      <c r="U37" s="58">
        <f>SUM(U13:U36)</f>
        <v>0</v>
      </c>
      <c r="V37" s="53"/>
      <c r="W37" s="58">
        <f>SUM(W13:W34)</f>
        <v>0</v>
      </c>
      <c r="X37" s="53"/>
      <c r="Y37" s="58">
        <f>SUM(Y13:Y36)</f>
        <v>11661800</v>
      </c>
      <c r="Z37" s="52"/>
      <c r="AA37" s="124">
        <f>ROUND(AVERAGE(AA15:AA35),2)</f>
        <v>0.87</v>
      </c>
      <c r="AB37" s="54"/>
      <c r="AC37" s="58">
        <f>SUM(AC13:AC36)</f>
        <v>12261800</v>
      </c>
      <c r="AD37" s="53"/>
      <c r="AE37" s="58">
        <f>SUM(AE13:AE36)</f>
        <v>-5666177.7800000003</v>
      </c>
      <c r="AF37" s="53"/>
      <c r="AG37" s="58">
        <f>SUM(AG13:AG36)</f>
        <v>6595622.2199999988</v>
      </c>
      <c r="AH37" s="54"/>
      <c r="AI37" s="124">
        <f>ROUND(AVERAGE(AI15:AI34),2)</f>
        <v>0.47</v>
      </c>
      <c r="AJ37" s="59"/>
      <c r="AK37" s="124">
        <f>ROUND(MAX(AK15:AK34),2)-ROUND(AK14,2)</f>
        <v>-0.42000000000000004</v>
      </c>
      <c r="AL37" s="59"/>
      <c r="AM37" s="2"/>
      <c r="AN37" s="59"/>
      <c r="AO37" s="3">
        <f>AVERAGE(AG15:AG34)</f>
        <v>313718.04699999996</v>
      </c>
      <c r="AQ37" s="95">
        <f>SUM(AQ13:AQ36)</f>
        <v>8000000</v>
      </c>
      <c r="AR37" s="95">
        <f>SUM(AR13:AR36)</f>
        <v>3661800</v>
      </c>
      <c r="AS37" s="95">
        <f>SUM(AS13:AS36)</f>
        <v>0</v>
      </c>
      <c r="AT37" s="95">
        <f>SUM(AT13:AT36)</f>
        <v>0</v>
      </c>
      <c r="AU37" s="95">
        <f>SUM(AU13:AU36)</f>
        <v>11661800</v>
      </c>
      <c r="AW37" s="132"/>
      <c r="AX37" s="132"/>
      <c r="AZ37" s="95">
        <f>SUM(AZ14:AZ36)</f>
        <v>600000</v>
      </c>
      <c r="BB37" s="95">
        <f>SUM(BB14:BB36)</f>
        <v>12261800</v>
      </c>
      <c r="BC37" s="95">
        <f>SUM(BC14:BC36)</f>
        <v>12261800</v>
      </c>
      <c r="BD37" s="95">
        <f>SUM(BD14:BD36)</f>
        <v>12261800</v>
      </c>
    </row>
    <row r="38" spans="1:56" ht="15" customHeight="1" thickTop="1">
      <c r="A38" s="37"/>
      <c r="B38" s="37"/>
      <c r="C38" s="38"/>
      <c r="D38" s="61" t="s">
        <v>27</v>
      </c>
      <c r="E38" s="62">
        <f>+Q37+R37</f>
        <v>3661800</v>
      </c>
      <c r="F38" s="11" t="s">
        <v>0</v>
      </c>
      <c r="G38" s="2"/>
      <c r="H38" s="2"/>
      <c r="I38" s="2"/>
      <c r="J38" s="2"/>
      <c r="K38" s="2"/>
      <c r="L38" s="59"/>
      <c r="M38" s="2"/>
      <c r="N38" s="59"/>
      <c r="O38" s="2"/>
      <c r="P38" s="162"/>
      <c r="Q38" s="163"/>
      <c r="R38" s="164"/>
      <c r="S38" s="165"/>
      <c r="T38" s="59"/>
      <c r="U38" s="59"/>
      <c r="V38" s="59"/>
      <c r="W38" s="59"/>
      <c r="X38" s="59"/>
      <c r="Y38" s="59"/>
      <c r="Z38" s="59"/>
      <c r="AA38" s="59"/>
      <c r="AB38" s="59"/>
      <c r="AC38" s="168"/>
      <c r="AD38" s="59"/>
      <c r="AE38" s="59"/>
      <c r="AF38" s="59"/>
      <c r="AG38" s="59"/>
      <c r="AH38" s="59"/>
      <c r="AI38" s="59"/>
      <c r="AJ38" s="59"/>
      <c r="AK38" s="59"/>
      <c r="AL38" s="59"/>
      <c r="AM38" s="2"/>
      <c r="AN38" s="59"/>
      <c r="AQ38" s="94"/>
    </row>
    <row r="39" spans="1:56" ht="15" customHeight="1">
      <c r="A39" s="37"/>
      <c r="B39" s="37"/>
      <c r="C39" s="38"/>
      <c r="D39" s="61" t="s">
        <v>28</v>
      </c>
      <c r="E39" s="62">
        <f>AR37+AS37</f>
        <v>3661800</v>
      </c>
      <c r="F39" s="11" t="s">
        <v>0</v>
      </c>
      <c r="G39" s="220"/>
      <c r="H39" s="2"/>
      <c r="I39" s="2"/>
      <c r="J39" s="2"/>
      <c r="K39" s="2"/>
      <c r="L39" s="59"/>
      <c r="M39" s="2"/>
      <c r="N39" s="59"/>
      <c r="O39" s="2"/>
      <c r="P39" s="59"/>
      <c r="Q39" s="59"/>
      <c r="R39" s="104"/>
      <c r="S39" s="59"/>
      <c r="T39" s="59"/>
      <c r="U39" s="59"/>
      <c r="V39" s="59"/>
      <c r="W39" s="59"/>
      <c r="X39" s="59"/>
      <c r="Y39" s="59"/>
      <c r="Z39" s="59"/>
      <c r="AA39" s="59"/>
      <c r="AB39" s="59"/>
      <c r="AC39" s="59"/>
      <c r="AD39" s="59"/>
      <c r="AE39" s="59"/>
      <c r="AF39" s="59"/>
      <c r="AG39" s="59"/>
      <c r="AH39" s="59"/>
      <c r="AI39" s="59"/>
      <c r="AJ39" s="67"/>
      <c r="AK39" s="67"/>
      <c r="AL39" s="59"/>
      <c r="AM39" s="2"/>
      <c r="AN39" s="59"/>
      <c r="AQ39" s="94"/>
    </row>
    <row r="40" spans="1:56" ht="15" customHeight="1" thickBot="1">
      <c r="A40" s="37"/>
      <c r="B40" s="37"/>
      <c r="D40" s="70" t="s">
        <v>29</v>
      </c>
      <c r="E40" s="71">
        <f>E38/D37/1000</f>
        <v>0.04</v>
      </c>
      <c r="F40" s="11" t="s">
        <v>0</v>
      </c>
      <c r="R40" s="73"/>
      <c r="S40" s="64"/>
      <c r="T40" s="64"/>
      <c r="U40" s="64"/>
      <c r="V40" s="64"/>
      <c r="W40" s="64"/>
      <c r="X40" s="64"/>
      <c r="Y40" s="64"/>
      <c r="Z40" s="64"/>
      <c r="AA40" s="67"/>
      <c r="AB40" s="67"/>
      <c r="AC40" s="64"/>
      <c r="AD40" s="64"/>
      <c r="AE40" s="64"/>
      <c r="AF40" s="64"/>
      <c r="AG40" s="67"/>
      <c r="AH40" s="67"/>
      <c r="AI40" s="67"/>
      <c r="AJ40" s="67"/>
      <c r="AK40" s="67"/>
      <c r="AL40" s="64"/>
      <c r="AN40" s="68"/>
      <c r="AO40" s="68"/>
      <c r="AP40" s="69"/>
      <c r="AQ40" s="96"/>
      <c r="AR40" s="97"/>
      <c r="AS40" s="97"/>
      <c r="AT40" s="97"/>
    </row>
    <row r="41" spans="1:56" ht="8.25" customHeight="1">
      <c r="A41" s="37"/>
      <c r="B41" s="37"/>
      <c r="D41" s="193"/>
      <c r="E41" s="194"/>
      <c r="F41" s="11"/>
      <c r="G41" s="192"/>
      <c r="R41" s="73"/>
      <c r="S41" s="64"/>
      <c r="T41" s="64"/>
      <c r="U41" s="64"/>
      <c r="V41" s="64"/>
      <c r="W41" s="64"/>
      <c r="X41" s="64"/>
      <c r="Y41" s="64"/>
      <c r="Z41" s="64"/>
      <c r="AA41" s="67"/>
      <c r="AB41" s="67"/>
      <c r="AC41" s="64"/>
      <c r="AD41" s="64"/>
      <c r="AE41" s="64"/>
      <c r="AF41" s="64"/>
      <c r="AG41" s="67"/>
      <c r="AH41" s="67"/>
      <c r="AI41" s="67"/>
      <c r="AJ41" s="67"/>
      <c r="AK41" s="67"/>
      <c r="AL41" s="64"/>
      <c r="AN41" s="68"/>
      <c r="AO41" s="68"/>
      <c r="AP41" s="69"/>
      <c r="AQ41" s="96"/>
      <c r="AR41" s="97"/>
      <c r="AS41" s="97"/>
      <c r="AT41" s="97"/>
    </row>
    <row r="42" spans="1:56" ht="15" customHeight="1">
      <c r="A42" s="37"/>
      <c r="B42" s="37"/>
      <c r="F42" s="11" t="s">
        <v>0</v>
      </c>
      <c r="G42" s="105" t="s">
        <v>127</v>
      </c>
      <c r="H42" s="35"/>
      <c r="I42" s="106"/>
      <c r="J42" s="106"/>
      <c r="K42" s="106"/>
      <c r="L42" s="107"/>
      <c r="M42" s="106"/>
      <c r="N42" s="108"/>
      <c r="O42" s="109"/>
      <c r="P42" s="110"/>
      <c r="Q42" s="110"/>
      <c r="R42" s="73"/>
      <c r="S42" s="72"/>
      <c r="T42" s="64"/>
      <c r="V42" s="64"/>
      <c r="X42" s="64"/>
      <c r="Y42" s="64"/>
      <c r="Z42" s="64"/>
      <c r="AA42" s="67"/>
      <c r="AB42" s="67"/>
      <c r="AC42" s="64"/>
      <c r="AD42" s="64"/>
      <c r="AF42" s="64"/>
      <c r="AG42" s="67"/>
      <c r="AH42" s="67"/>
      <c r="AI42" s="67"/>
      <c r="AJ42" s="67"/>
      <c r="AK42" s="67"/>
      <c r="AL42" s="64"/>
      <c r="AM42" s="35"/>
      <c r="AN42" s="68"/>
      <c r="AO42" s="68"/>
      <c r="AP42" s="69"/>
      <c r="AQ42" s="96"/>
      <c r="AR42" s="97"/>
      <c r="AS42" s="97"/>
      <c r="AT42" s="97"/>
    </row>
    <row r="43" spans="1:56" ht="15" hidden="1" customHeight="1">
      <c r="A43" s="37"/>
      <c r="B43" s="37"/>
      <c r="D43" s="11"/>
      <c r="E43" s="33"/>
      <c r="F43" s="11" t="s">
        <v>0</v>
      </c>
      <c r="H43" s="105" t="s">
        <v>38</v>
      </c>
      <c r="I43" s="106"/>
      <c r="K43" s="106"/>
      <c r="M43" s="106"/>
      <c r="O43" s="109"/>
      <c r="Q43" s="111">
        <v>0</v>
      </c>
      <c r="R43" s="73"/>
      <c r="S43" s="64"/>
      <c r="T43" s="64"/>
      <c r="V43" s="64"/>
      <c r="X43" s="64"/>
      <c r="Y43" s="64"/>
      <c r="Z43" s="64"/>
      <c r="AA43" s="67"/>
      <c r="AB43" s="67"/>
      <c r="AC43" s="64"/>
      <c r="AD43" s="64"/>
      <c r="AF43" s="64"/>
      <c r="AG43" s="67"/>
      <c r="AH43" s="67"/>
      <c r="AI43" s="67"/>
      <c r="AJ43" s="59"/>
      <c r="AK43" s="59"/>
      <c r="AL43" s="64"/>
      <c r="AM43" s="105"/>
      <c r="AN43" s="68"/>
      <c r="AO43" s="68"/>
      <c r="AP43" s="69"/>
      <c r="AQ43" s="96"/>
      <c r="AR43" s="97"/>
      <c r="AS43" s="97"/>
      <c r="AT43" s="97"/>
    </row>
    <row r="44" spans="1:56" ht="15" hidden="1" customHeight="1">
      <c r="A44" s="37"/>
      <c r="B44" s="37"/>
      <c r="D44" s="11"/>
      <c r="E44" s="33"/>
      <c r="F44" s="11" t="s">
        <v>0</v>
      </c>
      <c r="H44" s="105" t="s">
        <v>39</v>
      </c>
      <c r="I44" s="106"/>
      <c r="K44" s="106"/>
      <c r="M44" s="106"/>
      <c r="O44" s="109"/>
      <c r="Q44" s="108">
        <v>0.72870000000000001</v>
      </c>
      <c r="R44" s="73"/>
      <c r="S44" s="64"/>
      <c r="T44" s="64"/>
      <c r="V44" s="64"/>
      <c r="X44" s="64"/>
      <c r="Y44" s="64"/>
      <c r="Z44" s="64"/>
      <c r="AA44" s="67"/>
      <c r="AB44" s="67"/>
      <c r="AC44" s="64"/>
      <c r="AD44" s="64"/>
      <c r="AF44" s="64"/>
      <c r="AG44" s="67"/>
      <c r="AH44" s="67"/>
      <c r="AI44" s="67"/>
      <c r="AJ44" s="2"/>
      <c r="AK44" s="2"/>
      <c r="AL44" s="73"/>
      <c r="AM44" s="105"/>
      <c r="AN44" s="68"/>
      <c r="AO44" s="68"/>
      <c r="AP44" s="69"/>
      <c r="AQ44" s="96"/>
      <c r="AR44" s="97"/>
      <c r="AS44" s="97"/>
      <c r="AT44" s="97"/>
    </row>
    <row r="45" spans="1:56" ht="15" customHeight="1">
      <c r="A45" s="37"/>
      <c r="B45" s="1"/>
      <c r="C45" s="38"/>
      <c r="F45" s="11" t="s">
        <v>0</v>
      </c>
      <c r="H45" s="105" t="s">
        <v>40</v>
      </c>
      <c r="I45" s="65"/>
      <c r="K45" s="65"/>
      <c r="M45" s="65"/>
      <c r="O45" s="66"/>
      <c r="R45" s="68"/>
      <c r="S45" s="108">
        <v>0.46210000000000001</v>
      </c>
      <c r="T45" s="59"/>
      <c r="U45" s="59"/>
      <c r="V45" s="59"/>
      <c r="W45" s="59"/>
      <c r="X45" s="59"/>
      <c r="Y45" s="59"/>
      <c r="Z45" s="59"/>
      <c r="AA45" s="59"/>
      <c r="AB45" s="59"/>
      <c r="AC45" s="59"/>
      <c r="AD45" s="59"/>
      <c r="AE45" s="59"/>
      <c r="AF45" s="59"/>
      <c r="AG45" s="59"/>
      <c r="AH45" s="59"/>
      <c r="AI45" s="59"/>
      <c r="AJ45" s="76"/>
      <c r="AK45" s="76"/>
      <c r="AL45" s="2"/>
      <c r="AM45" s="105"/>
      <c r="AN45" s="59"/>
      <c r="AQ45" s="94"/>
    </row>
    <row r="46" spans="1:56" ht="15" customHeight="1">
      <c r="A46" s="37"/>
      <c r="B46" s="1"/>
      <c r="C46" s="38"/>
      <c r="F46" s="11" t="s">
        <v>0</v>
      </c>
      <c r="G46" s="8" t="str">
        <f>"(B) Mill rate based on "&amp;TEXT(AO8,"0000")&amp;" "&amp;TEXT(AO9,"")&amp;" Valuation (TID-OUT) of "&amp;DOLLAR((AO14),0)&amp;" with annual growth of "&amp;TEXT(AP15,"0.00%")&amp;"."</f>
        <v>(B) Mill rate based on 2015 Equalized Valuation (TID-OUT) of $671,489,234 with annual growth of 0.00%.</v>
      </c>
      <c r="H46" s="2"/>
      <c r="I46" s="2"/>
      <c r="J46" s="2"/>
      <c r="K46" s="2"/>
      <c r="L46" s="104"/>
      <c r="M46" s="2"/>
      <c r="N46" s="104"/>
      <c r="O46" s="2"/>
      <c r="P46" s="104"/>
      <c r="Q46" s="104"/>
      <c r="R46" s="80"/>
      <c r="S46" s="2"/>
      <c r="T46" s="2"/>
      <c r="U46" s="2"/>
      <c r="V46" s="2"/>
      <c r="W46" s="2"/>
      <c r="X46" s="2"/>
      <c r="Y46" s="2"/>
      <c r="Z46" s="2"/>
      <c r="AA46" s="2"/>
      <c r="AB46" s="2"/>
      <c r="AC46" s="2"/>
      <c r="AD46" s="2"/>
      <c r="AE46" s="2"/>
      <c r="AF46" s="2"/>
      <c r="AG46" s="2"/>
      <c r="AH46" s="2"/>
      <c r="AI46" s="2"/>
      <c r="AJ46" s="76"/>
      <c r="AK46" s="76"/>
      <c r="AL46" s="64"/>
      <c r="AM46" s="2"/>
      <c r="AN46" s="2"/>
      <c r="AQ46" s="94"/>
    </row>
    <row r="47" spans="1:56" ht="15" customHeight="1">
      <c r="A47" s="37"/>
      <c r="B47" s="2"/>
      <c r="D47" s="11"/>
      <c r="E47" s="33"/>
      <c r="F47" s="11" t="s">
        <v>0</v>
      </c>
      <c r="H47" s="74"/>
      <c r="I47" s="75"/>
      <c r="J47" s="75"/>
      <c r="K47" s="75"/>
      <c r="L47" s="76"/>
      <c r="M47" s="75"/>
      <c r="N47" s="73"/>
      <c r="O47" s="75"/>
      <c r="P47" s="73"/>
      <c r="Q47" s="73"/>
      <c r="R47" s="2"/>
      <c r="S47" s="73"/>
      <c r="T47" s="73"/>
      <c r="U47" s="73"/>
      <c r="V47" s="73"/>
      <c r="W47" s="73"/>
      <c r="X47" s="73"/>
      <c r="Y47" s="73"/>
      <c r="Z47" s="73"/>
      <c r="AA47" s="76"/>
      <c r="AB47" s="76"/>
      <c r="AC47" s="73"/>
      <c r="AD47" s="73"/>
      <c r="AE47" s="73"/>
      <c r="AF47" s="73"/>
      <c r="AG47" s="76"/>
      <c r="AH47" s="76"/>
      <c r="AI47" s="76"/>
      <c r="AJ47" s="76"/>
      <c r="AK47" s="76"/>
      <c r="AL47" s="73"/>
      <c r="AM47" s="74"/>
      <c r="AN47" s="68"/>
      <c r="AO47" s="68"/>
      <c r="AP47" s="69"/>
      <c r="AQ47" s="96"/>
      <c r="AR47" s="97"/>
      <c r="AS47" s="97"/>
      <c r="AT47" s="97"/>
    </row>
    <row r="48" spans="1:56" ht="39" customHeight="1">
      <c r="A48" s="37"/>
      <c r="B48" s="2"/>
      <c r="D48" s="11"/>
      <c r="E48" s="33"/>
      <c r="F48" s="11" t="s">
        <v>0</v>
      </c>
      <c r="G48" s="292" t="s">
        <v>116</v>
      </c>
      <c r="H48" s="293"/>
      <c r="I48" s="293"/>
      <c r="J48" s="293"/>
      <c r="K48" s="293"/>
      <c r="L48" s="293"/>
      <c r="M48" s="293"/>
      <c r="N48" s="293"/>
      <c r="O48" s="293"/>
      <c r="P48" s="293"/>
      <c r="Q48" s="293"/>
      <c r="R48" s="293"/>
      <c r="S48" s="293"/>
      <c r="T48" s="293"/>
      <c r="U48" s="293"/>
      <c r="V48" s="293"/>
      <c r="W48" s="293"/>
      <c r="X48" s="293"/>
      <c r="Y48" s="293"/>
      <c r="Z48" s="293"/>
      <c r="AA48" s="293"/>
      <c r="AB48" s="293"/>
      <c r="AC48" s="293"/>
      <c r="AD48" s="293"/>
      <c r="AE48" s="293"/>
      <c r="AF48" s="293"/>
      <c r="AG48" s="293"/>
      <c r="AH48" s="293"/>
      <c r="AI48" s="293"/>
      <c r="AJ48" s="293"/>
      <c r="AK48" s="293"/>
      <c r="AL48" s="293"/>
      <c r="AM48" s="74"/>
      <c r="AN48" s="68"/>
      <c r="AO48" s="68"/>
      <c r="AP48" s="69"/>
      <c r="AQ48" s="96"/>
      <c r="AR48" s="97"/>
      <c r="AS48" s="97"/>
      <c r="AT48" s="97"/>
    </row>
    <row r="49" spans="1:46" ht="114" customHeight="1">
      <c r="A49" s="37"/>
      <c r="B49" s="2"/>
      <c r="D49" s="11"/>
      <c r="E49" s="33"/>
      <c r="F49" s="11" t="s">
        <v>0</v>
      </c>
      <c r="G49" s="294" t="s">
        <v>115</v>
      </c>
      <c r="H49" s="295"/>
      <c r="I49" s="295"/>
      <c r="J49" s="295"/>
      <c r="K49" s="295"/>
      <c r="L49" s="295"/>
      <c r="M49" s="295"/>
      <c r="N49" s="295"/>
      <c r="O49" s="295"/>
      <c r="P49" s="295"/>
      <c r="Q49" s="295"/>
      <c r="R49" s="295"/>
      <c r="S49" s="295"/>
      <c r="T49" s="295"/>
      <c r="U49" s="295"/>
      <c r="V49" s="295"/>
      <c r="W49" s="295"/>
      <c r="X49" s="295"/>
      <c r="Y49" s="295"/>
      <c r="Z49" s="295"/>
      <c r="AA49" s="295"/>
      <c r="AB49" s="295"/>
      <c r="AC49" s="295"/>
      <c r="AD49" s="295"/>
      <c r="AE49" s="295"/>
      <c r="AF49" s="295"/>
      <c r="AG49" s="295"/>
      <c r="AH49" s="295"/>
      <c r="AI49" s="295"/>
      <c r="AJ49" s="295"/>
      <c r="AK49" s="295"/>
      <c r="AL49" s="295"/>
      <c r="AM49" s="60"/>
      <c r="AN49" s="68"/>
      <c r="AO49" s="68"/>
      <c r="AP49" s="69"/>
      <c r="AQ49" s="96"/>
      <c r="AR49" s="97"/>
      <c r="AS49" s="97"/>
      <c r="AT49" s="97"/>
    </row>
    <row r="50" spans="1:46" ht="15" customHeight="1">
      <c r="A50" s="37"/>
      <c r="B50" s="2"/>
      <c r="D50" s="11"/>
      <c r="E50" s="33"/>
      <c r="F50" s="11" t="s">
        <v>0</v>
      </c>
      <c r="I50" s="75"/>
      <c r="J50" s="75"/>
      <c r="K50" s="75"/>
      <c r="L50" s="76"/>
      <c r="M50" s="75"/>
      <c r="N50" s="73"/>
      <c r="O50" s="75"/>
      <c r="P50" s="73"/>
      <c r="Q50" s="73"/>
      <c r="R50" s="2"/>
      <c r="S50" s="73"/>
      <c r="T50" s="73"/>
      <c r="U50" s="73"/>
      <c r="V50" s="73"/>
      <c r="W50" s="73"/>
      <c r="X50" s="73"/>
      <c r="Y50" s="73"/>
      <c r="Z50" s="73"/>
      <c r="AA50" s="76"/>
      <c r="AB50" s="76"/>
      <c r="AC50" s="73"/>
      <c r="AD50" s="73"/>
      <c r="AE50" s="73"/>
      <c r="AF50" s="73"/>
      <c r="AG50" s="76"/>
      <c r="AH50" s="76"/>
      <c r="AI50" s="76"/>
      <c r="AJ50" s="1"/>
      <c r="AK50" s="1"/>
      <c r="AL50" s="68"/>
      <c r="AN50" s="68"/>
      <c r="AO50" s="68"/>
      <c r="AP50" s="69"/>
      <c r="AQ50" s="96"/>
      <c r="AR50" s="97"/>
      <c r="AS50" s="97"/>
      <c r="AT50" s="97"/>
    </row>
    <row r="51" spans="1:46" ht="15" customHeight="1">
      <c r="A51" s="1"/>
      <c r="B51" s="2"/>
      <c r="D51" s="2"/>
      <c r="E51" s="77" t="s">
        <v>30</v>
      </c>
      <c r="F51" s="11" t="s">
        <v>0</v>
      </c>
      <c r="H51" s="60"/>
      <c r="I51" s="75"/>
      <c r="J51" s="75"/>
      <c r="K51" s="75"/>
      <c r="L51" s="78"/>
      <c r="M51" s="75"/>
      <c r="N51" s="68"/>
      <c r="O51" s="75"/>
      <c r="P51" s="68"/>
      <c r="Q51" s="68"/>
      <c r="R51" s="2"/>
      <c r="S51" s="68"/>
      <c r="T51" s="68"/>
      <c r="U51" s="68"/>
      <c r="V51" s="68"/>
      <c r="W51" s="68"/>
      <c r="X51" s="68"/>
      <c r="Y51" s="68"/>
      <c r="Z51" s="68"/>
      <c r="AA51" s="78"/>
      <c r="AB51" s="78"/>
      <c r="AC51" s="68"/>
      <c r="AD51" s="68"/>
      <c r="AE51" s="68"/>
      <c r="AF51" s="68"/>
      <c r="AG51" s="78"/>
      <c r="AH51" s="78"/>
      <c r="AI51" s="78"/>
      <c r="AJ51" s="2"/>
      <c r="AK51" s="2"/>
      <c r="AL51" s="1"/>
      <c r="AM51" s="60"/>
      <c r="AN51" s="68"/>
      <c r="AO51" s="68"/>
      <c r="AP51" s="69"/>
      <c r="AQ51" s="97"/>
      <c r="AR51" s="97"/>
      <c r="AS51" s="97"/>
      <c r="AT51" s="97"/>
    </row>
    <row r="52" spans="1:46" ht="15" customHeight="1">
      <c r="A52" s="1"/>
      <c r="B52" s="2"/>
      <c r="F52" s="11" t="s">
        <v>0</v>
      </c>
      <c r="H52" s="79"/>
      <c r="I52" s="30"/>
      <c r="J52" s="30"/>
      <c r="K52" s="30"/>
      <c r="L52" s="1"/>
      <c r="M52" s="30"/>
      <c r="N52" s="80"/>
      <c r="O52" s="30"/>
      <c r="P52" s="80"/>
      <c r="Q52" s="80"/>
      <c r="R52" s="2"/>
      <c r="S52" s="80"/>
      <c r="T52" s="80"/>
      <c r="U52" s="81"/>
      <c r="W52" s="81"/>
      <c r="Z52" s="1"/>
      <c r="AA52" s="1"/>
      <c r="AB52" s="1"/>
      <c r="AD52" s="80"/>
      <c r="AE52" s="81"/>
      <c r="AG52" s="1"/>
      <c r="AH52" s="1"/>
      <c r="AI52" s="1"/>
      <c r="AJ52" s="2"/>
      <c r="AK52" s="2"/>
      <c r="AL52" s="2"/>
      <c r="AM52" s="79"/>
    </row>
    <row r="53" spans="1:46" ht="15" customHeight="1">
      <c r="A53" s="2"/>
      <c r="B53" s="2"/>
      <c r="C53" s="38"/>
      <c r="F53" s="11" t="s">
        <v>0</v>
      </c>
      <c r="G53" s="192" t="s">
        <v>119</v>
      </c>
      <c r="I53" s="63"/>
      <c r="J53" s="63"/>
      <c r="K53" s="63"/>
      <c r="L53" s="2"/>
      <c r="M53" s="63"/>
      <c r="N53" s="2"/>
      <c r="O53" s="63"/>
      <c r="P53" s="2"/>
      <c r="Q53" s="2"/>
      <c r="R53" s="2"/>
      <c r="S53" s="2"/>
      <c r="T53" s="2"/>
      <c r="U53" s="82"/>
      <c r="V53" s="2"/>
      <c r="W53" s="82"/>
      <c r="X53" s="2"/>
      <c r="Z53" s="2"/>
      <c r="AA53" s="2"/>
      <c r="AB53" s="2"/>
      <c r="AD53" s="2"/>
      <c r="AE53" s="82"/>
      <c r="AF53" s="2"/>
      <c r="AG53" s="2"/>
      <c r="AH53" s="2"/>
      <c r="AI53" s="2"/>
      <c r="AJ53" s="2"/>
      <c r="AK53" s="2"/>
      <c r="AL53" s="2"/>
      <c r="AN53" s="2"/>
    </row>
    <row r="54" spans="1:46" ht="15" customHeight="1">
      <c r="A54" s="2"/>
      <c r="B54" s="2"/>
      <c r="C54" s="38"/>
      <c r="F54" s="11" t="s">
        <v>0</v>
      </c>
      <c r="G54" s="2"/>
      <c r="I54" s="63"/>
      <c r="J54" s="63"/>
      <c r="K54" s="63"/>
      <c r="L54" s="2"/>
      <c r="M54" s="63"/>
      <c r="N54" s="2"/>
      <c r="O54" s="63"/>
      <c r="P54" s="2"/>
      <c r="Q54" s="2"/>
      <c r="R54" s="2"/>
      <c r="S54" s="2"/>
      <c r="T54" s="2"/>
      <c r="U54" s="82"/>
      <c r="V54" s="2"/>
      <c r="W54" s="82"/>
      <c r="X54" s="2"/>
      <c r="Z54" s="2"/>
      <c r="AA54" s="2"/>
      <c r="AB54" s="2"/>
      <c r="AD54" s="2"/>
      <c r="AE54" s="82"/>
      <c r="AF54" s="2"/>
      <c r="AG54" s="2"/>
      <c r="AH54" s="2"/>
      <c r="AI54" s="2"/>
      <c r="AJ54" s="2"/>
      <c r="AK54" s="2"/>
      <c r="AL54" s="2"/>
      <c r="AN54" s="2"/>
    </row>
    <row r="55" spans="1:46" ht="15" customHeight="1">
      <c r="A55" s="2"/>
      <c r="B55" s="2"/>
      <c r="C55" s="38"/>
      <c r="F55" s="11" t="s">
        <v>0</v>
      </c>
      <c r="G55" s="2"/>
      <c r="H55" s="83"/>
      <c r="I55" s="83"/>
      <c r="J55" s="83"/>
      <c r="K55" s="83"/>
      <c r="L55" s="2"/>
      <c r="M55" s="83"/>
      <c r="N55" s="2"/>
      <c r="O55" s="83"/>
      <c r="P55" s="2"/>
      <c r="Q55" s="2"/>
      <c r="R55" s="2"/>
      <c r="S55" s="2"/>
      <c r="T55" s="2"/>
      <c r="U55" s="2"/>
      <c r="V55" s="2"/>
      <c r="W55" s="2"/>
      <c r="X55" s="2"/>
      <c r="Z55" s="2"/>
      <c r="AA55" s="2"/>
      <c r="AB55" s="2"/>
      <c r="AD55" s="2"/>
      <c r="AE55" s="2"/>
      <c r="AF55" s="2"/>
      <c r="AG55" s="2"/>
      <c r="AH55" s="2"/>
      <c r="AI55" s="2"/>
      <c r="AJ55" s="2"/>
      <c r="AK55" s="2"/>
      <c r="AL55" s="2"/>
      <c r="AM55" s="83"/>
      <c r="AN55" s="2"/>
    </row>
    <row r="56" spans="1:46" ht="15" customHeight="1">
      <c r="A56" s="2"/>
      <c r="B56" s="2"/>
      <c r="C56" s="2"/>
      <c r="F56" s="11" t="s">
        <v>0</v>
      </c>
      <c r="G56" s="2"/>
      <c r="I56" s="83"/>
      <c r="J56" s="83"/>
      <c r="K56" s="83"/>
      <c r="L56" s="2"/>
      <c r="M56" s="83"/>
      <c r="N56" s="2"/>
      <c r="O56" s="83"/>
      <c r="P56" s="2"/>
      <c r="Q56" s="2"/>
      <c r="R56" s="2"/>
      <c r="S56" s="2"/>
      <c r="T56" s="2"/>
      <c r="U56" s="2"/>
      <c r="V56" s="2"/>
      <c r="W56" s="2"/>
      <c r="X56" s="2"/>
      <c r="Z56" s="2"/>
      <c r="AA56" s="2"/>
      <c r="AB56" s="2"/>
      <c r="AD56" s="2"/>
      <c r="AE56" s="2"/>
      <c r="AF56" s="2"/>
      <c r="AG56" s="2"/>
      <c r="AH56" s="2"/>
      <c r="AI56" s="2"/>
      <c r="AJ56" s="2"/>
      <c r="AK56" s="2"/>
      <c r="AL56" s="2"/>
      <c r="AN56" s="2"/>
    </row>
    <row r="57" spans="1:46" ht="15" customHeight="1">
      <c r="A57" s="2"/>
      <c r="B57" s="2"/>
      <c r="C57" s="2"/>
      <c r="F57" s="11" t="s">
        <v>0</v>
      </c>
      <c r="G57" s="2"/>
      <c r="I57" s="83"/>
      <c r="J57" s="83"/>
      <c r="K57" s="83"/>
      <c r="L57" s="2"/>
      <c r="M57" s="83"/>
      <c r="N57" s="2"/>
      <c r="O57" s="83"/>
      <c r="P57" s="2"/>
      <c r="Q57" s="2"/>
      <c r="R57" s="2"/>
      <c r="S57" s="2"/>
      <c r="T57" s="2"/>
      <c r="U57" s="2"/>
      <c r="V57" s="2"/>
      <c r="W57" s="2"/>
      <c r="X57" s="2"/>
      <c r="Y57" s="2"/>
      <c r="Z57" s="2"/>
      <c r="AA57" s="2"/>
      <c r="AB57" s="2"/>
      <c r="AC57" s="2"/>
      <c r="AD57" s="2"/>
      <c r="AE57" s="2"/>
      <c r="AF57" s="2"/>
      <c r="AG57" s="2"/>
      <c r="AH57" s="2"/>
      <c r="AI57" s="2"/>
      <c r="AJ57" s="2"/>
      <c r="AK57" s="2"/>
      <c r="AL57" s="2"/>
      <c r="AN57" s="2"/>
    </row>
    <row r="58" spans="1:46" ht="15" customHeight="1">
      <c r="A58" s="2"/>
      <c r="B58" s="2"/>
      <c r="C58" s="2"/>
      <c r="F58" s="11" t="s">
        <v>0</v>
      </c>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row>
    <row r="59" spans="1:46" ht="15" customHeight="1">
      <c r="A59" s="2"/>
      <c r="B59" s="2"/>
      <c r="C59" s="2"/>
      <c r="F59" s="11" t="s">
        <v>0</v>
      </c>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row>
    <row r="60" spans="1:46" ht="15" customHeight="1">
      <c r="A60" s="2"/>
      <c r="B60" s="2"/>
      <c r="C60" s="2"/>
      <c r="F60" s="11" t="s">
        <v>0</v>
      </c>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row>
    <row r="61" spans="1:46">
      <c r="A61" s="2"/>
      <c r="B61" s="2"/>
      <c r="C61" s="2"/>
      <c r="D61" s="2"/>
      <c r="E61" s="77" t="s">
        <v>30</v>
      </c>
      <c r="F61" s="11" t="s">
        <v>0</v>
      </c>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row>
    <row r="62" spans="1:46">
      <c r="A62" s="2"/>
      <c r="B62" s="2"/>
      <c r="C62" s="2"/>
      <c r="D62" s="2"/>
      <c r="E62" s="2"/>
      <c r="F62" s="11" t="s">
        <v>0</v>
      </c>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row>
    <row r="63" spans="1:46">
      <c r="A63" s="2"/>
      <c r="B63" s="2"/>
      <c r="C63" s="2"/>
      <c r="D63" s="2"/>
      <c r="E63" s="2"/>
      <c r="F63" s="11" t="s">
        <v>0</v>
      </c>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row>
    <row r="64" spans="1:46">
      <c r="A64" s="2"/>
      <c r="B64" s="2"/>
      <c r="C64" s="2"/>
      <c r="D64" s="2"/>
      <c r="E64" s="2"/>
      <c r="F64" s="11" t="s">
        <v>0</v>
      </c>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row>
    <row r="65" spans="1:40">
      <c r="A65" s="2"/>
      <c r="B65" s="2"/>
      <c r="C65" s="2"/>
      <c r="D65" s="2"/>
      <c r="E65" s="2"/>
      <c r="F65" s="11" t="s">
        <v>0</v>
      </c>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row>
    <row r="66" spans="1:40">
      <c r="A66" s="2"/>
      <c r="B66" s="2"/>
      <c r="C66" s="2"/>
      <c r="D66" s="2"/>
      <c r="E66" s="2"/>
      <c r="F66" s="11" t="s">
        <v>0</v>
      </c>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row>
    <row r="67" spans="1:40">
      <c r="A67" s="2"/>
      <c r="B67" s="2"/>
      <c r="C67" s="2"/>
      <c r="D67" s="2"/>
      <c r="E67" s="2"/>
      <c r="F67" s="11" t="s">
        <v>0</v>
      </c>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row>
    <row r="68" spans="1:40">
      <c r="A68" s="2"/>
      <c r="B68" s="2"/>
      <c r="C68" s="2"/>
      <c r="D68" s="2"/>
      <c r="E68" s="2"/>
      <c r="F68" s="11" t="s">
        <v>0</v>
      </c>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row>
    <row r="69" spans="1:40">
      <c r="A69" s="2"/>
      <c r="B69" s="2"/>
      <c r="C69" s="2"/>
      <c r="D69" s="2"/>
      <c r="E69" s="2"/>
      <c r="F69" s="11" t="s">
        <v>0</v>
      </c>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row>
    <row r="70" spans="1:40">
      <c r="A70" s="2"/>
      <c r="B70" s="2"/>
      <c r="C70" s="2"/>
      <c r="D70" s="2"/>
      <c r="E70" s="2"/>
      <c r="F70" s="11" t="s">
        <v>0</v>
      </c>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row>
    <row r="71" spans="1:40">
      <c r="A71" s="2"/>
      <c r="B71" s="2"/>
      <c r="C71" s="2"/>
      <c r="D71" s="2"/>
      <c r="E71" s="2"/>
      <c r="F71" s="11" t="s">
        <v>0</v>
      </c>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row>
    <row r="72" spans="1:40">
      <c r="A72" s="2"/>
      <c r="B72" s="2"/>
      <c r="C72" s="2"/>
      <c r="D72" s="2"/>
      <c r="E72" s="2"/>
      <c r="F72" s="11" t="s">
        <v>0</v>
      </c>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row>
    <row r="73" spans="1:40">
      <c r="A73" s="2"/>
      <c r="B73" s="2"/>
      <c r="C73" s="2"/>
      <c r="D73" s="2"/>
      <c r="E73" s="2"/>
      <c r="F73" s="11" t="s">
        <v>0</v>
      </c>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row>
    <row r="74" spans="1:40">
      <c r="A74" s="2"/>
      <c r="B74" s="2"/>
      <c r="C74" s="2"/>
      <c r="D74" s="2"/>
      <c r="E74" s="2"/>
      <c r="F74" s="11" t="s">
        <v>0</v>
      </c>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row>
    <row r="75" spans="1:40">
      <c r="A75" s="2"/>
      <c r="B75" s="2"/>
      <c r="C75" s="2"/>
      <c r="D75" s="2"/>
      <c r="E75" s="2"/>
      <c r="F75" s="11" t="s">
        <v>0</v>
      </c>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row>
    <row r="76" spans="1:40">
      <c r="A76" s="2"/>
      <c r="B76" s="2"/>
      <c r="C76" s="2"/>
      <c r="D76" s="2"/>
      <c r="E76" s="2"/>
      <c r="F76" s="11" t="s">
        <v>0</v>
      </c>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row>
    <row r="77" spans="1:40">
      <c r="A77" s="2"/>
      <c r="B77" s="2"/>
      <c r="C77" s="2"/>
      <c r="D77" s="2"/>
      <c r="E77" s="2"/>
      <c r="F77" s="11" t="s">
        <v>0</v>
      </c>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row>
    <row r="78" spans="1:40">
      <c r="A78" s="2"/>
      <c r="B78" s="2"/>
      <c r="C78" s="2"/>
      <c r="D78" s="2"/>
      <c r="E78" s="2"/>
      <c r="F78" s="11" t="s">
        <v>0</v>
      </c>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row>
    <row r="79" spans="1:40">
      <c r="A79" s="2"/>
      <c r="B79" s="2"/>
      <c r="C79" s="2"/>
      <c r="D79" s="2"/>
      <c r="E79" s="2"/>
      <c r="F79" s="11" t="s">
        <v>0</v>
      </c>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row>
    <row r="80" spans="1:40">
      <c r="A80" s="2"/>
      <c r="B80" s="2"/>
      <c r="C80" s="2"/>
      <c r="D80" s="2"/>
      <c r="E80" s="2"/>
      <c r="F80" s="11" t="s">
        <v>0</v>
      </c>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row>
    <row r="81" spans="1:40">
      <c r="A81" s="2"/>
      <c r="B81" s="2"/>
      <c r="C81" s="2"/>
      <c r="D81" s="2"/>
      <c r="E81" s="2"/>
      <c r="F81" s="11" t="s">
        <v>0</v>
      </c>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row>
    <row r="82" spans="1:40">
      <c r="A82" s="2"/>
      <c r="B82" s="2"/>
      <c r="C82" s="2"/>
      <c r="D82" s="2"/>
      <c r="E82" s="2"/>
      <c r="F82" s="11" t="s">
        <v>0</v>
      </c>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row>
    <row r="83" spans="1:40">
      <c r="A83" s="2"/>
      <c r="B83" s="2"/>
      <c r="C83" s="2"/>
      <c r="D83" s="2"/>
      <c r="E83" s="2"/>
      <c r="F83" s="11" t="s">
        <v>0</v>
      </c>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row>
    <row r="84" spans="1:40">
      <c r="A84" s="2"/>
      <c r="B84" s="2"/>
      <c r="C84" s="2"/>
      <c r="D84" s="2"/>
      <c r="E84" s="2"/>
      <c r="F84" s="11" t="s">
        <v>0</v>
      </c>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row>
    <row r="85" spans="1:40">
      <c r="A85" s="2"/>
      <c r="B85" s="1"/>
      <c r="C85" s="2"/>
      <c r="D85" s="2"/>
      <c r="E85" s="2"/>
      <c r="F85" s="11" t="s">
        <v>0</v>
      </c>
      <c r="G85" s="2"/>
      <c r="H85" s="2"/>
      <c r="I85" s="2"/>
      <c r="J85" s="2"/>
      <c r="K85" s="2"/>
      <c r="L85" s="2"/>
      <c r="M85" s="2"/>
      <c r="N85" s="2"/>
      <c r="O85" s="2"/>
      <c r="P85" s="2"/>
      <c r="Q85" s="2"/>
      <c r="S85" s="2"/>
      <c r="T85" s="2"/>
      <c r="U85" s="2"/>
      <c r="V85" s="2"/>
      <c r="W85" s="2"/>
      <c r="X85" s="2"/>
      <c r="Y85" s="2"/>
      <c r="Z85" s="2"/>
      <c r="AA85" s="2"/>
      <c r="AB85" s="2"/>
      <c r="AC85" s="2"/>
      <c r="AD85" s="2"/>
      <c r="AE85" s="2"/>
      <c r="AF85" s="2"/>
      <c r="AG85" s="2"/>
      <c r="AH85" s="2"/>
      <c r="AI85" s="2"/>
      <c r="AJ85" s="2"/>
      <c r="AK85" s="2"/>
      <c r="AL85" s="2"/>
      <c r="AM85" s="2"/>
      <c r="AN85" s="2"/>
    </row>
    <row r="86" spans="1:40">
      <c r="A86" s="2"/>
      <c r="B86" s="1"/>
      <c r="C86" s="2"/>
      <c r="D86" s="2"/>
      <c r="E86" s="2"/>
      <c r="F86" s="11" t="s">
        <v>0</v>
      </c>
      <c r="G86" s="2"/>
      <c r="H86" s="2"/>
      <c r="I86" s="2"/>
      <c r="J86" s="2"/>
      <c r="K86" s="2"/>
      <c r="L86" s="2"/>
      <c r="M86" s="2"/>
      <c r="N86" s="2"/>
      <c r="O86" s="2"/>
      <c r="P86" s="2"/>
      <c r="Q86" s="2"/>
      <c r="S86" s="2"/>
      <c r="T86" s="2"/>
      <c r="U86" s="2"/>
      <c r="V86" s="2"/>
      <c r="W86" s="2"/>
      <c r="X86" s="2"/>
      <c r="Y86" s="2"/>
      <c r="Z86" s="2"/>
      <c r="AA86" s="2"/>
      <c r="AB86" s="2"/>
      <c r="AC86" s="2"/>
      <c r="AD86" s="2"/>
      <c r="AE86" s="2"/>
      <c r="AF86" s="2"/>
      <c r="AG86" s="2"/>
      <c r="AH86" s="2"/>
      <c r="AI86" s="2"/>
      <c r="AJ86" s="2"/>
      <c r="AK86" s="2"/>
      <c r="AL86" s="2"/>
      <c r="AM86" s="2"/>
      <c r="AN86" s="2"/>
    </row>
    <row r="87" spans="1:40">
      <c r="A87" s="2"/>
      <c r="B87" s="1"/>
      <c r="C87" s="2"/>
      <c r="D87" s="2"/>
      <c r="E87" s="2"/>
      <c r="F87" s="11" t="s">
        <v>0</v>
      </c>
      <c r="G87" s="2"/>
      <c r="H87" s="2"/>
      <c r="I87" s="2"/>
      <c r="J87" s="2"/>
      <c r="K87" s="2"/>
      <c r="L87" s="2"/>
      <c r="M87" s="2"/>
      <c r="N87" s="2"/>
      <c r="O87" s="2"/>
      <c r="P87" s="2"/>
      <c r="Q87" s="2"/>
      <c r="S87" s="2"/>
      <c r="T87" s="2"/>
      <c r="U87" s="2"/>
      <c r="V87" s="2"/>
      <c r="W87" s="2"/>
      <c r="X87" s="2"/>
      <c r="Y87" s="2"/>
      <c r="Z87" s="2"/>
      <c r="AA87" s="2"/>
      <c r="AB87" s="2"/>
      <c r="AC87" s="2"/>
      <c r="AD87" s="2"/>
      <c r="AE87" s="2"/>
      <c r="AF87" s="2"/>
      <c r="AG87" s="2"/>
      <c r="AH87" s="2"/>
      <c r="AI87" s="2"/>
      <c r="AJ87" s="2"/>
      <c r="AK87" s="2"/>
      <c r="AL87" s="2"/>
      <c r="AM87" s="2"/>
      <c r="AN87" s="2"/>
    </row>
    <row r="88" spans="1:40">
      <c r="A88" s="2"/>
      <c r="B88" s="1"/>
      <c r="C88" s="2"/>
      <c r="D88" s="2"/>
      <c r="E88" s="2"/>
      <c r="F88" s="11" t="s">
        <v>0</v>
      </c>
      <c r="G88" s="2"/>
      <c r="H88" s="2"/>
      <c r="I88" s="2"/>
      <c r="J88" s="2"/>
      <c r="K88" s="2"/>
      <c r="L88" s="2"/>
      <c r="M88" s="2"/>
      <c r="N88" s="2"/>
      <c r="O88" s="2"/>
      <c r="P88" s="2"/>
      <c r="Q88" s="2"/>
      <c r="S88" s="2"/>
      <c r="T88" s="2"/>
      <c r="U88" s="2"/>
      <c r="V88" s="2"/>
      <c r="W88" s="2"/>
      <c r="X88" s="2"/>
      <c r="Y88" s="2"/>
      <c r="Z88" s="2"/>
      <c r="AA88" s="2"/>
      <c r="AB88" s="2"/>
      <c r="AC88" s="2"/>
      <c r="AD88" s="2"/>
      <c r="AE88" s="2"/>
      <c r="AF88" s="2"/>
      <c r="AG88" s="2"/>
      <c r="AH88" s="2"/>
      <c r="AI88" s="2"/>
      <c r="AJ88" s="2"/>
      <c r="AK88" s="2"/>
      <c r="AL88" s="2"/>
      <c r="AM88" s="2"/>
      <c r="AN88" s="2"/>
    </row>
    <row r="89" spans="1:40">
      <c r="A89" s="2"/>
      <c r="B89" s="1"/>
      <c r="C89" s="2"/>
      <c r="D89" s="2"/>
      <c r="E89" s="2"/>
      <c r="F89" s="11" t="s">
        <v>0</v>
      </c>
      <c r="G89" s="2"/>
      <c r="H89" s="2"/>
      <c r="I89" s="2"/>
      <c r="J89" s="2"/>
      <c r="K89" s="2"/>
      <c r="L89" s="2"/>
      <c r="M89" s="2"/>
      <c r="N89" s="2"/>
      <c r="O89" s="2"/>
      <c r="P89" s="2"/>
      <c r="Q89" s="2"/>
      <c r="S89" s="2"/>
      <c r="T89" s="2"/>
      <c r="U89" s="2"/>
      <c r="V89" s="2"/>
      <c r="W89" s="2"/>
      <c r="X89" s="2"/>
      <c r="Y89" s="2"/>
      <c r="Z89" s="2"/>
      <c r="AA89" s="2"/>
      <c r="AB89" s="2"/>
      <c r="AC89" s="2"/>
      <c r="AD89" s="2"/>
      <c r="AE89" s="2"/>
      <c r="AF89" s="2"/>
      <c r="AG89" s="2"/>
      <c r="AH89" s="2"/>
      <c r="AI89" s="2"/>
      <c r="AL89" s="2"/>
      <c r="AM89" s="2"/>
      <c r="AN89" s="2"/>
    </row>
    <row r="90" spans="1:40">
      <c r="A90" s="2"/>
      <c r="B90" s="1"/>
      <c r="C90" s="2"/>
      <c r="D90" s="2"/>
      <c r="E90" s="2"/>
      <c r="F90" s="11" t="s">
        <v>0</v>
      </c>
      <c r="G90" s="2"/>
      <c r="H90" s="2"/>
      <c r="I90" s="2"/>
      <c r="J90" s="2"/>
      <c r="K90" s="2"/>
      <c r="L90" s="2"/>
      <c r="M90" s="2"/>
      <c r="N90" s="2"/>
      <c r="O90" s="2"/>
      <c r="P90" s="2"/>
      <c r="Q90" s="2"/>
      <c r="S90" s="2"/>
      <c r="T90" s="2"/>
      <c r="U90" s="2"/>
      <c r="V90" s="2"/>
      <c r="W90" s="2"/>
      <c r="X90" s="2"/>
      <c r="Y90" s="2"/>
      <c r="Z90" s="2"/>
      <c r="AA90" s="2"/>
      <c r="AB90" s="2"/>
      <c r="AC90" s="2"/>
      <c r="AD90" s="2"/>
      <c r="AE90" s="2"/>
      <c r="AF90" s="2"/>
      <c r="AG90" s="2"/>
      <c r="AH90" s="2"/>
      <c r="AI90" s="2"/>
      <c r="AM90" s="2"/>
      <c r="AN90" s="2"/>
    </row>
    <row r="91" spans="1:40">
      <c r="A91" s="1"/>
      <c r="B91" s="1"/>
      <c r="F91" s="11" t="s">
        <v>0</v>
      </c>
    </row>
    <row r="92" spans="1:40">
      <c r="A92" s="1"/>
      <c r="B92" s="1"/>
      <c r="F92" s="11" t="s">
        <v>0</v>
      </c>
    </row>
    <row r="93" spans="1:40">
      <c r="A93" s="1"/>
      <c r="B93" s="1"/>
      <c r="F93" s="11" t="s">
        <v>0</v>
      </c>
    </row>
    <row r="94" spans="1:40">
      <c r="A94" s="1"/>
      <c r="B94" s="1"/>
      <c r="F94" s="11" t="s">
        <v>0</v>
      </c>
    </row>
    <row r="95" spans="1:40">
      <c r="A95" s="1"/>
      <c r="B95" s="1"/>
      <c r="F95" s="11" t="s">
        <v>0</v>
      </c>
    </row>
    <row r="96" spans="1:40">
      <c r="A96" s="1"/>
      <c r="B96" s="1"/>
      <c r="F96" s="11" t="s">
        <v>0</v>
      </c>
    </row>
    <row r="97" spans="1:6">
      <c r="A97" s="1"/>
      <c r="B97" s="1"/>
      <c r="F97" s="11" t="s">
        <v>0</v>
      </c>
    </row>
    <row r="98" spans="1:6">
      <c r="A98" s="1"/>
      <c r="B98" s="1"/>
      <c r="F98" s="11" t="s">
        <v>0</v>
      </c>
    </row>
    <row r="99" spans="1:6">
      <c r="A99" s="1"/>
      <c r="F99" s="11" t="s">
        <v>0</v>
      </c>
    </row>
    <row r="100" spans="1:6">
      <c r="A100" s="1"/>
      <c r="F100" s="11" t="s">
        <v>0</v>
      </c>
    </row>
    <row r="101" spans="1:6">
      <c r="A101" s="1"/>
      <c r="F101" s="11" t="s">
        <v>0</v>
      </c>
    </row>
    <row r="102" spans="1:6">
      <c r="A102" s="1"/>
      <c r="F102" s="11" t="s">
        <v>0</v>
      </c>
    </row>
    <row r="103" spans="1:6">
      <c r="A103" s="1"/>
      <c r="F103" s="11" t="s">
        <v>0</v>
      </c>
    </row>
    <row r="104" spans="1:6">
      <c r="A104" s="1"/>
      <c r="F104" s="11" t="s">
        <v>0</v>
      </c>
    </row>
    <row r="105" spans="1:6">
      <c r="F105" s="11" t="s">
        <v>0</v>
      </c>
    </row>
    <row r="106" spans="1:6">
      <c r="F106" s="11" t="s">
        <v>0</v>
      </c>
    </row>
    <row r="107" spans="1:6">
      <c r="F107" s="11" t="s">
        <v>0</v>
      </c>
    </row>
    <row r="108" spans="1:6">
      <c r="F108" s="11" t="s">
        <v>0</v>
      </c>
    </row>
    <row r="109" spans="1:6">
      <c r="F109" s="11" t="s">
        <v>0</v>
      </c>
    </row>
    <row r="110" spans="1:6">
      <c r="F110" s="11" t="s">
        <v>0</v>
      </c>
    </row>
    <row r="111" spans="1:6">
      <c r="F111" s="11" t="s">
        <v>0</v>
      </c>
    </row>
    <row r="112" spans="1:6">
      <c r="F112" s="11" t="s">
        <v>0</v>
      </c>
    </row>
    <row r="113" spans="6:6">
      <c r="F113" s="11" t="s">
        <v>0</v>
      </c>
    </row>
    <row r="114" spans="6:6">
      <c r="F114" s="11" t="s">
        <v>0</v>
      </c>
    </row>
    <row r="115" spans="6:6">
      <c r="F115" s="11" t="s">
        <v>0</v>
      </c>
    </row>
    <row r="116" spans="6:6">
      <c r="F116" s="11" t="s">
        <v>0</v>
      </c>
    </row>
    <row r="117" spans="6:6">
      <c r="F117" s="11" t="s">
        <v>0</v>
      </c>
    </row>
    <row r="118" spans="6:6">
      <c r="F118" s="11" t="s">
        <v>0</v>
      </c>
    </row>
    <row r="119" spans="6:6">
      <c r="F119" s="11" t="s">
        <v>0</v>
      </c>
    </row>
    <row r="120" spans="6:6">
      <c r="F120" s="11" t="s">
        <v>0</v>
      </c>
    </row>
    <row r="121" spans="6:6">
      <c r="F121" s="11" t="s">
        <v>0</v>
      </c>
    </row>
    <row r="122" spans="6:6">
      <c r="F122" s="11" t="s">
        <v>0</v>
      </c>
    </row>
    <row r="123" spans="6:6">
      <c r="F123" s="11" t="s">
        <v>0</v>
      </c>
    </row>
    <row r="124" spans="6:6">
      <c r="F124" s="11" t="s">
        <v>0</v>
      </c>
    </row>
    <row r="125" spans="6:6">
      <c r="F125" s="11" t="s">
        <v>0</v>
      </c>
    </row>
    <row r="126" spans="6:6">
      <c r="F126" s="11" t="s">
        <v>0</v>
      </c>
    </row>
    <row r="127" spans="6:6">
      <c r="F127" s="11" t="s">
        <v>0</v>
      </c>
    </row>
    <row r="128" spans="6:6">
      <c r="F128" s="11" t="s">
        <v>0</v>
      </c>
    </row>
    <row r="129" spans="6:6">
      <c r="F129" s="11" t="s">
        <v>0</v>
      </c>
    </row>
    <row r="130" spans="6:6">
      <c r="F130" s="11" t="s">
        <v>0</v>
      </c>
    </row>
    <row r="131" spans="6:6">
      <c r="F131" s="11" t="s">
        <v>0</v>
      </c>
    </row>
    <row r="132" spans="6:6">
      <c r="F132" s="11" t="s">
        <v>0</v>
      </c>
    </row>
    <row r="133" spans="6:6">
      <c r="F133" s="11" t="s">
        <v>0</v>
      </c>
    </row>
    <row r="134" spans="6:6">
      <c r="F134" s="11" t="s">
        <v>0</v>
      </c>
    </row>
    <row r="135" spans="6:6">
      <c r="F135" s="11" t="s">
        <v>0</v>
      </c>
    </row>
    <row r="136" spans="6:6">
      <c r="F136" s="11" t="s">
        <v>0</v>
      </c>
    </row>
    <row r="137" spans="6:6">
      <c r="F137" s="11" t="s">
        <v>0</v>
      </c>
    </row>
    <row r="138" spans="6:6">
      <c r="F138" s="11" t="s">
        <v>0</v>
      </c>
    </row>
    <row r="139" spans="6:6">
      <c r="F139" s="11" t="s">
        <v>0</v>
      </c>
    </row>
    <row r="140" spans="6:6">
      <c r="F140" s="11" t="s">
        <v>0</v>
      </c>
    </row>
    <row r="141" spans="6:6">
      <c r="F141" s="11" t="s">
        <v>0</v>
      </c>
    </row>
    <row r="142" spans="6:6">
      <c r="F142" s="11" t="s">
        <v>0</v>
      </c>
    </row>
    <row r="143" spans="6:6">
      <c r="F143" s="11" t="s">
        <v>0</v>
      </c>
    </row>
    <row r="144" spans="6:6">
      <c r="F144" s="11" t="s">
        <v>0</v>
      </c>
    </row>
    <row r="145" spans="6:6">
      <c r="F145" s="11" t="s">
        <v>0</v>
      </c>
    </row>
    <row r="146" spans="6:6">
      <c r="F146" s="11" t="s">
        <v>0</v>
      </c>
    </row>
    <row r="147" spans="6:6">
      <c r="F147" s="11" t="s">
        <v>0</v>
      </c>
    </row>
    <row r="148" spans="6:6">
      <c r="F148" s="11" t="s">
        <v>0</v>
      </c>
    </row>
    <row r="149" spans="6:6">
      <c r="F149" s="11" t="s">
        <v>0</v>
      </c>
    </row>
    <row r="150" spans="6:6">
      <c r="F150" s="11" t="s">
        <v>0</v>
      </c>
    </row>
    <row r="151" spans="6:6">
      <c r="F151" s="11" t="s">
        <v>0</v>
      </c>
    </row>
    <row r="152" spans="6:6">
      <c r="F152" s="11" t="s">
        <v>0</v>
      </c>
    </row>
    <row r="153" spans="6:6">
      <c r="F153" s="11" t="s">
        <v>0</v>
      </c>
    </row>
    <row r="154" spans="6:6">
      <c r="F154" s="11" t="s">
        <v>0</v>
      </c>
    </row>
    <row r="155" spans="6:6">
      <c r="F155" s="11" t="s">
        <v>0</v>
      </c>
    </row>
    <row r="156" spans="6:6">
      <c r="F156" s="11" t="s">
        <v>0</v>
      </c>
    </row>
    <row r="157" spans="6:6">
      <c r="F157" s="11" t="s">
        <v>0</v>
      </c>
    </row>
    <row r="158" spans="6:6">
      <c r="F158" s="11" t="s">
        <v>0</v>
      </c>
    </row>
    <row r="159" spans="6:6">
      <c r="F159" s="11" t="s">
        <v>0</v>
      </c>
    </row>
    <row r="160" spans="6:6">
      <c r="F160" s="11" t="s">
        <v>0</v>
      </c>
    </row>
    <row r="161" spans="6:6">
      <c r="F161" s="11" t="s">
        <v>0</v>
      </c>
    </row>
    <row r="162" spans="6:6">
      <c r="F162" s="11" t="s">
        <v>0</v>
      </c>
    </row>
    <row r="163" spans="6:6">
      <c r="F163" s="11" t="s">
        <v>0</v>
      </c>
    </row>
    <row r="164" spans="6:6">
      <c r="F164" s="11" t="s">
        <v>0</v>
      </c>
    </row>
    <row r="165" spans="6:6">
      <c r="F165" s="11" t="s">
        <v>0</v>
      </c>
    </row>
    <row r="166" spans="6:6">
      <c r="F166" s="11" t="s">
        <v>0</v>
      </c>
    </row>
    <row r="167" spans="6:6">
      <c r="F167" s="11" t="s">
        <v>0</v>
      </c>
    </row>
    <row r="168" spans="6:6">
      <c r="F168" s="11" t="s">
        <v>0</v>
      </c>
    </row>
    <row r="169" spans="6:6">
      <c r="F169" s="11" t="s">
        <v>0</v>
      </c>
    </row>
    <row r="170" spans="6:6">
      <c r="F170" s="11" t="s">
        <v>0</v>
      </c>
    </row>
    <row r="171" spans="6:6">
      <c r="F171" s="11" t="s">
        <v>0</v>
      </c>
    </row>
    <row r="172" spans="6:6">
      <c r="F172" s="11" t="s">
        <v>0</v>
      </c>
    </row>
    <row r="173" spans="6:6">
      <c r="F173" s="11" t="s">
        <v>0</v>
      </c>
    </row>
    <row r="174" spans="6:6">
      <c r="F174" s="11" t="s">
        <v>0</v>
      </c>
    </row>
    <row r="175" spans="6:6">
      <c r="F175" s="11" t="s">
        <v>0</v>
      </c>
    </row>
    <row r="176" spans="6:6">
      <c r="F176" s="11" t="s">
        <v>0</v>
      </c>
    </row>
    <row r="177" spans="6:6">
      <c r="F177" s="11" t="s">
        <v>0</v>
      </c>
    </row>
    <row r="178" spans="6:6">
      <c r="F178" s="11" t="s">
        <v>0</v>
      </c>
    </row>
    <row r="179" spans="6:6">
      <c r="F179" s="11" t="s">
        <v>0</v>
      </c>
    </row>
    <row r="180" spans="6:6">
      <c r="F180" s="11" t="s">
        <v>0</v>
      </c>
    </row>
    <row r="181" spans="6:6">
      <c r="F181" s="11" t="s">
        <v>0</v>
      </c>
    </row>
    <row r="182" spans="6:6">
      <c r="F182" s="11" t="s">
        <v>0</v>
      </c>
    </row>
    <row r="183" spans="6:6">
      <c r="F183" s="11" t="s">
        <v>0</v>
      </c>
    </row>
    <row r="184" spans="6:6">
      <c r="F184" s="11" t="s">
        <v>0</v>
      </c>
    </row>
    <row r="185" spans="6:6">
      <c r="F185" s="11" t="s">
        <v>0</v>
      </c>
    </row>
    <row r="186" spans="6:6">
      <c r="F186" s="11" t="s">
        <v>0</v>
      </c>
    </row>
    <row r="187" spans="6:6">
      <c r="F187" s="11" t="s">
        <v>0</v>
      </c>
    </row>
    <row r="188" spans="6:6">
      <c r="F188" s="11" t="s">
        <v>0</v>
      </c>
    </row>
    <row r="189" spans="6:6">
      <c r="F189" s="11" t="s">
        <v>0</v>
      </c>
    </row>
    <row r="190" spans="6:6">
      <c r="F190" s="11" t="s">
        <v>0</v>
      </c>
    </row>
    <row r="191" spans="6:6">
      <c r="F191" s="11" t="s">
        <v>0</v>
      </c>
    </row>
    <row r="192" spans="6:6">
      <c r="F192" s="11" t="s">
        <v>0</v>
      </c>
    </row>
    <row r="193" spans="6:6">
      <c r="F193" s="11" t="s">
        <v>0</v>
      </c>
    </row>
    <row r="194" spans="6:6">
      <c r="F194" s="11" t="s">
        <v>0</v>
      </c>
    </row>
    <row r="195" spans="6:6">
      <c r="F195" s="11" t="s">
        <v>0</v>
      </c>
    </row>
    <row r="196" spans="6:6">
      <c r="F196" s="11" t="s">
        <v>0</v>
      </c>
    </row>
    <row r="197" spans="6:6">
      <c r="F197" s="11" t="s">
        <v>0</v>
      </c>
    </row>
    <row r="198" spans="6:6">
      <c r="F198" s="11" t="s">
        <v>0</v>
      </c>
    </row>
    <row r="199" spans="6:6">
      <c r="F199" s="11" t="s">
        <v>0</v>
      </c>
    </row>
    <row r="200" spans="6:6">
      <c r="F200" s="11" t="s">
        <v>0</v>
      </c>
    </row>
    <row r="201" spans="6:6">
      <c r="F201" s="11" t="s">
        <v>0</v>
      </c>
    </row>
    <row r="202" spans="6:6">
      <c r="F202" s="11" t="s">
        <v>0</v>
      </c>
    </row>
    <row r="203" spans="6:6">
      <c r="F203" s="11" t="s">
        <v>0</v>
      </c>
    </row>
    <row r="204" spans="6:6">
      <c r="F204" s="11" t="s">
        <v>0</v>
      </c>
    </row>
    <row r="205" spans="6:6">
      <c r="F205" s="11" t="s">
        <v>0</v>
      </c>
    </row>
    <row r="206" spans="6:6">
      <c r="F206" s="11" t="s">
        <v>0</v>
      </c>
    </row>
    <row r="207" spans="6:6">
      <c r="F207" s="11" t="s">
        <v>0</v>
      </c>
    </row>
    <row r="208" spans="6:6">
      <c r="F208" s="11" t="s">
        <v>0</v>
      </c>
    </row>
    <row r="209" spans="6:6">
      <c r="F209" s="11" t="s">
        <v>0</v>
      </c>
    </row>
    <row r="210" spans="6:6">
      <c r="F210" s="11" t="s">
        <v>0</v>
      </c>
    </row>
    <row r="211" spans="6:6">
      <c r="F211" s="11" t="s">
        <v>0</v>
      </c>
    </row>
    <row r="212" spans="6:6">
      <c r="F212" s="11" t="s">
        <v>0</v>
      </c>
    </row>
    <row r="213" spans="6:6">
      <c r="F213" s="11" t="s">
        <v>0</v>
      </c>
    </row>
    <row r="214" spans="6:6">
      <c r="F214" s="11" t="s">
        <v>0</v>
      </c>
    </row>
    <row r="215" spans="6:6">
      <c r="F215" s="11" t="s">
        <v>0</v>
      </c>
    </row>
  </sheetData>
  <mergeCells count="2">
    <mergeCell ref="G48:AL48"/>
    <mergeCell ref="G49:AL49"/>
  </mergeCells>
  <printOptions horizontalCentered="1" gridLinesSet="0"/>
  <pageMargins left="0" right="0" top="1" bottom="0.5" header="0.5" footer="0.25"/>
  <pageSetup scale="60" orientation="landscape" horizontalDpi="300" verticalDpi="300" r:id="rId1"/>
  <headerFooter scaleWithDoc="0" alignWithMargins="0">
    <oddHeader>&amp;L&amp;"Verdana,Bold"&amp;A</oddHeader>
    <oddFooter>&amp;C&amp;"Verdana,Italic"&amp;8Prepared by Robert W. Baird &amp;&amp; Co. Incorporated S:\Public Finance\school district\ashland sd\debt service\2015\ds3 ashland sd.xlsx /jaf &amp;d</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pageSetUpPr fitToPage="1"/>
  </sheetPr>
  <dimension ref="A1:BD215"/>
  <sheetViews>
    <sheetView showGridLines="0" view="pageBreakPreview" topLeftCell="F1" zoomScale="85" zoomScaleNormal="75" zoomScaleSheetLayoutView="85" workbookViewId="0">
      <selection activeCell="AT14" sqref="AT14"/>
    </sheetView>
  </sheetViews>
  <sheetFormatPr defaultColWidth="8.76953125" defaultRowHeight="14.7"/>
  <cols>
    <col min="1" max="1" width="7.54296875" style="3" bestFit="1" customWidth="1"/>
    <col min="2" max="2" width="7.6796875" style="3" hidden="1" customWidth="1"/>
    <col min="3" max="3" width="7.31640625" style="3" bestFit="1" customWidth="1"/>
    <col min="4" max="4" width="12.6796875" style="3" bestFit="1" customWidth="1"/>
    <col min="5" max="5" width="15.453125" style="3" bestFit="1" customWidth="1"/>
    <col min="6" max="6" width="2.76953125" style="3" customWidth="1"/>
    <col min="7" max="7" width="7" style="3" customWidth="1"/>
    <col min="8" max="8" width="6.76953125" style="3" customWidth="1"/>
    <col min="9" max="9" width="1.31640625" style="3" customWidth="1"/>
    <col min="10" max="10" width="14.31640625" style="3" customWidth="1"/>
    <col min="11" max="11" width="1.31640625" style="3" hidden="1" customWidth="1"/>
    <col min="12" max="12" width="10.54296875" style="3" hidden="1" customWidth="1"/>
    <col min="13" max="13" width="1.31640625" style="3" customWidth="1"/>
    <col min="14" max="14" width="24.6796875" style="3" hidden="1" customWidth="1"/>
    <col min="15" max="15" width="1.31640625" style="3" hidden="1" customWidth="1"/>
    <col min="16" max="17" width="14.31640625" style="3" customWidth="1"/>
    <col min="18" max="18" width="14.31640625" style="3" hidden="1" customWidth="1"/>
    <col min="19" max="19" width="14.31640625" style="3" customWidth="1"/>
    <col min="20" max="20" width="1.31640625" style="3" customWidth="1"/>
    <col min="21" max="21" width="14.31640625" style="3" hidden="1" customWidth="1"/>
    <col min="22" max="22" width="1.31640625" style="3" hidden="1" customWidth="1"/>
    <col min="23" max="23" width="14.31640625" style="3" hidden="1" customWidth="1"/>
    <col min="24" max="24" width="1.31640625" style="3" hidden="1" customWidth="1"/>
    <col min="25" max="25" width="14.31640625" style="3" hidden="1" customWidth="1"/>
    <col min="26" max="26" width="1.31640625" style="3" hidden="1" customWidth="1"/>
    <col min="27" max="27" width="10.54296875" style="3" hidden="1" customWidth="1"/>
    <col min="28" max="28" width="1.31640625" style="3" customWidth="1"/>
    <col min="29" max="29" width="14.31640625" style="3" customWidth="1"/>
    <col min="30" max="30" width="1.31640625" style="3" customWidth="1"/>
    <col min="31" max="31" width="14.31640625" style="3" customWidth="1"/>
    <col min="32" max="32" width="1.31640625" style="3" customWidth="1"/>
    <col min="33" max="33" width="14.31640625" style="3" customWidth="1"/>
    <col min="34" max="34" width="1.31640625" style="3" hidden="1" customWidth="1"/>
    <col min="35" max="35" width="11.6796875" style="3" hidden="1" customWidth="1"/>
    <col min="36" max="36" width="1.31640625" style="3" customWidth="1"/>
    <col min="37" max="37" width="10.54296875" style="3" customWidth="1"/>
    <col min="38" max="38" width="10.31640625" style="3" hidden="1" customWidth="1"/>
    <col min="39" max="39" width="6.76953125" style="3" customWidth="1"/>
    <col min="40" max="40" width="2.76953125" style="3" customWidth="1"/>
    <col min="41" max="41" width="20.453125" style="3" bestFit="1" customWidth="1"/>
    <col min="42" max="42" width="10.76953125" style="13" customWidth="1"/>
    <col min="43" max="44" width="14.31640625" style="84" customWidth="1"/>
    <col min="45" max="45" width="14.31640625" style="84" hidden="1" customWidth="1"/>
    <col min="46" max="47" width="14.31640625" style="84" customWidth="1"/>
    <col min="48" max="48" width="2.76953125" style="3" customWidth="1"/>
    <col min="49" max="50" width="6.76953125" style="84" customWidth="1"/>
    <col min="51" max="51" width="2.76953125" style="3" customWidth="1"/>
    <col min="52" max="56" width="14.31640625" style="3" customWidth="1"/>
    <col min="57" max="16384" width="8.76953125" style="3"/>
  </cols>
  <sheetData>
    <row r="1" spans="1:56" ht="29.7">
      <c r="A1" s="9"/>
      <c r="B1" s="115"/>
      <c r="C1" s="10"/>
      <c r="D1" s="10"/>
      <c r="E1" s="15"/>
      <c r="F1" s="11" t="s">
        <v>0</v>
      </c>
      <c r="G1" s="4" t="s">
        <v>70</v>
      </c>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7"/>
      <c r="AM1" s="2"/>
    </row>
    <row r="2" spans="1:56" ht="20.100000000000001">
      <c r="A2" s="14"/>
      <c r="B2" s="115"/>
      <c r="C2" s="15"/>
      <c r="D2" s="15"/>
      <c r="E2" s="15"/>
      <c r="F2" s="11" t="s">
        <v>0</v>
      </c>
      <c r="G2" s="5" t="s">
        <v>69</v>
      </c>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7"/>
      <c r="AM2" s="2"/>
    </row>
    <row r="3" spans="1:56" ht="17.7">
      <c r="A3" s="14"/>
      <c r="B3" s="115"/>
      <c r="C3" s="15"/>
      <c r="D3" s="15"/>
      <c r="E3" s="15"/>
      <c r="F3" s="11" t="s">
        <v>0</v>
      </c>
      <c r="G3" s="16"/>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7"/>
      <c r="AM3" s="7"/>
      <c r="AO3" s="2"/>
    </row>
    <row r="4" spans="1:56">
      <c r="A4" s="2"/>
      <c r="B4" s="2"/>
      <c r="C4" s="2"/>
      <c r="D4" s="2"/>
      <c r="E4" s="2"/>
      <c r="F4" s="11" t="s">
        <v>0</v>
      </c>
      <c r="G4" s="1"/>
      <c r="H4" s="1"/>
      <c r="I4" s="1"/>
      <c r="J4" s="1"/>
      <c r="K4" s="1"/>
      <c r="L4" s="1"/>
      <c r="M4" s="1"/>
      <c r="N4" s="1"/>
      <c r="O4" s="1"/>
      <c r="P4" s="103"/>
      <c r="Q4" s="103"/>
      <c r="R4" s="103"/>
      <c r="S4" s="103"/>
      <c r="T4" s="1"/>
      <c r="U4" s="1"/>
      <c r="V4" s="1"/>
      <c r="W4" s="1"/>
      <c r="X4" s="1"/>
      <c r="Y4" s="1"/>
      <c r="Z4" s="1"/>
      <c r="AA4" s="1"/>
      <c r="AB4" s="1"/>
      <c r="AC4" s="1"/>
      <c r="AD4" s="1"/>
      <c r="AE4" s="1"/>
      <c r="AF4" s="1"/>
      <c r="AG4" s="1"/>
      <c r="AH4" s="1"/>
      <c r="AI4" s="1"/>
      <c r="AJ4" s="1"/>
      <c r="AK4" s="1"/>
      <c r="AL4" s="1"/>
      <c r="AM4" s="1"/>
      <c r="AO4" s="2"/>
    </row>
    <row r="5" spans="1:56" ht="20.100000000000001">
      <c r="A5" s="2"/>
      <c r="B5" s="2"/>
      <c r="C5" s="2"/>
      <c r="D5" s="2"/>
      <c r="E5" s="2"/>
      <c r="F5" s="11" t="s">
        <v>0</v>
      </c>
      <c r="G5" s="2"/>
      <c r="H5" s="2"/>
      <c r="I5" s="2" t="s">
        <v>109</v>
      </c>
      <c r="J5" s="2"/>
      <c r="K5" s="2"/>
      <c r="L5" s="2"/>
      <c r="M5" s="2"/>
      <c r="N5" s="17">
        <v>0</v>
      </c>
      <c r="O5" s="2"/>
      <c r="P5" s="135">
        <v>14700000</v>
      </c>
      <c r="Q5" s="136"/>
      <c r="R5" s="136"/>
      <c r="S5" s="137"/>
      <c r="T5" s="2"/>
      <c r="V5" s="2"/>
      <c r="W5" s="2"/>
      <c r="X5" s="2"/>
      <c r="Y5" s="2"/>
      <c r="Z5" s="2"/>
      <c r="AA5" s="2"/>
      <c r="AB5" s="2"/>
      <c r="AC5" s="167"/>
      <c r="AD5" s="2"/>
      <c r="AF5" s="2"/>
      <c r="AG5" s="2"/>
      <c r="AH5" s="2"/>
      <c r="AI5" s="2"/>
      <c r="AJ5" s="2"/>
      <c r="AK5" s="2"/>
      <c r="AL5" s="2"/>
      <c r="AM5" s="2"/>
      <c r="AO5" s="2"/>
    </row>
    <row r="6" spans="1:56" ht="15" customHeight="1">
      <c r="A6" s="118"/>
      <c r="B6" s="118"/>
      <c r="C6" s="118"/>
      <c r="D6" s="118"/>
      <c r="E6" s="118"/>
      <c r="F6" s="120" t="s">
        <v>0</v>
      </c>
      <c r="G6" s="118"/>
      <c r="H6" s="2"/>
      <c r="I6" s="2"/>
      <c r="J6" s="18"/>
      <c r="K6" s="2"/>
      <c r="L6" s="2"/>
      <c r="M6" s="2"/>
      <c r="N6" s="19" t="s">
        <v>35</v>
      </c>
      <c r="O6" s="2"/>
      <c r="P6" s="138" t="s">
        <v>41</v>
      </c>
      <c r="Q6" s="139"/>
      <c r="R6" s="139"/>
      <c r="S6" s="140"/>
      <c r="T6" s="2"/>
      <c r="V6" s="2"/>
      <c r="X6" s="2"/>
      <c r="Y6" s="2"/>
      <c r="Z6" s="2"/>
      <c r="AA6" s="2"/>
      <c r="AB6" s="2"/>
      <c r="AC6" s="221" t="s">
        <v>123</v>
      </c>
      <c r="AD6" s="2"/>
      <c r="AF6" s="2"/>
      <c r="AG6" s="2"/>
      <c r="AH6" s="2"/>
      <c r="AI6" s="2"/>
      <c r="AJ6" s="2"/>
      <c r="AK6" s="2"/>
      <c r="AL6" s="2"/>
      <c r="AM6" s="2"/>
      <c r="AO6" s="2"/>
    </row>
    <row r="7" spans="1:56" ht="15" customHeight="1" thickBot="1">
      <c r="A7" s="118"/>
      <c r="B7" s="118"/>
      <c r="C7" s="118"/>
      <c r="D7" s="118"/>
      <c r="E7" s="118"/>
      <c r="F7" s="120" t="s">
        <v>0</v>
      </c>
      <c r="G7" s="118"/>
      <c r="H7" s="2"/>
      <c r="I7" s="2"/>
      <c r="J7" s="18"/>
      <c r="K7" s="2"/>
      <c r="M7" s="2"/>
      <c r="N7" s="112">
        <v>41000</v>
      </c>
      <c r="O7" s="2"/>
      <c r="P7" s="141">
        <v>42614</v>
      </c>
      <c r="Q7" s="139"/>
      <c r="R7" s="139"/>
      <c r="S7" s="140"/>
      <c r="T7" s="20"/>
      <c r="U7" s="18" t="s">
        <v>51</v>
      </c>
      <c r="V7" s="20"/>
      <c r="W7" s="18" t="s">
        <v>12</v>
      </c>
      <c r="X7" s="20"/>
      <c r="Y7" s="20"/>
      <c r="Z7" s="20"/>
      <c r="AA7" s="20"/>
      <c r="AB7" s="20"/>
      <c r="AC7" s="18" t="s">
        <v>124</v>
      </c>
      <c r="AD7" s="20"/>
      <c r="AE7" s="18" t="s">
        <v>51</v>
      </c>
      <c r="AF7" s="20"/>
      <c r="AL7" s="20"/>
      <c r="AM7" s="2"/>
      <c r="AO7" s="2"/>
    </row>
    <row r="8" spans="1:56" ht="15" customHeight="1">
      <c r="A8" s="116" t="s">
        <v>1</v>
      </c>
      <c r="B8" s="116" t="s">
        <v>43</v>
      </c>
      <c r="C8" s="116" t="s">
        <v>2</v>
      </c>
      <c r="D8" s="116" t="s">
        <v>3</v>
      </c>
      <c r="E8" s="116" t="s">
        <v>4</v>
      </c>
      <c r="F8" s="120" t="s">
        <v>0</v>
      </c>
      <c r="G8" s="119" t="s">
        <v>8</v>
      </c>
      <c r="H8" s="18" t="s">
        <v>2</v>
      </c>
      <c r="I8" s="2"/>
      <c r="J8" s="224" t="s">
        <v>117</v>
      </c>
      <c r="K8" s="2"/>
      <c r="L8" s="18" t="s">
        <v>9</v>
      </c>
      <c r="M8" s="2"/>
      <c r="N8" s="114">
        <v>41365</v>
      </c>
      <c r="O8" s="2"/>
      <c r="P8" s="142">
        <v>42795</v>
      </c>
      <c r="Q8" s="139"/>
      <c r="R8" s="139"/>
      <c r="S8" s="140"/>
      <c r="T8" s="2"/>
      <c r="U8" s="18" t="s">
        <v>53</v>
      </c>
      <c r="V8" s="2"/>
      <c r="W8" s="18" t="s">
        <v>18</v>
      </c>
      <c r="X8" s="2"/>
      <c r="Y8" s="18" t="s">
        <v>13</v>
      </c>
      <c r="Z8" s="2"/>
      <c r="AA8" s="18" t="s">
        <v>13</v>
      </c>
      <c r="AB8" s="2"/>
      <c r="AC8" s="18" t="s">
        <v>50</v>
      </c>
      <c r="AD8" s="2"/>
      <c r="AE8" s="18" t="s">
        <v>31</v>
      </c>
      <c r="AF8" s="2"/>
      <c r="AG8" s="18" t="s">
        <v>11</v>
      </c>
      <c r="AH8" s="18"/>
      <c r="AI8" s="18"/>
      <c r="AJ8" s="18"/>
      <c r="AK8" s="18" t="s">
        <v>123</v>
      </c>
      <c r="AL8" s="2"/>
      <c r="AM8" s="18" t="s">
        <v>2</v>
      </c>
      <c r="AN8" s="2"/>
      <c r="AO8" s="21">
        <v>2015</v>
      </c>
      <c r="AP8" s="3"/>
      <c r="AQ8" s="98" t="s">
        <v>5</v>
      </c>
      <c r="AR8" s="99"/>
      <c r="AS8" s="99"/>
      <c r="AT8" s="99"/>
      <c r="AU8" s="100"/>
      <c r="AW8" s="128"/>
      <c r="AX8" s="128"/>
    </row>
    <row r="9" spans="1:56" ht="15" customHeight="1">
      <c r="A9" s="116"/>
      <c r="B9" s="116" t="s">
        <v>44</v>
      </c>
      <c r="C9" s="116"/>
      <c r="D9" s="116" t="s">
        <v>6</v>
      </c>
      <c r="E9" s="116" t="s">
        <v>7</v>
      </c>
      <c r="F9" s="120" t="s">
        <v>0</v>
      </c>
      <c r="G9" s="119" t="s">
        <v>2</v>
      </c>
      <c r="H9" s="18" t="s">
        <v>17</v>
      </c>
      <c r="I9" s="2"/>
      <c r="J9" s="225" t="s">
        <v>8</v>
      </c>
      <c r="K9" s="2"/>
      <c r="L9" s="6" t="s">
        <v>19</v>
      </c>
      <c r="M9" s="2"/>
      <c r="N9" s="23" t="s">
        <v>4</v>
      </c>
      <c r="O9" s="2"/>
      <c r="P9" s="143" t="s">
        <v>10</v>
      </c>
      <c r="Q9" s="23" t="s">
        <v>4</v>
      </c>
      <c r="R9" s="122" t="s">
        <v>12</v>
      </c>
      <c r="S9" s="144" t="s">
        <v>11</v>
      </c>
      <c r="T9" s="18"/>
      <c r="U9" s="127" t="s">
        <v>54</v>
      </c>
      <c r="V9" s="18"/>
      <c r="W9" s="18" t="s">
        <v>23</v>
      </c>
      <c r="X9" s="18"/>
      <c r="Y9" s="18" t="s">
        <v>32</v>
      </c>
      <c r="Z9" s="18"/>
      <c r="AA9" s="6" t="s">
        <v>19</v>
      </c>
      <c r="AB9" s="18"/>
      <c r="AC9" s="18" t="s">
        <v>66</v>
      </c>
      <c r="AD9" s="18"/>
      <c r="AE9" s="222" t="s">
        <v>125</v>
      </c>
      <c r="AF9" s="18"/>
      <c r="AG9" s="18" t="s">
        <v>32</v>
      </c>
      <c r="AH9" s="6"/>
      <c r="AI9" s="6" t="s">
        <v>19</v>
      </c>
      <c r="AJ9" s="6"/>
      <c r="AK9" s="6" t="s">
        <v>19</v>
      </c>
      <c r="AL9" s="18"/>
      <c r="AM9" s="18" t="s">
        <v>17</v>
      </c>
      <c r="AN9" s="2"/>
      <c r="AO9" s="25" t="s">
        <v>14</v>
      </c>
      <c r="AP9" s="26" t="s">
        <v>15</v>
      </c>
      <c r="AQ9" s="85"/>
      <c r="AR9" s="86"/>
      <c r="AS9" s="125" t="s">
        <v>47</v>
      </c>
      <c r="AT9" s="86"/>
      <c r="AU9" s="87"/>
      <c r="AW9" s="13"/>
      <c r="AX9" s="86"/>
      <c r="AZ9" s="13" t="s">
        <v>55</v>
      </c>
      <c r="BB9" s="13" t="s">
        <v>65</v>
      </c>
    </row>
    <row r="10" spans="1:56" ht="15" customHeight="1" thickBot="1">
      <c r="A10" s="116"/>
      <c r="B10" s="117">
        <v>0</v>
      </c>
      <c r="C10" s="116"/>
      <c r="D10" s="116"/>
      <c r="E10" s="116" t="s">
        <v>16</v>
      </c>
      <c r="F10" s="120" t="s">
        <v>0</v>
      </c>
      <c r="I10" s="2"/>
      <c r="L10" s="22" t="s">
        <v>26</v>
      </c>
      <c r="M10" s="2"/>
      <c r="N10" s="27"/>
      <c r="O10" s="2"/>
      <c r="P10" s="145" t="s">
        <v>67</v>
      </c>
      <c r="Q10" s="146" t="s">
        <v>68</v>
      </c>
      <c r="R10" s="147" t="s">
        <v>45</v>
      </c>
      <c r="S10" s="148"/>
      <c r="T10" s="6"/>
      <c r="U10" s="113" t="s">
        <v>26</v>
      </c>
      <c r="V10" s="6"/>
      <c r="X10" s="6"/>
      <c r="Y10" s="113" t="s">
        <v>52</v>
      </c>
      <c r="Z10" s="6"/>
      <c r="AA10" s="22" t="s">
        <v>36</v>
      </c>
      <c r="AB10" s="6"/>
      <c r="AC10" s="158"/>
      <c r="AD10" s="6"/>
      <c r="AE10" s="113" t="s">
        <v>26</v>
      </c>
      <c r="AF10" s="6"/>
      <c r="AG10" s="113" t="s">
        <v>52</v>
      </c>
      <c r="AH10" s="24"/>
      <c r="AI10" s="22" t="s">
        <v>36</v>
      </c>
      <c r="AJ10" s="24"/>
      <c r="AK10" s="22" t="s">
        <v>36</v>
      </c>
      <c r="AL10" s="6"/>
      <c r="AN10" s="2"/>
      <c r="AO10" s="28" t="s">
        <v>20</v>
      </c>
      <c r="AP10" s="3"/>
      <c r="AQ10" s="88" t="s">
        <v>21</v>
      </c>
      <c r="AR10" s="89" t="s">
        <v>22</v>
      </c>
      <c r="AS10" s="125" t="s">
        <v>48</v>
      </c>
      <c r="AT10" s="89" t="s">
        <v>128</v>
      </c>
      <c r="AU10" s="90" t="s">
        <v>24</v>
      </c>
      <c r="AW10" s="13"/>
      <c r="AX10" s="89"/>
      <c r="AZ10" s="13" t="s">
        <v>56</v>
      </c>
      <c r="BA10" s="13" t="s">
        <v>65</v>
      </c>
      <c r="BB10" s="129" t="s">
        <v>57</v>
      </c>
      <c r="BD10" s="129" t="s">
        <v>58</v>
      </c>
    </row>
    <row r="11" spans="1:56" ht="15" customHeight="1" thickBot="1">
      <c r="A11" s="119"/>
      <c r="B11" s="119"/>
      <c r="C11" s="118"/>
      <c r="D11" s="118"/>
      <c r="E11" s="118"/>
      <c r="F11" s="120" t="s">
        <v>0</v>
      </c>
      <c r="G11" s="121"/>
      <c r="I11" s="2"/>
      <c r="M11" s="2"/>
      <c r="N11" s="29" t="s">
        <v>25</v>
      </c>
      <c r="O11" s="2"/>
      <c r="P11" s="149"/>
      <c r="Q11" s="150" t="s">
        <v>25</v>
      </c>
      <c r="R11" s="151" t="s">
        <v>44</v>
      </c>
      <c r="S11" s="152"/>
      <c r="T11" s="31"/>
      <c r="U11" s="32"/>
      <c r="V11" s="2"/>
      <c r="W11" s="32"/>
      <c r="X11" s="2"/>
      <c r="Y11" s="2"/>
      <c r="Z11" s="2"/>
      <c r="AB11" s="24"/>
      <c r="AC11" s="167"/>
      <c r="AD11" s="31"/>
      <c r="AE11" s="32"/>
      <c r="AF11" s="2"/>
      <c r="AL11" s="31"/>
      <c r="AN11" s="1"/>
      <c r="AO11" s="33"/>
      <c r="AQ11" s="91"/>
      <c r="AR11" s="92"/>
      <c r="AS11" s="126" t="s">
        <v>49</v>
      </c>
      <c r="AT11" s="92"/>
      <c r="AU11" s="93"/>
      <c r="AW11" s="133" t="s">
        <v>64</v>
      </c>
      <c r="AX11" s="134"/>
      <c r="AZ11" s="130" t="s">
        <v>59</v>
      </c>
      <c r="BA11" s="130" t="s">
        <v>60</v>
      </c>
      <c r="BB11" s="130" t="s">
        <v>61</v>
      </c>
      <c r="BC11" s="130" t="s">
        <v>62</v>
      </c>
      <c r="BD11" s="130" t="s">
        <v>63</v>
      </c>
    </row>
    <row r="12" spans="1:56" ht="15" customHeight="1">
      <c r="A12" s="119"/>
      <c r="B12" s="119"/>
      <c r="C12" s="118"/>
      <c r="D12" s="118"/>
      <c r="E12" s="118"/>
      <c r="F12" s="120" t="s">
        <v>0</v>
      </c>
      <c r="G12" s="118"/>
      <c r="H12" s="2"/>
      <c r="I12" s="2"/>
      <c r="M12" s="2"/>
      <c r="N12" s="34">
        <v>4.4999999999999998E-2</v>
      </c>
      <c r="O12" s="2"/>
      <c r="P12" s="153"/>
      <c r="Q12" s="154">
        <f>+E40</f>
        <v>0.04</v>
      </c>
      <c r="R12" s="154"/>
      <c r="S12" s="152"/>
      <c r="T12" s="2"/>
      <c r="U12" s="35"/>
      <c r="V12" s="35"/>
      <c r="W12" s="35"/>
      <c r="X12" s="35"/>
      <c r="Y12" s="35"/>
      <c r="Z12" s="35"/>
      <c r="AA12" s="35"/>
      <c r="AB12" s="2"/>
      <c r="AC12" s="169"/>
      <c r="AD12" s="2"/>
      <c r="AE12" s="35"/>
      <c r="AF12" s="35"/>
      <c r="AG12" s="2"/>
      <c r="AH12" s="2"/>
      <c r="AJ12" s="2"/>
      <c r="AL12" s="2"/>
      <c r="AM12" s="2"/>
      <c r="AN12" s="36"/>
      <c r="AO12" s="2"/>
    </row>
    <row r="13" spans="1:56" ht="15" customHeight="1">
      <c r="A13" s="37"/>
      <c r="B13" s="37"/>
      <c r="C13" s="38"/>
      <c r="D13" s="39"/>
      <c r="E13" s="39"/>
      <c r="F13" s="11" t="s">
        <v>0</v>
      </c>
      <c r="G13" s="40"/>
      <c r="H13" s="40"/>
      <c r="I13" s="2"/>
      <c r="J13" s="41"/>
      <c r="K13" s="2"/>
      <c r="L13" s="18">
        <f>+J13/$AO14*1000</f>
        <v>0</v>
      </c>
      <c r="M13" s="2"/>
      <c r="N13" s="41"/>
      <c r="O13" s="2"/>
      <c r="P13" s="155"/>
      <c r="Q13" s="48"/>
      <c r="R13" s="48"/>
      <c r="S13" s="156"/>
      <c r="T13" s="42"/>
      <c r="U13" s="43"/>
      <c r="V13" s="42"/>
      <c r="W13" s="43"/>
      <c r="X13" s="42"/>
      <c r="Y13" s="41"/>
      <c r="Z13" s="18"/>
      <c r="AA13" s="18"/>
      <c r="AB13" s="18"/>
      <c r="AC13" s="48"/>
      <c r="AD13" s="42"/>
      <c r="AE13" s="43"/>
      <c r="AF13" s="42"/>
      <c r="AG13" s="41"/>
      <c r="AH13" s="18"/>
      <c r="AI13" s="18"/>
      <c r="AJ13" s="18"/>
      <c r="AK13" s="18"/>
      <c r="AM13" s="40"/>
      <c r="AN13" s="2"/>
      <c r="AQ13" s="94"/>
      <c r="AR13" s="94"/>
      <c r="AS13" s="94"/>
      <c r="AT13" s="94"/>
      <c r="AU13" s="94"/>
      <c r="AW13" s="40">
        <v>2014</v>
      </c>
      <c r="AX13" s="40">
        <v>2015</v>
      </c>
      <c r="AZ13" s="3">
        <v>0</v>
      </c>
      <c r="BA13" s="131">
        <f>AZ13</f>
        <v>0</v>
      </c>
      <c r="BB13" s="131">
        <f>AU13+AZ13</f>
        <v>0</v>
      </c>
      <c r="BC13" s="131">
        <f>BB13-BA13</f>
        <v>0</v>
      </c>
      <c r="BD13" s="131">
        <f>IF(BC13&lt;0,0,BC13)</f>
        <v>0</v>
      </c>
    </row>
    <row r="14" spans="1:56" ht="15" customHeight="1">
      <c r="A14" s="37"/>
      <c r="B14" s="37"/>
      <c r="C14" s="38"/>
      <c r="D14" s="39"/>
      <c r="E14" s="39"/>
      <c r="F14" s="11"/>
      <c r="G14" s="40">
        <v>2015</v>
      </c>
      <c r="H14" s="40">
        <v>2016</v>
      </c>
      <c r="I14" s="2"/>
      <c r="J14" s="223">
        <v>600000</v>
      </c>
      <c r="K14" s="2"/>
      <c r="L14" s="18">
        <f>+J14/AO14*1000</f>
        <v>0.89353629160344805</v>
      </c>
      <c r="M14" s="2"/>
      <c r="N14" s="41"/>
      <c r="O14" s="2"/>
      <c r="P14" s="155"/>
      <c r="Q14" s="48"/>
      <c r="R14" s="48"/>
      <c r="S14" s="156"/>
      <c r="T14" s="42"/>
      <c r="U14" s="43"/>
      <c r="V14" s="42"/>
      <c r="W14" s="43"/>
      <c r="X14" s="42"/>
      <c r="Y14" s="41"/>
      <c r="Z14" s="18"/>
      <c r="AA14" s="18"/>
      <c r="AB14" s="18"/>
      <c r="AC14" s="48">
        <f t="shared" ref="AC14:AC34" si="0">J14+S14</f>
        <v>600000</v>
      </c>
      <c r="AD14" s="42"/>
      <c r="AE14" s="43">
        <f t="shared" ref="AE14:AE35" si="1">IF(BD13&lt;0,-BD13*$S$45,(IF($Q$43&gt;BD13,-BD13*$Q$44,-$Q$43*$Q$44+(BD13-$Q$43)*-$S$45)))</f>
        <v>0</v>
      </c>
      <c r="AF14" s="42"/>
      <c r="AG14" s="223">
        <f t="shared" ref="AG14:AG17" si="2">J14+S14+AE14</f>
        <v>600000</v>
      </c>
      <c r="AH14" s="18"/>
      <c r="AI14" s="18">
        <f t="shared" ref="AI14:AI34" si="3">+AG14/$AO14*1000</f>
        <v>0.89353629160344805</v>
      </c>
      <c r="AJ14" s="18"/>
      <c r="AK14" s="18">
        <f t="shared" ref="AK14:AK33" si="4">+AG14/$AO14*1000</f>
        <v>0.89353629160344805</v>
      </c>
      <c r="AM14" s="40">
        <v>2016</v>
      </c>
      <c r="AN14" s="2"/>
      <c r="AO14" s="44">
        <v>671489234</v>
      </c>
      <c r="AQ14" s="94"/>
      <c r="AR14" s="94"/>
      <c r="AS14" s="94"/>
      <c r="AT14" s="94"/>
      <c r="AU14" s="94">
        <f t="shared" ref="AU14:AU34" si="5">SUM(AQ14:AT14)</f>
        <v>0</v>
      </c>
      <c r="AW14" s="40">
        <v>2015</v>
      </c>
      <c r="AX14" s="40">
        <v>2016</v>
      </c>
      <c r="AZ14" s="131">
        <v>600000</v>
      </c>
      <c r="BA14" s="131">
        <f>$AZ$13</f>
        <v>0</v>
      </c>
      <c r="BB14" s="131">
        <f>AU14+AZ14</f>
        <v>600000</v>
      </c>
      <c r="BC14" s="131">
        <f>BB14-BA14</f>
        <v>600000</v>
      </c>
      <c r="BD14" s="131">
        <f>IF(BC14&lt;0,0,BC14)</f>
        <v>600000</v>
      </c>
    </row>
    <row r="15" spans="1:56">
      <c r="A15" s="37">
        <v>0.04</v>
      </c>
      <c r="B15" s="37">
        <f t="shared" ref="B15:B34" si="6">-B$10*A15</f>
        <v>0</v>
      </c>
      <c r="C15" s="38">
        <f>6/12</f>
        <v>0.5</v>
      </c>
      <c r="D15" s="39">
        <f t="shared" ref="D15:D20" si="7">+P15*C15/1000</f>
        <v>147.5</v>
      </c>
      <c r="E15" s="39">
        <f>+D15*(A15+B15)*1000</f>
        <v>5900</v>
      </c>
      <c r="F15" s="11" t="s">
        <v>0</v>
      </c>
      <c r="G15" s="40">
        <v>2016</v>
      </c>
      <c r="H15" s="40">
        <v>2017</v>
      </c>
      <c r="I15" s="2"/>
      <c r="J15" s="41"/>
      <c r="K15" s="2"/>
      <c r="L15" s="18">
        <f t="shared" ref="L15:L33" si="8">+J15/$AO15*1000</f>
        <v>0</v>
      </c>
      <c r="M15" s="2"/>
      <c r="N15" s="101">
        <f>N5*N12*12/12</f>
        <v>0</v>
      </c>
      <c r="O15" s="2"/>
      <c r="P15" s="155">
        <v>295000</v>
      </c>
      <c r="Q15" s="48">
        <f>(P15*A15/2)*6/6+(P16*A16/2+Q16)*12/12</f>
        <v>582100</v>
      </c>
      <c r="R15" s="48">
        <f t="shared" ref="R15:R34" si="9">-B$10*Q15</f>
        <v>0</v>
      </c>
      <c r="S15" s="156">
        <f>+P15+Q15+R15</f>
        <v>877100</v>
      </c>
      <c r="T15" s="42"/>
      <c r="U15" s="43"/>
      <c r="V15" s="42"/>
      <c r="W15" s="43"/>
      <c r="X15" s="42"/>
      <c r="Y15" s="41">
        <f t="shared" ref="Y15:Y35" si="10">+S15+U15+W15</f>
        <v>877100</v>
      </c>
      <c r="Z15" s="18"/>
      <c r="AA15" s="18">
        <f t="shared" ref="AA15:AA34" si="11">+Y15/$AO15*1000</f>
        <v>1.3062011356089738</v>
      </c>
      <c r="AB15" s="18"/>
      <c r="AC15" s="48">
        <f t="shared" si="0"/>
        <v>877100</v>
      </c>
      <c r="AD15" s="42"/>
      <c r="AE15" s="43">
        <f t="shared" si="1"/>
        <v>-277260</v>
      </c>
      <c r="AF15" s="42"/>
      <c r="AG15" s="190">
        <f t="shared" si="2"/>
        <v>599840</v>
      </c>
      <c r="AH15" s="18"/>
      <c r="AI15" s="18">
        <f t="shared" si="3"/>
        <v>0.89329801525902053</v>
      </c>
      <c r="AJ15" s="18"/>
      <c r="AK15" s="18">
        <f t="shared" si="4"/>
        <v>0.89329801525902053</v>
      </c>
      <c r="AM15" s="40">
        <f t="shared" ref="AM15:AM35" si="12">H15</f>
        <v>2017</v>
      </c>
      <c r="AN15" s="2"/>
      <c r="AO15" s="39">
        <f>AO14*(1+AP15)</f>
        <v>671489234</v>
      </c>
      <c r="AP15" s="45">
        <v>0</v>
      </c>
      <c r="AQ15" s="94">
        <f t="shared" ref="AQ15:AQ21" si="13">P15</f>
        <v>295000</v>
      </c>
      <c r="AR15" s="94">
        <f>(AR16+AQ15*A15)*6/12</f>
        <v>294000</v>
      </c>
      <c r="AS15" s="41">
        <f t="shared" ref="AS15:AS34" si="14">-B$10*AR15</f>
        <v>0</v>
      </c>
      <c r="AT15" s="94"/>
      <c r="AU15" s="94">
        <f t="shared" si="5"/>
        <v>589000</v>
      </c>
      <c r="AW15" s="40">
        <f t="shared" ref="AW15:AW35" si="15">G15</f>
        <v>2016</v>
      </c>
      <c r="AX15" s="40">
        <f t="shared" ref="AX15:AX35" si="16">H15</f>
        <v>2017</v>
      </c>
      <c r="AZ15" s="131"/>
      <c r="BA15" s="131">
        <f t="shared" ref="BA15:BA34" si="17">$AZ$13</f>
        <v>0</v>
      </c>
      <c r="BB15" s="131">
        <f t="shared" ref="BB15:BB34" si="18">AU15+AZ15</f>
        <v>589000</v>
      </c>
      <c r="BC15" s="131">
        <f t="shared" ref="BC15:BC34" si="19">BB15-BA15</f>
        <v>589000</v>
      </c>
      <c r="BD15" s="131">
        <f t="shared" ref="BD15:BD34" si="20">IF(BC15&lt;0,0,BC15)</f>
        <v>589000</v>
      </c>
    </row>
    <row r="16" spans="1:56">
      <c r="A16" s="37">
        <f>A15</f>
        <v>0.04</v>
      </c>
      <c r="B16" s="37">
        <f t="shared" si="6"/>
        <v>0</v>
      </c>
      <c r="C16" s="38">
        <f>+C15+1</f>
        <v>1.5</v>
      </c>
      <c r="D16" s="39">
        <f t="shared" si="7"/>
        <v>450</v>
      </c>
      <c r="E16" s="39">
        <f t="shared" ref="E16:E34" si="21">+D16*(A16+B16)*1000</f>
        <v>18000</v>
      </c>
      <c r="F16" s="11" t="s">
        <v>0</v>
      </c>
      <c r="G16" s="40">
        <f t="shared" ref="G16:G34" si="22">+G15+1</f>
        <v>2017</v>
      </c>
      <c r="H16" s="40">
        <f t="shared" ref="H16:H34" si="23">H15+1</f>
        <v>2018</v>
      </c>
      <c r="I16" s="2"/>
      <c r="J16" s="41"/>
      <c r="K16" s="2"/>
      <c r="L16" s="18">
        <f t="shared" si="8"/>
        <v>0</v>
      </c>
      <c r="M16" s="2"/>
      <c r="N16" s="46"/>
      <c r="O16" s="2"/>
      <c r="P16" s="155">
        <v>300000</v>
      </c>
      <c r="Q16" s="48">
        <f t="shared" ref="Q16:Q33" si="24">(P16*A16/2)+(P17*A17/2+Q17)</f>
        <v>570200</v>
      </c>
      <c r="R16" s="48">
        <f t="shared" si="9"/>
        <v>0</v>
      </c>
      <c r="S16" s="156">
        <f t="shared" ref="S16:S34" si="25">+P16+Q16+R16</f>
        <v>870200</v>
      </c>
      <c r="T16" s="42"/>
      <c r="U16" s="43"/>
      <c r="V16" s="42"/>
      <c r="W16" s="43"/>
      <c r="X16" s="42"/>
      <c r="Y16" s="41">
        <f t="shared" si="10"/>
        <v>870200</v>
      </c>
      <c r="Z16" s="18"/>
      <c r="AA16" s="18">
        <f t="shared" si="11"/>
        <v>1.2959254682555343</v>
      </c>
      <c r="AB16" s="18"/>
      <c r="AC16" s="48">
        <f t="shared" si="0"/>
        <v>870200</v>
      </c>
      <c r="AD16" s="42"/>
      <c r="AE16" s="43">
        <f t="shared" si="1"/>
        <v>-272176.90000000002</v>
      </c>
      <c r="AF16" s="42"/>
      <c r="AG16" s="190">
        <f t="shared" si="2"/>
        <v>598023.1</v>
      </c>
      <c r="AH16" s="18"/>
      <c r="AI16" s="18">
        <f t="shared" si="3"/>
        <v>0.89059223844532998</v>
      </c>
      <c r="AJ16" s="18"/>
      <c r="AK16" s="18">
        <f t="shared" si="4"/>
        <v>0.89059223844532998</v>
      </c>
      <c r="AL16" s="18"/>
      <c r="AM16" s="40">
        <f t="shared" si="12"/>
        <v>2018</v>
      </c>
      <c r="AN16" s="2"/>
      <c r="AO16" s="39">
        <f t="shared" ref="AO16:AO34" si="26">AO15*(1+AP16)</f>
        <v>671489234</v>
      </c>
      <c r="AP16" s="47">
        <v>0</v>
      </c>
      <c r="AQ16" s="94">
        <f t="shared" si="13"/>
        <v>300000</v>
      </c>
      <c r="AR16" s="94">
        <f t="shared" ref="AR16:AR34" si="27">(AR17+AQ16*A16)</f>
        <v>576200</v>
      </c>
      <c r="AS16" s="41">
        <f t="shared" si="14"/>
        <v>0</v>
      </c>
      <c r="AT16" s="94"/>
      <c r="AU16" s="94">
        <f t="shared" si="5"/>
        <v>876200</v>
      </c>
      <c r="AW16" s="40">
        <f t="shared" si="15"/>
        <v>2017</v>
      </c>
      <c r="AX16" s="40">
        <f t="shared" si="16"/>
        <v>2018</v>
      </c>
      <c r="AZ16" s="131"/>
      <c r="BA16" s="131">
        <f t="shared" si="17"/>
        <v>0</v>
      </c>
      <c r="BB16" s="131">
        <f t="shared" si="18"/>
        <v>876200</v>
      </c>
      <c r="BC16" s="131">
        <f t="shared" si="19"/>
        <v>876200</v>
      </c>
      <c r="BD16" s="131">
        <f t="shared" si="20"/>
        <v>876200</v>
      </c>
    </row>
    <row r="17" spans="1:56">
      <c r="A17" s="37">
        <f>A16</f>
        <v>0.04</v>
      </c>
      <c r="B17" s="37">
        <f t="shared" si="6"/>
        <v>0</v>
      </c>
      <c r="C17" s="38">
        <f>+C16+1</f>
        <v>2.5</v>
      </c>
      <c r="D17" s="39">
        <f t="shared" si="7"/>
        <v>1125</v>
      </c>
      <c r="E17" s="39">
        <f t="shared" si="21"/>
        <v>45000</v>
      </c>
      <c r="F17" s="11" t="s">
        <v>0</v>
      </c>
      <c r="G17" s="40">
        <f t="shared" si="22"/>
        <v>2018</v>
      </c>
      <c r="H17" s="40">
        <f t="shared" si="23"/>
        <v>2019</v>
      </c>
      <c r="I17" s="2"/>
      <c r="J17" s="41"/>
      <c r="K17" s="2"/>
      <c r="L17" s="18">
        <f t="shared" si="8"/>
        <v>0</v>
      </c>
      <c r="M17" s="2"/>
      <c r="N17" s="49"/>
      <c r="O17" s="2"/>
      <c r="P17" s="155">
        <v>450000</v>
      </c>
      <c r="Q17" s="48">
        <f t="shared" si="24"/>
        <v>555200</v>
      </c>
      <c r="R17" s="48">
        <f t="shared" si="9"/>
        <v>0</v>
      </c>
      <c r="S17" s="156">
        <f t="shared" si="25"/>
        <v>1005200</v>
      </c>
      <c r="T17" s="42"/>
      <c r="U17" s="43"/>
      <c r="V17" s="42"/>
      <c r="W17" s="43"/>
      <c r="X17" s="42"/>
      <c r="Y17" s="41">
        <f t="shared" si="10"/>
        <v>1005200</v>
      </c>
      <c r="Z17" s="18"/>
      <c r="AA17" s="18">
        <f t="shared" si="11"/>
        <v>1.4969711338663101</v>
      </c>
      <c r="AB17" s="18"/>
      <c r="AC17" s="48">
        <f t="shared" si="0"/>
        <v>1005200</v>
      </c>
      <c r="AD17" s="42"/>
      <c r="AE17" s="43">
        <f t="shared" si="1"/>
        <v>-404892.02</v>
      </c>
      <c r="AF17" s="42"/>
      <c r="AG17" s="190">
        <f t="shared" si="2"/>
        <v>600307.98</v>
      </c>
      <c r="AH17" s="18"/>
      <c r="AI17" s="18">
        <f t="shared" si="3"/>
        <v>0.89399494378192812</v>
      </c>
      <c r="AJ17" s="18"/>
      <c r="AK17" s="18">
        <f t="shared" si="4"/>
        <v>0.89399494378192812</v>
      </c>
      <c r="AL17" s="18"/>
      <c r="AM17" s="40">
        <f t="shared" si="12"/>
        <v>2019</v>
      </c>
      <c r="AN17" s="2"/>
      <c r="AO17" s="39">
        <f t="shared" si="26"/>
        <v>671489234</v>
      </c>
      <c r="AP17" s="47">
        <f>AP16</f>
        <v>0</v>
      </c>
      <c r="AQ17" s="94">
        <f t="shared" si="13"/>
        <v>450000</v>
      </c>
      <c r="AR17" s="94">
        <f t="shared" si="27"/>
        <v>564200</v>
      </c>
      <c r="AS17" s="41">
        <f t="shared" si="14"/>
        <v>0</v>
      </c>
      <c r="AT17" s="94"/>
      <c r="AU17" s="94">
        <f t="shared" si="5"/>
        <v>1014200</v>
      </c>
      <c r="AW17" s="40">
        <f t="shared" si="15"/>
        <v>2018</v>
      </c>
      <c r="AX17" s="40">
        <f t="shared" si="16"/>
        <v>2019</v>
      </c>
      <c r="AZ17" s="131"/>
      <c r="BA17" s="131">
        <f t="shared" si="17"/>
        <v>0</v>
      </c>
      <c r="BB17" s="131">
        <f t="shared" si="18"/>
        <v>1014200</v>
      </c>
      <c r="BC17" s="131">
        <f t="shared" si="19"/>
        <v>1014200</v>
      </c>
      <c r="BD17" s="131">
        <f t="shared" si="20"/>
        <v>1014200</v>
      </c>
    </row>
    <row r="18" spans="1:56">
      <c r="A18" s="37">
        <f t="shared" ref="A18:A34" si="28">A17</f>
        <v>0.04</v>
      </c>
      <c r="B18" s="37">
        <f t="shared" si="6"/>
        <v>0</v>
      </c>
      <c r="C18" s="38">
        <f>+C17+1</f>
        <v>3.5</v>
      </c>
      <c r="D18" s="39">
        <f t="shared" si="7"/>
        <v>1855</v>
      </c>
      <c r="E18" s="39">
        <f t="shared" si="21"/>
        <v>74200</v>
      </c>
      <c r="F18" s="11" t="s">
        <v>0</v>
      </c>
      <c r="G18" s="40">
        <f t="shared" si="22"/>
        <v>2019</v>
      </c>
      <c r="H18" s="40">
        <f t="shared" si="23"/>
        <v>2020</v>
      </c>
      <c r="I18" s="2"/>
      <c r="J18" s="41"/>
      <c r="K18" s="2"/>
      <c r="L18" s="18">
        <f t="shared" si="8"/>
        <v>0</v>
      </c>
      <c r="M18" s="2"/>
      <c r="N18" s="49"/>
      <c r="O18" s="2"/>
      <c r="P18" s="155">
        <v>530000</v>
      </c>
      <c r="Q18" s="48">
        <f t="shared" si="24"/>
        <v>535600</v>
      </c>
      <c r="R18" s="48">
        <f t="shared" si="9"/>
        <v>0</v>
      </c>
      <c r="S18" s="156">
        <f t="shared" si="25"/>
        <v>1065600</v>
      </c>
      <c r="T18" s="42"/>
      <c r="U18" s="43"/>
      <c r="V18" s="42"/>
      <c r="W18" s="43"/>
      <c r="X18" s="42"/>
      <c r="Y18" s="41">
        <f t="shared" si="10"/>
        <v>1065600</v>
      </c>
      <c r="Z18" s="18"/>
      <c r="AA18" s="18">
        <f t="shared" si="11"/>
        <v>1.5869204538877237</v>
      </c>
      <c r="AB18" s="18"/>
      <c r="AC18" s="48">
        <f t="shared" si="0"/>
        <v>1065600</v>
      </c>
      <c r="AD18" s="42"/>
      <c r="AE18" s="43">
        <f t="shared" si="1"/>
        <v>-468661.82</v>
      </c>
      <c r="AF18" s="42"/>
      <c r="AG18" s="190">
        <f>J18+S18+AE18</f>
        <v>596938.17999999993</v>
      </c>
      <c r="AH18" s="18"/>
      <c r="AI18" s="18">
        <f t="shared" si="3"/>
        <v>0.8889765461228526</v>
      </c>
      <c r="AJ18" s="18"/>
      <c r="AK18" s="18">
        <f t="shared" si="4"/>
        <v>0.8889765461228526</v>
      </c>
      <c r="AL18" s="18"/>
      <c r="AM18" s="40">
        <f t="shared" si="12"/>
        <v>2020</v>
      </c>
      <c r="AN18" s="2"/>
      <c r="AO18" s="39">
        <f t="shared" si="26"/>
        <v>671489234</v>
      </c>
      <c r="AP18" s="47">
        <f t="shared" ref="AP18:AP34" si="29">+AP17</f>
        <v>0</v>
      </c>
      <c r="AQ18" s="94">
        <f t="shared" si="13"/>
        <v>530000</v>
      </c>
      <c r="AR18" s="94">
        <f t="shared" si="27"/>
        <v>546200</v>
      </c>
      <c r="AS18" s="41">
        <f t="shared" si="14"/>
        <v>0</v>
      </c>
      <c r="AT18" s="94"/>
      <c r="AU18" s="94">
        <f t="shared" si="5"/>
        <v>1076200</v>
      </c>
      <c r="AW18" s="40">
        <f t="shared" si="15"/>
        <v>2019</v>
      </c>
      <c r="AX18" s="40">
        <f t="shared" si="16"/>
        <v>2020</v>
      </c>
      <c r="AZ18" s="131"/>
      <c r="BA18" s="131">
        <f t="shared" si="17"/>
        <v>0</v>
      </c>
      <c r="BB18" s="131">
        <f t="shared" si="18"/>
        <v>1076200</v>
      </c>
      <c r="BC18" s="131">
        <f t="shared" si="19"/>
        <v>1076200</v>
      </c>
      <c r="BD18" s="131">
        <f t="shared" si="20"/>
        <v>1076200</v>
      </c>
    </row>
    <row r="19" spans="1:56">
      <c r="A19" s="37">
        <f t="shared" si="28"/>
        <v>0.04</v>
      </c>
      <c r="B19" s="37">
        <f t="shared" si="6"/>
        <v>0</v>
      </c>
      <c r="C19" s="38">
        <f>+C18+1</f>
        <v>4.5</v>
      </c>
      <c r="D19" s="39">
        <f t="shared" si="7"/>
        <v>2610</v>
      </c>
      <c r="E19" s="39">
        <f t="shared" si="21"/>
        <v>104400</v>
      </c>
      <c r="F19" s="11" t="s">
        <v>0</v>
      </c>
      <c r="G19" s="40">
        <f t="shared" si="22"/>
        <v>2020</v>
      </c>
      <c r="H19" s="40">
        <f t="shared" si="23"/>
        <v>2021</v>
      </c>
      <c r="I19" s="2"/>
      <c r="J19" s="41"/>
      <c r="K19" s="2"/>
      <c r="L19" s="18">
        <f t="shared" si="8"/>
        <v>0</v>
      </c>
      <c r="M19" s="2"/>
      <c r="N19" s="49"/>
      <c r="O19" s="2"/>
      <c r="P19" s="155">
        <v>580000</v>
      </c>
      <c r="Q19" s="48">
        <f t="shared" si="24"/>
        <v>513400</v>
      </c>
      <c r="R19" s="48">
        <f t="shared" si="9"/>
        <v>0</v>
      </c>
      <c r="S19" s="156">
        <f t="shared" si="25"/>
        <v>1093400</v>
      </c>
      <c r="T19" s="42"/>
      <c r="U19" s="43"/>
      <c r="V19" s="42"/>
      <c r="W19" s="43"/>
      <c r="X19" s="42"/>
      <c r="Y19" s="41">
        <f t="shared" si="10"/>
        <v>1093400</v>
      </c>
      <c r="Z19" s="18"/>
      <c r="AA19" s="18">
        <f t="shared" si="11"/>
        <v>1.6283209687320168</v>
      </c>
      <c r="AB19" s="18"/>
      <c r="AC19" s="48">
        <f t="shared" si="0"/>
        <v>1093400</v>
      </c>
      <c r="AD19" s="42"/>
      <c r="AE19" s="43">
        <f t="shared" si="1"/>
        <v>-497312.02</v>
      </c>
      <c r="AF19" s="42"/>
      <c r="AG19" s="190">
        <f t="shared" ref="AG19:AG35" si="30">J19+S19+AE19</f>
        <v>596087.98</v>
      </c>
      <c r="AH19" s="18"/>
      <c r="AI19" s="18">
        <f t="shared" si="3"/>
        <v>0.88771040519765054</v>
      </c>
      <c r="AJ19" s="18"/>
      <c r="AK19" s="18">
        <f t="shared" si="4"/>
        <v>0.88771040519765054</v>
      </c>
      <c r="AL19" s="18"/>
      <c r="AM19" s="40">
        <f t="shared" si="12"/>
        <v>2021</v>
      </c>
      <c r="AN19" s="2"/>
      <c r="AO19" s="39">
        <f t="shared" si="26"/>
        <v>671489234</v>
      </c>
      <c r="AP19" s="47">
        <f t="shared" si="29"/>
        <v>0</v>
      </c>
      <c r="AQ19" s="94">
        <f t="shared" si="13"/>
        <v>580000</v>
      </c>
      <c r="AR19" s="94">
        <f t="shared" si="27"/>
        <v>525000</v>
      </c>
      <c r="AS19" s="41">
        <f t="shared" si="14"/>
        <v>0</v>
      </c>
      <c r="AT19" s="94"/>
      <c r="AU19" s="94">
        <f t="shared" si="5"/>
        <v>1105000</v>
      </c>
      <c r="AW19" s="40">
        <f t="shared" si="15"/>
        <v>2020</v>
      </c>
      <c r="AX19" s="40">
        <f t="shared" si="16"/>
        <v>2021</v>
      </c>
      <c r="AZ19" s="131"/>
      <c r="BA19" s="131">
        <f t="shared" si="17"/>
        <v>0</v>
      </c>
      <c r="BB19" s="131">
        <f t="shared" si="18"/>
        <v>1105000</v>
      </c>
      <c r="BC19" s="131">
        <f t="shared" si="19"/>
        <v>1105000</v>
      </c>
      <c r="BD19" s="131">
        <f t="shared" si="20"/>
        <v>1105000</v>
      </c>
    </row>
    <row r="20" spans="1:56">
      <c r="A20" s="37">
        <f t="shared" si="28"/>
        <v>0.04</v>
      </c>
      <c r="B20" s="37">
        <f t="shared" si="6"/>
        <v>0</v>
      </c>
      <c r="C20" s="38">
        <f t="shared" ref="C20:C34" si="31">+C19+1</f>
        <v>5.5</v>
      </c>
      <c r="D20" s="39">
        <f t="shared" si="7"/>
        <v>3410</v>
      </c>
      <c r="E20" s="39">
        <f t="shared" si="21"/>
        <v>136400</v>
      </c>
      <c r="F20" s="11" t="s">
        <v>0</v>
      </c>
      <c r="G20" s="40">
        <f t="shared" si="22"/>
        <v>2021</v>
      </c>
      <c r="H20" s="40">
        <f t="shared" si="23"/>
        <v>2022</v>
      </c>
      <c r="I20" s="2"/>
      <c r="J20" s="41"/>
      <c r="K20" s="2"/>
      <c r="L20" s="18">
        <f t="shared" si="8"/>
        <v>0</v>
      </c>
      <c r="M20" s="2"/>
      <c r="N20" s="49"/>
      <c r="O20" s="2"/>
      <c r="P20" s="155">
        <v>620000</v>
      </c>
      <c r="Q20" s="48">
        <f t="shared" si="24"/>
        <v>489400</v>
      </c>
      <c r="R20" s="48">
        <f t="shared" si="9"/>
        <v>0</v>
      </c>
      <c r="S20" s="156">
        <f t="shared" si="25"/>
        <v>1109400</v>
      </c>
      <c r="T20" s="42"/>
      <c r="U20" s="43"/>
      <c r="V20" s="42"/>
      <c r="W20" s="43"/>
      <c r="X20" s="42"/>
      <c r="Y20" s="41">
        <f t="shared" si="10"/>
        <v>1109400</v>
      </c>
      <c r="Z20" s="18"/>
      <c r="AA20" s="18">
        <f t="shared" si="11"/>
        <v>1.6521486031747754</v>
      </c>
      <c r="AB20" s="18"/>
      <c r="AC20" s="48">
        <f t="shared" si="0"/>
        <v>1109400</v>
      </c>
      <c r="AD20" s="42"/>
      <c r="AE20" s="43">
        <f t="shared" si="1"/>
        <v>-510620.5</v>
      </c>
      <c r="AF20" s="42"/>
      <c r="AG20" s="190">
        <f t="shared" si="30"/>
        <v>598779.5</v>
      </c>
      <c r="AH20" s="18"/>
      <c r="AI20" s="18">
        <f t="shared" si="3"/>
        <v>0.89171868986361147</v>
      </c>
      <c r="AJ20" s="18"/>
      <c r="AK20" s="18">
        <f t="shared" si="4"/>
        <v>0.89171868986361147</v>
      </c>
      <c r="AL20" s="18"/>
      <c r="AM20" s="40">
        <f t="shared" si="12"/>
        <v>2022</v>
      </c>
      <c r="AN20" s="2"/>
      <c r="AO20" s="39">
        <f t="shared" si="26"/>
        <v>671489234</v>
      </c>
      <c r="AP20" s="47">
        <f t="shared" si="29"/>
        <v>0</v>
      </c>
      <c r="AQ20" s="94">
        <f t="shared" si="13"/>
        <v>620000</v>
      </c>
      <c r="AR20" s="94">
        <f t="shared" si="27"/>
        <v>501800</v>
      </c>
      <c r="AS20" s="41">
        <f t="shared" si="14"/>
        <v>0</v>
      </c>
      <c r="AT20" s="94"/>
      <c r="AU20" s="94">
        <f t="shared" si="5"/>
        <v>1121800</v>
      </c>
      <c r="AW20" s="40">
        <f t="shared" si="15"/>
        <v>2021</v>
      </c>
      <c r="AX20" s="40">
        <f t="shared" si="16"/>
        <v>2022</v>
      </c>
      <c r="AZ20" s="131"/>
      <c r="BA20" s="131">
        <f t="shared" si="17"/>
        <v>0</v>
      </c>
      <c r="BB20" s="131">
        <f t="shared" si="18"/>
        <v>1121800</v>
      </c>
      <c r="BC20" s="131">
        <f t="shared" si="19"/>
        <v>1121800</v>
      </c>
      <c r="BD20" s="131">
        <f t="shared" si="20"/>
        <v>1121800</v>
      </c>
    </row>
    <row r="21" spans="1:56">
      <c r="A21" s="37">
        <f t="shared" si="28"/>
        <v>0.04</v>
      </c>
      <c r="B21" s="37">
        <f t="shared" si="6"/>
        <v>0</v>
      </c>
      <c r="C21" s="38">
        <f t="shared" si="31"/>
        <v>6.5</v>
      </c>
      <c r="D21" s="39">
        <f t="shared" ref="D21:D34" si="32">+P21*C21/1000</f>
        <v>4225</v>
      </c>
      <c r="E21" s="39">
        <f t="shared" si="21"/>
        <v>169000</v>
      </c>
      <c r="F21" s="11" t="s">
        <v>0</v>
      </c>
      <c r="G21" s="40">
        <f t="shared" si="22"/>
        <v>2022</v>
      </c>
      <c r="H21" s="40">
        <f t="shared" si="23"/>
        <v>2023</v>
      </c>
      <c r="I21" s="2"/>
      <c r="J21" s="41"/>
      <c r="K21" s="2"/>
      <c r="L21" s="18">
        <f t="shared" si="8"/>
        <v>0</v>
      </c>
      <c r="M21" s="2"/>
      <c r="N21" s="49"/>
      <c r="O21" s="2"/>
      <c r="P21" s="155">
        <v>650000</v>
      </c>
      <c r="Q21" s="48">
        <f t="shared" si="24"/>
        <v>464000</v>
      </c>
      <c r="R21" s="48">
        <f t="shared" si="9"/>
        <v>0</v>
      </c>
      <c r="S21" s="156">
        <f t="shared" si="25"/>
        <v>1114000</v>
      </c>
      <c r="T21" s="42"/>
      <c r="U21" s="43"/>
      <c r="V21" s="42"/>
      <c r="W21" s="43"/>
      <c r="X21" s="42"/>
      <c r="Y21" s="41">
        <f t="shared" si="10"/>
        <v>1114000</v>
      </c>
      <c r="Z21" s="18"/>
      <c r="AA21" s="18">
        <f t="shared" si="11"/>
        <v>1.6589990480770687</v>
      </c>
      <c r="AB21" s="18"/>
      <c r="AC21" s="48">
        <f t="shared" si="0"/>
        <v>1114000</v>
      </c>
      <c r="AD21" s="42"/>
      <c r="AE21" s="43">
        <f t="shared" si="1"/>
        <v>-518383.78</v>
      </c>
      <c r="AF21" s="42"/>
      <c r="AG21" s="190">
        <f t="shared" si="30"/>
        <v>595616.22</v>
      </c>
      <c r="AH21" s="18"/>
      <c r="AI21" s="18">
        <f t="shared" si="3"/>
        <v>0.88700784739610572</v>
      </c>
      <c r="AJ21" s="18"/>
      <c r="AK21" s="18">
        <f t="shared" si="4"/>
        <v>0.88700784739610572</v>
      </c>
      <c r="AL21" s="18"/>
      <c r="AM21" s="40">
        <f t="shared" si="12"/>
        <v>2023</v>
      </c>
      <c r="AN21" s="2"/>
      <c r="AO21" s="39">
        <f t="shared" si="26"/>
        <v>671489234</v>
      </c>
      <c r="AP21" s="47">
        <f t="shared" si="29"/>
        <v>0</v>
      </c>
      <c r="AQ21" s="94">
        <f t="shared" si="13"/>
        <v>650000</v>
      </c>
      <c r="AR21" s="94">
        <f t="shared" si="27"/>
        <v>477000</v>
      </c>
      <c r="AS21" s="41">
        <f t="shared" si="14"/>
        <v>0</v>
      </c>
      <c r="AT21" s="94"/>
      <c r="AU21" s="94">
        <f t="shared" si="5"/>
        <v>1127000</v>
      </c>
      <c r="AW21" s="40">
        <f t="shared" si="15"/>
        <v>2022</v>
      </c>
      <c r="AX21" s="40">
        <f t="shared" si="16"/>
        <v>2023</v>
      </c>
      <c r="AZ21" s="131"/>
      <c r="BA21" s="131">
        <f t="shared" si="17"/>
        <v>0</v>
      </c>
      <c r="BB21" s="131">
        <f t="shared" si="18"/>
        <v>1127000</v>
      </c>
      <c r="BC21" s="131">
        <f t="shared" si="19"/>
        <v>1127000</v>
      </c>
      <c r="BD21" s="131">
        <f t="shared" si="20"/>
        <v>1127000</v>
      </c>
    </row>
    <row r="22" spans="1:56">
      <c r="A22" s="37">
        <f t="shared" si="28"/>
        <v>0.04</v>
      </c>
      <c r="B22" s="37">
        <f t="shared" si="6"/>
        <v>0</v>
      </c>
      <c r="C22" s="38">
        <f t="shared" si="31"/>
        <v>7.5</v>
      </c>
      <c r="D22" s="39">
        <f t="shared" si="32"/>
        <v>5062.5</v>
      </c>
      <c r="E22" s="39">
        <f t="shared" si="21"/>
        <v>202500</v>
      </c>
      <c r="F22" s="11" t="s">
        <v>0</v>
      </c>
      <c r="G22" s="40">
        <f t="shared" si="22"/>
        <v>2023</v>
      </c>
      <c r="H22" s="40">
        <f t="shared" si="23"/>
        <v>2024</v>
      </c>
      <c r="I22" s="2"/>
      <c r="J22" s="41"/>
      <c r="K22" s="2"/>
      <c r="L22" s="18">
        <f t="shared" si="8"/>
        <v>0</v>
      </c>
      <c r="M22" s="2"/>
      <c r="N22" s="49"/>
      <c r="O22" s="2"/>
      <c r="P22" s="155">
        <v>675000</v>
      </c>
      <c r="Q22" s="48">
        <f t="shared" si="24"/>
        <v>437500</v>
      </c>
      <c r="R22" s="48">
        <f t="shared" si="9"/>
        <v>0</v>
      </c>
      <c r="S22" s="156">
        <f t="shared" si="25"/>
        <v>1112500</v>
      </c>
      <c r="T22" s="42"/>
      <c r="U22" s="43"/>
      <c r="V22" s="42"/>
      <c r="W22" s="43"/>
      <c r="X22" s="42"/>
      <c r="Y22" s="41">
        <f t="shared" si="10"/>
        <v>1112500</v>
      </c>
      <c r="Z22" s="18"/>
      <c r="AA22" s="18">
        <f t="shared" si="11"/>
        <v>1.6567652073480601</v>
      </c>
      <c r="AB22" s="18"/>
      <c r="AC22" s="48">
        <f t="shared" si="0"/>
        <v>1112500</v>
      </c>
      <c r="AD22" s="42"/>
      <c r="AE22" s="43">
        <f t="shared" si="1"/>
        <v>-520786.7</v>
      </c>
      <c r="AF22" s="42"/>
      <c r="AG22" s="190">
        <f t="shared" si="30"/>
        <v>591713.30000000005</v>
      </c>
      <c r="AH22" s="18"/>
      <c r="AI22" s="18">
        <f t="shared" si="3"/>
        <v>0.88119551295739773</v>
      </c>
      <c r="AJ22" s="18"/>
      <c r="AK22" s="18">
        <f t="shared" si="4"/>
        <v>0.88119551295739773</v>
      </c>
      <c r="AL22" s="18"/>
      <c r="AM22" s="40">
        <f t="shared" si="12"/>
        <v>2024</v>
      </c>
      <c r="AN22" s="2"/>
      <c r="AO22" s="39">
        <f t="shared" si="26"/>
        <v>671489234</v>
      </c>
      <c r="AP22" s="47">
        <f t="shared" si="29"/>
        <v>0</v>
      </c>
      <c r="AQ22" s="94">
        <f t="shared" ref="AQ22:AQ34" si="33">P22</f>
        <v>675000</v>
      </c>
      <c r="AR22" s="94">
        <f t="shared" si="27"/>
        <v>451000</v>
      </c>
      <c r="AS22" s="41">
        <f t="shared" si="14"/>
        <v>0</v>
      </c>
      <c r="AT22" s="94"/>
      <c r="AU22" s="94">
        <f t="shared" si="5"/>
        <v>1126000</v>
      </c>
      <c r="AW22" s="40">
        <f t="shared" si="15"/>
        <v>2023</v>
      </c>
      <c r="AX22" s="40">
        <f t="shared" si="16"/>
        <v>2024</v>
      </c>
      <c r="AZ22" s="131"/>
      <c r="BA22" s="131">
        <f t="shared" si="17"/>
        <v>0</v>
      </c>
      <c r="BB22" s="131">
        <f t="shared" si="18"/>
        <v>1126000</v>
      </c>
      <c r="BC22" s="131">
        <f t="shared" si="19"/>
        <v>1126000</v>
      </c>
      <c r="BD22" s="131">
        <f t="shared" si="20"/>
        <v>1126000</v>
      </c>
    </row>
    <row r="23" spans="1:56">
      <c r="A23" s="37">
        <f t="shared" si="28"/>
        <v>0.04</v>
      </c>
      <c r="B23" s="37">
        <f t="shared" si="6"/>
        <v>0</v>
      </c>
      <c r="C23" s="38">
        <f t="shared" si="31"/>
        <v>8.5</v>
      </c>
      <c r="D23" s="39">
        <f t="shared" si="32"/>
        <v>5950</v>
      </c>
      <c r="E23" s="39">
        <f t="shared" si="21"/>
        <v>238000</v>
      </c>
      <c r="F23" s="11" t="s">
        <v>0</v>
      </c>
      <c r="G23" s="40">
        <f t="shared" si="22"/>
        <v>2024</v>
      </c>
      <c r="H23" s="40">
        <f t="shared" si="23"/>
        <v>2025</v>
      </c>
      <c r="I23" s="2"/>
      <c r="J23" s="41"/>
      <c r="K23" s="2"/>
      <c r="L23" s="18">
        <f t="shared" si="8"/>
        <v>0</v>
      </c>
      <c r="M23" s="2"/>
      <c r="N23" s="49"/>
      <c r="O23" s="2"/>
      <c r="P23" s="155">
        <v>700000</v>
      </c>
      <c r="Q23" s="48">
        <f t="shared" si="24"/>
        <v>410000</v>
      </c>
      <c r="R23" s="48">
        <f t="shared" si="9"/>
        <v>0</v>
      </c>
      <c r="S23" s="156">
        <f t="shared" si="25"/>
        <v>1110000</v>
      </c>
      <c r="T23" s="42"/>
      <c r="U23" s="43"/>
      <c r="V23" s="42"/>
      <c r="W23" s="43"/>
      <c r="X23" s="42"/>
      <c r="Y23" s="41">
        <f t="shared" si="10"/>
        <v>1110000</v>
      </c>
      <c r="Z23" s="18"/>
      <c r="AA23" s="18">
        <f t="shared" si="11"/>
        <v>1.653042139466379</v>
      </c>
      <c r="AB23" s="18"/>
      <c r="AC23" s="48">
        <f t="shared" si="0"/>
        <v>1110000</v>
      </c>
      <c r="AD23" s="42"/>
      <c r="AE23" s="43">
        <f t="shared" si="1"/>
        <v>-520324.60000000003</v>
      </c>
      <c r="AF23" s="42"/>
      <c r="AG23" s="190">
        <f t="shared" si="30"/>
        <v>589675.39999999991</v>
      </c>
      <c r="AH23" s="18"/>
      <c r="AI23" s="18">
        <f t="shared" si="3"/>
        <v>0.87816061694296632</v>
      </c>
      <c r="AJ23" s="18"/>
      <c r="AK23" s="18">
        <f t="shared" si="4"/>
        <v>0.87816061694296632</v>
      </c>
      <c r="AL23" s="18"/>
      <c r="AM23" s="40">
        <f t="shared" si="12"/>
        <v>2025</v>
      </c>
      <c r="AN23" s="2"/>
      <c r="AO23" s="39">
        <f t="shared" si="26"/>
        <v>671489234</v>
      </c>
      <c r="AP23" s="47">
        <f t="shared" si="29"/>
        <v>0</v>
      </c>
      <c r="AQ23" s="94">
        <f t="shared" si="33"/>
        <v>700000</v>
      </c>
      <c r="AR23" s="94">
        <f t="shared" si="27"/>
        <v>424000</v>
      </c>
      <c r="AS23" s="41">
        <f t="shared" si="14"/>
        <v>0</v>
      </c>
      <c r="AT23" s="94"/>
      <c r="AU23" s="94">
        <f t="shared" si="5"/>
        <v>1124000</v>
      </c>
      <c r="AW23" s="40">
        <f t="shared" si="15"/>
        <v>2024</v>
      </c>
      <c r="AX23" s="40">
        <f t="shared" si="16"/>
        <v>2025</v>
      </c>
      <c r="AZ23" s="131"/>
      <c r="BA23" s="131">
        <f t="shared" si="17"/>
        <v>0</v>
      </c>
      <c r="BB23" s="131">
        <f t="shared" si="18"/>
        <v>1124000</v>
      </c>
      <c r="BC23" s="131">
        <f t="shared" si="19"/>
        <v>1124000</v>
      </c>
      <c r="BD23" s="131">
        <f t="shared" si="20"/>
        <v>1124000</v>
      </c>
    </row>
    <row r="24" spans="1:56">
      <c r="A24" s="37">
        <f t="shared" si="28"/>
        <v>0.04</v>
      </c>
      <c r="B24" s="37">
        <f t="shared" si="6"/>
        <v>0</v>
      </c>
      <c r="C24" s="38">
        <f t="shared" si="31"/>
        <v>9.5</v>
      </c>
      <c r="D24" s="39">
        <f t="shared" si="32"/>
        <v>6935</v>
      </c>
      <c r="E24" s="39">
        <f t="shared" si="21"/>
        <v>277400.00000000006</v>
      </c>
      <c r="F24" s="11" t="s">
        <v>0</v>
      </c>
      <c r="G24" s="40">
        <f t="shared" si="22"/>
        <v>2025</v>
      </c>
      <c r="H24" s="40">
        <f t="shared" si="23"/>
        <v>2026</v>
      </c>
      <c r="I24" s="2"/>
      <c r="J24" s="41"/>
      <c r="K24" s="2"/>
      <c r="L24" s="18">
        <f t="shared" si="8"/>
        <v>0</v>
      </c>
      <c r="M24" s="2"/>
      <c r="N24" s="41"/>
      <c r="O24" s="2"/>
      <c r="P24" s="155">
        <v>730000</v>
      </c>
      <c r="Q24" s="48">
        <f t="shared" si="24"/>
        <v>381400</v>
      </c>
      <c r="R24" s="48">
        <f t="shared" si="9"/>
        <v>0</v>
      </c>
      <c r="S24" s="156">
        <f t="shared" si="25"/>
        <v>1111400</v>
      </c>
      <c r="T24" s="42"/>
      <c r="U24" s="43"/>
      <c r="V24" s="42"/>
      <c r="W24" s="43"/>
      <c r="X24" s="42"/>
      <c r="Y24" s="41">
        <f t="shared" si="10"/>
        <v>1111400</v>
      </c>
      <c r="Z24" s="18"/>
      <c r="AA24" s="18">
        <f t="shared" si="11"/>
        <v>1.6551270574801205</v>
      </c>
      <c r="AB24" s="18"/>
      <c r="AC24" s="48">
        <f t="shared" si="0"/>
        <v>1111400</v>
      </c>
      <c r="AD24" s="42"/>
      <c r="AE24" s="43">
        <f t="shared" si="1"/>
        <v>-519400.4</v>
      </c>
      <c r="AF24" s="42"/>
      <c r="AG24" s="190">
        <f t="shared" si="30"/>
        <v>591999.6</v>
      </c>
      <c r="AH24" s="18"/>
      <c r="AI24" s="18">
        <f t="shared" si="3"/>
        <v>0.88162187869120767</v>
      </c>
      <c r="AJ24" s="18"/>
      <c r="AK24" s="18">
        <f t="shared" si="4"/>
        <v>0.88162187869120767</v>
      </c>
      <c r="AL24" s="18"/>
      <c r="AM24" s="40">
        <f t="shared" si="12"/>
        <v>2026</v>
      </c>
      <c r="AN24" s="2"/>
      <c r="AO24" s="39">
        <f t="shared" si="26"/>
        <v>671489234</v>
      </c>
      <c r="AP24" s="47">
        <f t="shared" si="29"/>
        <v>0</v>
      </c>
      <c r="AQ24" s="94">
        <f t="shared" si="33"/>
        <v>730000</v>
      </c>
      <c r="AR24" s="94">
        <f t="shared" si="27"/>
        <v>396000</v>
      </c>
      <c r="AS24" s="41">
        <f t="shared" si="14"/>
        <v>0</v>
      </c>
      <c r="AT24" s="94"/>
      <c r="AU24" s="94">
        <f t="shared" si="5"/>
        <v>1126000</v>
      </c>
      <c r="AW24" s="40">
        <f t="shared" si="15"/>
        <v>2025</v>
      </c>
      <c r="AX24" s="40">
        <f t="shared" si="16"/>
        <v>2026</v>
      </c>
      <c r="AZ24" s="131"/>
      <c r="BA24" s="131">
        <f t="shared" si="17"/>
        <v>0</v>
      </c>
      <c r="BB24" s="131">
        <f t="shared" si="18"/>
        <v>1126000</v>
      </c>
      <c r="BC24" s="131">
        <f t="shared" si="19"/>
        <v>1126000</v>
      </c>
      <c r="BD24" s="131">
        <f t="shared" si="20"/>
        <v>1126000</v>
      </c>
    </row>
    <row r="25" spans="1:56">
      <c r="A25" s="37">
        <f t="shared" si="28"/>
        <v>0.04</v>
      </c>
      <c r="B25" s="37">
        <f t="shared" si="6"/>
        <v>0</v>
      </c>
      <c r="C25" s="38">
        <f t="shared" si="31"/>
        <v>10.5</v>
      </c>
      <c r="D25" s="39">
        <f t="shared" si="32"/>
        <v>7980</v>
      </c>
      <c r="E25" s="39">
        <f t="shared" si="21"/>
        <v>319200</v>
      </c>
      <c r="F25" s="11" t="s">
        <v>0</v>
      </c>
      <c r="G25" s="40">
        <f t="shared" si="22"/>
        <v>2026</v>
      </c>
      <c r="H25" s="40">
        <f t="shared" si="23"/>
        <v>2027</v>
      </c>
      <c r="I25" s="2"/>
      <c r="J25" s="41"/>
      <c r="K25" s="2"/>
      <c r="L25" s="18">
        <f t="shared" si="8"/>
        <v>0</v>
      </c>
      <c r="M25" s="2"/>
      <c r="N25" s="41"/>
      <c r="O25" s="2"/>
      <c r="P25" s="155">
        <v>760000</v>
      </c>
      <c r="Q25" s="48">
        <f t="shared" si="24"/>
        <v>351600</v>
      </c>
      <c r="R25" s="48">
        <f t="shared" si="9"/>
        <v>0</v>
      </c>
      <c r="S25" s="156">
        <f t="shared" si="25"/>
        <v>1111600</v>
      </c>
      <c r="T25" s="42"/>
      <c r="U25" s="43"/>
      <c r="V25" s="42"/>
      <c r="W25" s="43"/>
      <c r="X25" s="42"/>
      <c r="Y25" s="41">
        <f t="shared" si="10"/>
        <v>1111600</v>
      </c>
      <c r="Z25" s="18"/>
      <c r="AA25" s="18">
        <f t="shared" si="11"/>
        <v>1.6554249029106549</v>
      </c>
      <c r="AB25" s="18"/>
      <c r="AC25" s="48">
        <f t="shared" si="0"/>
        <v>1111600</v>
      </c>
      <c r="AD25" s="42"/>
      <c r="AE25" s="43">
        <f t="shared" si="1"/>
        <v>-520324.60000000003</v>
      </c>
      <c r="AF25" s="42"/>
      <c r="AG25" s="190">
        <f t="shared" si="30"/>
        <v>591275.39999999991</v>
      </c>
      <c r="AH25" s="18"/>
      <c r="AI25" s="18">
        <f t="shared" si="3"/>
        <v>0.88054338038724222</v>
      </c>
      <c r="AJ25" s="18"/>
      <c r="AK25" s="18">
        <f t="shared" si="4"/>
        <v>0.88054338038724222</v>
      </c>
      <c r="AL25" s="18"/>
      <c r="AM25" s="40">
        <f t="shared" si="12"/>
        <v>2027</v>
      </c>
      <c r="AN25" s="2"/>
      <c r="AO25" s="39">
        <f t="shared" si="26"/>
        <v>671489234</v>
      </c>
      <c r="AP25" s="47">
        <f t="shared" si="29"/>
        <v>0</v>
      </c>
      <c r="AQ25" s="94">
        <f t="shared" si="33"/>
        <v>760000</v>
      </c>
      <c r="AR25" s="94">
        <f t="shared" si="27"/>
        <v>366800</v>
      </c>
      <c r="AS25" s="41">
        <f t="shared" si="14"/>
        <v>0</v>
      </c>
      <c r="AT25" s="94"/>
      <c r="AU25" s="94">
        <f t="shared" si="5"/>
        <v>1126800</v>
      </c>
      <c r="AW25" s="40">
        <f t="shared" si="15"/>
        <v>2026</v>
      </c>
      <c r="AX25" s="40">
        <f t="shared" si="16"/>
        <v>2027</v>
      </c>
      <c r="AZ25" s="131"/>
      <c r="BA25" s="131">
        <f t="shared" si="17"/>
        <v>0</v>
      </c>
      <c r="BB25" s="131">
        <f t="shared" si="18"/>
        <v>1126800</v>
      </c>
      <c r="BC25" s="131">
        <f t="shared" si="19"/>
        <v>1126800</v>
      </c>
      <c r="BD25" s="131">
        <f t="shared" si="20"/>
        <v>1126800</v>
      </c>
    </row>
    <row r="26" spans="1:56">
      <c r="A26" s="37">
        <f t="shared" si="28"/>
        <v>0.04</v>
      </c>
      <c r="B26" s="37">
        <f t="shared" si="6"/>
        <v>0</v>
      </c>
      <c r="C26" s="38">
        <f t="shared" si="31"/>
        <v>11.5</v>
      </c>
      <c r="D26" s="39">
        <f t="shared" si="32"/>
        <v>9085</v>
      </c>
      <c r="E26" s="39">
        <f t="shared" si="21"/>
        <v>363400.00000000006</v>
      </c>
      <c r="F26" s="11" t="s">
        <v>0</v>
      </c>
      <c r="G26" s="40">
        <f t="shared" si="22"/>
        <v>2027</v>
      </c>
      <c r="H26" s="40">
        <f t="shared" si="23"/>
        <v>2028</v>
      </c>
      <c r="I26" s="2"/>
      <c r="J26" s="41"/>
      <c r="K26" s="2"/>
      <c r="L26" s="18">
        <f t="shared" si="8"/>
        <v>0</v>
      </c>
      <c r="M26" s="2"/>
      <c r="N26" s="41"/>
      <c r="O26" s="2"/>
      <c r="P26" s="155">
        <v>790000</v>
      </c>
      <c r="Q26" s="48">
        <f t="shared" si="24"/>
        <v>320600</v>
      </c>
      <c r="R26" s="48">
        <f t="shared" si="9"/>
        <v>0</v>
      </c>
      <c r="S26" s="156">
        <f t="shared" si="25"/>
        <v>1110600</v>
      </c>
      <c r="T26" s="42"/>
      <c r="U26" s="43"/>
      <c r="V26" s="42"/>
      <c r="W26" s="43"/>
      <c r="X26" s="42"/>
      <c r="Y26" s="41">
        <f t="shared" si="10"/>
        <v>1110600</v>
      </c>
      <c r="Z26" s="18"/>
      <c r="AA26" s="18">
        <f t="shared" si="11"/>
        <v>1.6539356757579824</v>
      </c>
      <c r="AB26" s="18"/>
      <c r="AC26" s="48">
        <f t="shared" si="0"/>
        <v>1110600</v>
      </c>
      <c r="AD26" s="42"/>
      <c r="AE26" s="43">
        <f t="shared" si="1"/>
        <v>-520694.28</v>
      </c>
      <c r="AF26" s="42"/>
      <c r="AG26" s="190">
        <f t="shared" si="30"/>
        <v>589905.72</v>
      </c>
      <c r="AH26" s="18"/>
      <c r="AI26" s="18">
        <f t="shared" si="3"/>
        <v>0.87850361574076996</v>
      </c>
      <c r="AJ26" s="18"/>
      <c r="AK26" s="18">
        <f t="shared" si="4"/>
        <v>0.87850361574076996</v>
      </c>
      <c r="AL26" s="18"/>
      <c r="AM26" s="40">
        <f t="shared" si="12"/>
        <v>2028</v>
      </c>
      <c r="AN26" s="2"/>
      <c r="AO26" s="39">
        <f t="shared" si="26"/>
        <v>671489234</v>
      </c>
      <c r="AP26" s="47">
        <f t="shared" si="29"/>
        <v>0</v>
      </c>
      <c r="AQ26" s="94">
        <f t="shared" si="33"/>
        <v>790000</v>
      </c>
      <c r="AR26" s="94">
        <f t="shared" si="27"/>
        <v>336400</v>
      </c>
      <c r="AS26" s="41">
        <f t="shared" si="14"/>
        <v>0</v>
      </c>
      <c r="AT26" s="94"/>
      <c r="AU26" s="94">
        <f t="shared" si="5"/>
        <v>1126400</v>
      </c>
      <c r="AW26" s="40">
        <f t="shared" si="15"/>
        <v>2027</v>
      </c>
      <c r="AX26" s="40">
        <f t="shared" si="16"/>
        <v>2028</v>
      </c>
      <c r="AZ26" s="131"/>
      <c r="BA26" s="131">
        <f t="shared" si="17"/>
        <v>0</v>
      </c>
      <c r="BB26" s="131">
        <f t="shared" si="18"/>
        <v>1126400</v>
      </c>
      <c r="BC26" s="131">
        <f t="shared" si="19"/>
        <v>1126400</v>
      </c>
      <c r="BD26" s="131">
        <f t="shared" si="20"/>
        <v>1126400</v>
      </c>
    </row>
    <row r="27" spans="1:56">
      <c r="A27" s="37">
        <f t="shared" si="28"/>
        <v>0.04</v>
      </c>
      <c r="B27" s="37">
        <f t="shared" si="6"/>
        <v>0</v>
      </c>
      <c r="C27" s="38">
        <f t="shared" si="31"/>
        <v>12.5</v>
      </c>
      <c r="D27" s="39">
        <f t="shared" si="32"/>
        <v>10312.5</v>
      </c>
      <c r="E27" s="39">
        <f t="shared" si="21"/>
        <v>412500</v>
      </c>
      <c r="F27" s="11" t="s">
        <v>0</v>
      </c>
      <c r="G27" s="40">
        <f t="shared" si="22"/>
        <v>2028</v>
      </c>
      <c r="H27" s="40">
        <f t="shared" si="23"/>
        <v>2029</v>
      </c>
      <c r="I27" s="2"/>
      <c r="J27" s="41"/>
      <c r="K27" s="2"/>
      <c r="L27" s="18">
        <f t="shared" si="8"/>
        <v>0</v>
      </c>
      <c r="M27" s="2"/>
      <c r="N27" s="41"/>
      <c r="O27" s="2"/>
      <c r="P27" s="155">
        <v>825000</v>
      </c>
      <c r="Q27" s="48">
        <f t="shared" si="24"/>
        <v>288300</v>
      </c>
      <c r="R27" s="48">
        <f t="shared" si="9"/>
        <v>0</v>
      </c>
      <c r="S27" s="156">
        <f t="shared" si="25"/>
        <v>1113300</v>
      </c>
      <c r="T27" s="42"/>
      <c r="U27" s="43"/>
      <c r="V27" s="42"/>
      <c r="W27" s="43"/>
      <c r="X27" s="42"/>
      <c r="Y27" s="41">
        <f t="shared" si="10"/>
        <v>1113300</v>
      </c>
      <c r="Z27" s="18"/>
      <c r="AA27" s="18">
        <f t="shared" si="11"/>
        <v>1.6579565890701979</v>
      </c>
      <c r="AB27" s="18"/>
      <c r="AC27" s="48">
        <f t="shared" si="0"/>
        <v>1113300</v>
      </c>
      <c r="AD27" s="42"/>
      <c r="AE27" s="43">
        <f t="shared" si="1"/>
        <v>-520509.44</v>
      </c>
      <c r="AF27" s="42"/>
      <c r="AG27" s="190">
        <f t="shared" si="30"/>
        <v>592790.56000000006</v>
      </c>
      <c r="AH27" s="18"/>
      <c r="AI27" s="18">
        <f t="shared" si="3"/>
        <v>0.8827997977998856</v>
      </c>
      <c r="AJ27" s="18"/>
      <c r="AK27" s="18">
        <f t="shared" si="4"/>
        <v>0.8827997977998856</v>
      </c>
      <c r="AL27" s="18"/>
      <c r="AM27" s="40">
        <f t="shared" si="12"/>
        <v>2029</v>
      </c>
      <c r="AN27" s="2"/>
      <c r="AO27" s="39">
        <f t="shared" si="26"/>
        <v>671489234</v>
      </c>
      <c r="AP27" s="47">
        <f t="shared" si="29"/>
        <v>0</v>
      </c>
      <c r="AQ27" s="94">
        <f t="shared" si="33"/>
        <v>825000</v>
      </c>
      <c r="AR27" s="94">
        <f t="shared" si="27"/>
        <v>304800</v>
      </c>
      <c r="AS27" s="41">
        <f t="shared" si="14"/>
        <v>0</v>
      </c>
      <c r="AT27" s="94"/>
      <c r="AU27" s="94">
        <f t="shared" si="5"/>
        <v>1129800</v>
      </c>
      <c r="AW27" s="40">
        <f t="shared" si="15"/>
        <v>2028</v>
      </c>
      <c r="AX27" s="40">
        <f t="shared" si="16"/>
        <v>2029</v>
      </c>
      <c r="AZ27" s="131"/>
      <c r="BA27" s="131">
        <f t="shared" si="17"/>
        <v>0</v>
      </c>
      <c r="BB27" s="131">
        <f t="shared" si="18"/>
        <v>1129800</v>
      </c>
      <c r="BC27" s="131">
        <f t="shared" si="19"/>
        <v>1129800</v>
      </c>
      <c r="BD27" s="131">
        <f t="shared" si="20"/>
        <v>1129800</v>
      </c>
    </row>
    <row r="28" spans="1:56">
      <c r="A28" s="37">
        <f t="shared" si="28"/>
        <v>0.04</v>
      </c>
      <c r="B28" s="37">
        <f t="shared" si="6"/>
        <v>0</v>
      </c>
      <c r="C28" s="38">
        <f t="shared" si="31"/>
        <v>13.5</v>
      </c>
      <c r="D28" s="39">
        <f t="shared" si="32"/>
        <v>11610</v>
      </c>
      <c r="E28" s="39">
        <f t="shared" si="21"/>
        <v>464400.00000000006</v>
      </c>
      <c r="F28" s="11" t="s">
        <v>0</v>
      </c>
      <c r="G28" s="40">
        <f t="shared" si="22"/>
        <v>2029</v>
      </c>
      <c r="H28" s="40">
        <f t="shared" si="23"/>
        <v>2030</v>
      </c>
      <c r="I28" s="2"/>
      <c r="J28" s="41"/>
      <c r="K28" s="2"/>
      <c r="L28" s="18">
        <f t="shared" si="8"/>
        <v>0</v>
      </c>
      <c r="M28" s="2"/>
      <c r="N28" s="41"/>
      <c r="O28" s="2"/>
      <c r="P28" s="155">
        <v>860000</v>
      </c>
      <c r="Q28" s="48">
        <f t="shared" si="24"/>
        <v>254600</v>
      </c>
      <c r="R28" s="48">
        <f t="shared" si="9"/>
        <v>0</v>
      </c>
      <c r="S28" s="156">
        <f t="shared" si="25"/>
        <v>1114600</v>
      </c>
      <c r="T28" s="42"/>
      <c r="U28" s="43"/>
      <c r="V28" s="42"/>
      <c r="W28" s="43"/>
      <c r="X28" s="42"/>
      <c r="Y28" s="41">
        <f t="shared" si="10"/>
        <v>1114600</v>
      </c>
      <c r="Z28" s="18"/>
      <c r="AA28" s="18">
        <f t="shared" si="11"/>
        <v>1.659892584368672</v>
      </c>
      <c r="AB28" s="18"/>
      <c r="AC28" s="48">
        <f t="shared" si="0"/>
        <v>1114600</v>
      </c>
      <c r="AD28" s="42"/>
      <c r="AE28" s="43">
        <f t="shared" si="1"/>
        <v>-522080.58</v>
      </c>
      <c r="AF28" s="42"/>
      <c r="AG28" s="190">
        <f t="shared" si="30"/>
        <v>592519.41999999993</v>
      </c>
      <c r="AH28" s="18"/>
      <c r="AI28" s="18">
        <f t="shared" si="3"/>
        <v>0.8823960087497098</v>
      </c>
      <c r="AJ28" s="18"/>
      <c r="AK28" s="18">
        <f t="shared" si="4"/>
        <v>0.8823960087497098</v>
      </c>
      <c r="AL28" s="18"/>
      <c r="AM28" s="40">
        <f t="shared" si="12"/>
        <v>2030</v>
      </c>
      <c r="AN28" s="2"/>
      <c r="AO28" s="39">
        <f t="shared" si="26"/>
        <v>671489234</v>
      </c>
      <c r="AP28" s="47">
        <f t="shared" si="29"/>
        <v>0</v>
      </c>
      <c r="AQ28" s="94">
        <f t="shared" si="33"/>
        <v>860000</v>
      </c>
      <c r="AR28" s="94">
        <f t="shared" si="27"/>
        <v>271800</v>
      </c>
      <c r="AS28" s="41">
        <f t="shared" si="14"/>
        <v>0</v>
      </c>
      <c r="AT28" s="94"/>
      <c r="AU28" s="94">
        <f t="shared" si="5"/>
        <v>1131800</v>
      </c>
      <c r="AW28" s="40">
        <f t="shared" si="15"/>
        <v>2029</v>
      </c>
      <c r="AX28" s="40">
        <f t="shared" si="16"/>
        <v>2030</v>
      </c>
      <c r="AZ28" s="131"/>
      <c r="BA28" s="131">
        <f t="shared" si="17"/>
        <v>0</v>
      </c>
      <c r="BB28" s="131">
        <f t="shared" si="18"/>
        <v>1131800</v>
      </c>
      <c r="BC28" s="131">
        <f t="shared" si="19"/>
        <v>1131800</v>
      </c>
      <c r="BD28" s="131">
        <f t="shared" si="20"/>
        <v>1131800</v>
      </c>
    </row>
    <row r="29" spans="1:56">
      <c r="A29" s="37">
        <f t="shared" si="28"/>
        <v>0.04</v>
      </c>
      <c r="B29" s="37">
        <f t="shared" si="6"/>
        <v>0</v>
      </c>
      <c r="C29" s="38">
        <f t="shared" si="31"/>
        <v>14.5</v>
      </c>
      <c r="D29" s="39">
        <f t="shared" si="32"/>
        <v>12977.5</v>
      </c>
      <c r="E29" s="39">
        <f t="shared" si="21"/>
        <v>519100</v>
      </c>
      <c r="F29" s="11" t="s">
        <v>0</v>
      </c>
      <c r="G29" s="40">
        <f t="shared" si="22"/>
        <v>2030</v>
      </c>
      <c r="H29" s="40">
        <f t="shared" si="23"/>
        <v>2031</v>
      </c>
      <c r="I29" s="2"/>
      <c r="J29" s="41"/>
      <c r="K29" s="2"/>
      <c r="L29" s="18">
        <f t="shared" si="8"/>
        <v>0</v>
      </c>
      <c r="M29" s="2"/>
      <c r="N29" s="41"/>
      <c r="O29" s="2"/>
      <c r="P29" s="155">
        <v>895000</v>
      </c>
      <c r="Q29" s="48">
        <f t="shared" si="24"/>
        <v>219500</v>
      </c>
      <c r="R29" s="48">
        <f t="shared" si="9"/>
        <v>0</v>
      </c>
      <c r="S29" s="156">
        <f t="shared" si="25"/>
        <v>1114500</v>
      </c>
      <c r="T29" s="42"/>
      <c r="U29" s="43"/>
      <c r="V29" s="42"/>
      <c r="W29" s="43"/>
      <c r="X29" s="42"/>
      <c r="Y29" s="41">
        <f t="shared" si="10"/>
        <v>1114500</v>
      </c>
      <c r="Z29" s="18"/>
      <c r="AA29" s="18">
        <f t="shared" si="11"/>
        <v>1.6597436616534047</v>
      </c>
      <c r="AB29" s="18"/>
      <c r="AC29" s="48">
        <f t="shared" si="0"/>
        <v>1114500</v>
      </c>
      <c r="AD29" s="42"/>
      <c r="AE29" s="43">
        <f t="shared" si="1"/>
        <v>-523004.78</v>
      </c>
      <c r="AF29" s="42"/>
      <c r="AG29" s="190">
        <f t="shared" si="30"/>
        <v>591495.22</v>
      </c>
      <c r="AH29" s="18"/>
      <c r="AI29" s="18">
        <f t="shared" si="3"/>
        <v>0.88087074229994278</v>
      </c>
      <c r="AJ29" s="18"/>
      <c r="AK29" s="18">
        <f t="shared" si="4"/>
        <v>0.88087074229994278</v>
      </c>
      <c r="AL29" s="18"/>
      <c r="AM29" s="40">
        <f t="shared" si="12"/>
        <v>2031</v>
      </c>
      <c r="AN29" s="2"/>
      <c r="AO29" s="39">
        <f t="shared" si="26"/>
        <v>671489234</v>
      </c>
      <c r="AP29" s="47">
        <f t="shared" si="29"/>
        <v>0</v>
      </c>
      <c r="AQ29" s="94">
        <f t="shared" si="33"/>
        <v>895000</v>
      </c>
      <c r="AR29" s="94">
        <f t="shared" si="27"/>
        <v>237400</v>
      </c>
      <c r="AS29" s="41">
        <f t="shared" si="14"/>
        <v>0</v>
      </c>
      <c r="AT29" s="94"/>
      <c r="AU29" s="94">
        <f t="shared" si="5"/>
        <v>1132400</v>
      </c>
      <c r="AW29" s="40">
        <f t="shared" si="15"/>
        <v>2030</v>
      </c>
      <c r="AX29" s="40">
        <f t="shared" si="16"/>
        <v>2031</v>
      </c>
      <c r="AZ29" s="131"/>
      <c r="BA29" s="131">
        <f t="shared" si="17"/>
        <v>0</v>
      </c>
      <c r="BB29" s="131">
        <f t="shared" si="18"/>
        <v>1132400</v>
      </c>
      <c r="BC29" s="131">
        <f t="shared" si="19"/>
        <v>1132400</v>
      </c>
      <c r="BD29" s="131">
        <f t="shared" si="20"/>
        <v>1132400</v>
      </c>
    </row>
    <row r="30" spans="1:56">
      <c r="A30" s="37">
        <f t="shared" si="28"/>
        <v>0.04</v>
      </c>
      <c r="B30" s="37">
        <f t="shared" si="6"/>
        <v>0</v>
      </c>
      <c r="C30" s="38">
        <f t="shared" si="31"/>
        <v>15.5</v>
      </c>
      <c r="D30" s="39">
        <f t="shared" si="32"/>
        <v>14415</v>
      </c>
      <c r="E30" s="39">
        <f t="shared" si="21"/>
        <v>576600</v>
      </c>
      <c r="F30" s="11" t="s">
        <v>0</v>
      </c>
      <c r="G30" s="40">
        <f t="shared" si="22"/>
        <v>2031</v>
      </c>
      <c r="H30" s="40">
        <f t="shared" si="23"/>
        <v>2032</v>
      </c>
      <c r="I30" s="2"/>
      <c r="J30" s="41"/>
      <c r="K30" s="2"/>
      <c r="L30" s="18">
        <f t="shared" si="8"/>
        <v>0</v>
      </c>
      <c r="M30" s="2"/>
      <c r="N30" s="41"/>
      <c r="O30" s="2"/>
      <c r="P30" s="155">
        <v>930000</v>
      </c>
      <c r="Q30" s="48">
        <f t="shared" si="24"/>
        <v>183000</v>
      </c>
      <c r="R30" s="48">
        <f t="shared" si="9"/>
        <v>0</v>
      </c>
      <c r="S30" s="156">
        <f t="shared" si="25"/>
        <v>1113000</v>
      </c>
      <c r="T30" s="42"/>
      <c r="U30" s="43"/>
      <c r="V30" s="42"/>
      <c r="W30" s="43"/>
      <c r="X30" s="42"/>
      <c r="Y30" s="41">
        <f t="shared" si="10"/>
        <v>1113000</v>
      </c>
      <c r="Z30" s="18"/>
      <c r="AA30" s="18">
        <f t="shared" si="11"/>
        <v>1.6575098209243964</v>
      </c>
      <c r="AB30" s="18"/>
      <c r="AC30" s="48">
        <f t="shared" si="0"/>
        <v>1113000</v>
      </c>
      <c r="AD30" s="42"/>
      <c r="AE30" s="43">
        <f t="shared" si="1"/>
        <v>-523282.04000000004</v>
      </c>
      <c r="AF30" s="42"/>
      <c r="AG30" s="190">
        <f t="shared" si="30"/>
        <v>589717.96</v>
      </c>
      <c r="AH30" s="18"/>
      <c r="AI30" s="18">
        <f t="shared" si="3"/>
        <v>0.87822399845058419</v>
      </c>
      <c r="AJ30" s="18"/>
      <c r="AK30" s="18">
        <f t="shared" si="4"/>
        <v>0.87822399845058419</v>
      </c>
      <c r="AL30" s="50"/>
      <c r="AM30" s="40">
        <f t="shared" si="12"/>
        <v>2032</v>
      </c>
      <c r="AN30" s="2"/>
      <c r="AO30" s="39">
        <f t="shared" si="26"/>
        <v>671489234</v>
      </c>
      <c r="AP30" s="47">
        <f t="shared" si="29"/>
        <v>0</v>
      </c>
      <c r="AQ30" s="94">
        <f t="shared" si="33"/>
        <v>930000</v>
      </c>
      <c r="AR30" s="94">
        <f t="shared" si="27"/>
        <v>201600</v>
      </c>
      <c r="AS30" s="41">
        <f t="shared" si="14"/>
        <v>0</v>
      </c>
      <c r="AT30" s="94"/>
      <c r="AU30" s="94">
        <f t="shared" si="5"/>
        <v>1131600</v>
      </c>
      <c r="AW30" s="40">
        <f t="shared" si="15"/>
        <v>2031</v>
      </c>
      <c r="AX30" s="40">
        <f t="shared" si="16"/>
        <v>2032</v>
      </c>
      <c r="AZ30" s="131"/>
      <c r="BA30" s="131">
        <f t="shared" si="17"/>
        <v>0</v>
      </c>
      <c r="BB30" s="131">
        <f t="shared" si="18"/>
        <v>1131600</v>
      </c>
      <c r="BC30" s="131">
        <f t="shared" si="19"/>
        <v>1131600</v>
      </c>
      <c r="BD30" s="131">
        <f t="shared" si="20"/>
        <v>1131600</v>
      </c>
    </row>
    <row r="31" spans="1:56">
      <c r="A31" s="37">
        <f t="shared" si="28"/>
        <v>0.04</v>
      </c>
      <c r="B31" s="37">
        <f t="shared" si="6"/>
        <v>0</v>
      </c>
      <c r="C31" s="38">
        <f t="shared" si="31"/>
        <v>16.5</v>
      </c>
      <c r="D31" s="39">
        <f t="shared" si="32"/>
        <v>15922.5</v>
      </c>
      <c r="E31" s="39">
        <f t="shared" si="21"/>
        <v>636900</v>
      </c>
      <c r="F31" s="11" t="s">
        <v>0</v>
      </c>
      <c r="G31" s="40">
        <f t="shared" si="22"/>
        <v>2032</v>
      </c>
      <c r="H31" s="40">
        <f t="shared" si="23"/>
        <v>2033</v>
      </c>
      <c r="I31" s="2"/>
      <c r="J31" s="41"/>
      <c r="K31" s="2"/>
      <c r="L31" s="18">
        <f t="shared" si="8"/>
        <v>0</v>
      </c>
      <c r="M31" s="2"/>
      <c r="N31" s="41"/>
      <c r="O31" s="2"/>
      <c r="P31" s="155">
        <v>965000</v>
      </c>
      <c r="Q31" s="48">
        <f t="shared" si="24"/>
        <v>145100</v>
      </c>
      <c r="R31" s="48">
        <f t="shared" si="9"/>
        <v>0</v>
      </c>
      <c r="S31" s="156">
        <f t="shared" si="25"/>
        <v>1110100</v>
      </c>
      <c r="T31" s="51"/>
      <c r="U31" s="43"/>
      <c r="V31" s="51"/>
      <c r="W31" s="43"/>
      <c r="X31" s="51"/>
      <c r="Y31" s="41">
        <f t="shared" si="10"/>
        <v>1110100</v>
      </c>
      <c r="Z31" s="50"/>
      <c r="AA31" s="18">
        <f t="shared" si="11"/>
        <v>1.6531910621816461</v>
      </c>
      <c r="AB31" s="18"/>
      <c r="AC31" s="48">
        <f t="shared" si="0"/>
        <v>1110100</v>
      </c>
      <c r="AD31" s="51"/>
      <c r="AE31" s="43">
        <f t="shared" si="1"/>
        <v>-522912.36</v>
      </c>
      <c r="AF31" s="51"/>
      <c r="AG31" s="190">
        <f t="shared" si="30"/>
        <v>587187.64</v>
      </c>
      <c r="AH31" s="18"/>
      <c r="AI31" s="18">
        <f t="shared" si="3"/>
        <v>0.87445577720163425</v>
      </c>
      <c r="AJ31" s="54"/>
      <c r="AK31" s="18">
        <f t="shared" si="4"/>
        <v>0.87445577720163425</v>
      </c>
      <c r="AL31" s="52"/>
      <c r="AM31" s="40">
        <f t="shared" si="12"/>
        <v>2033</v>
      </c>
      <c r="AN31" s="2"/>
      <c r="AO31" s="39">
        <f t="shared" si="26"/>
        <v>671489234</v>
      </c>
      <c r="AP31" s="47">
        <f t="shared" si="29"/>
        <v>0</v>
      </c>
      <c r="AQ31" s="94">
        <f t="shared" si="33"/>
        <v>965000</v>
      </c>
      <c r="AR31" s="94">
        <f t="shared" si="27"/>
        <v>164400</v>
      </c>
      <c r="AS31" s="41">
        <f t="shared" si="14"/>
        <v>0</v>
      </c>
      <c r="AT31" s="94"/>
      <c r="AU31" s="94">
        <f t="shared" si="5"/>
        <v>1129400</v>
      </c>
      <c r="AW31" s="40">
        <f t="shared" si="15"/>
        <v>2032</v>
      </c>
      <c r="AX31" s="40">
        <f t="shared" si="16"/>
        <v>2033</v>
      </c>
      <c r="AZ31" s="131"/>
      <c r="BA31" s="131">
        <f t="shared" si="17"/>
        <v>0</v>
      </c>
      <c r="BB31" s="131">
        <f t="shared" si="18"/>
        <v>1129400</v>
      </c>
      <c r="BC31" s="131">
        <f t="shared" si="19"/>
        <v>1129400</v>
      </c>
      <c r="BD31" s="131">
        <f t="shared" si="20"/>
        <v>1129400</v>
      </c>
    </row>
    <row r="32" spans="1:56">
      <c r="A32" s="37">
        <f t="shared" si="28"/>
        <v>0.04</v>
      </c>
      <c r="B32" s="37">
        <f t="shared" si="6"/>
        <v>0</v>
      </c>
      <c r="C32" s="38">
        <f t="shared" si="31"/>
        <v>17.5</v>
      </c>
      <c r="D32" s="39">
        <f t="shared" si="32"/>
        <v>17587.5</v>
      </c>
      <c r="E32" s="39">
        <f t="shared" si="21"/>
        <v>703500</v>
      </c>
      <c r="F32" s="11" t="s">
        <v>0</v>
      </c>
      <c r="G32" s="40">
        <f t="shared" si="22"/>
        <v>2033</v>
      </c>
      <c r="H32" s="40">
        <f t="shared" si="23"/>
        <v>2034</v>
      </c>
      <c r="I32" s="2"/>
      <c r="J32" s="41"/>
      <c r="K32" s="2"/>
      <c r="L32" s="18">
        <f t="shared" si="8"/>
        <v>0</v>
      </c>
      <c r="M32" s="2"/>
      <c r="N32" s="41"/>
      <c r="O32" s="2"/>
      <c r="P32" s="155">
        <v>1005000</v>
      </c>
      <c r="Q32" s="48">
        <f t="shared" si="24"/>
        <v>105700</v>
      </c>
      <c r="R32" s="48">
        <f t="shared" si="9"/>
        <v>0</v>
      </c>
      <c r="S32" s="156">
        <f t="shared" si="25"/>
        <v>1110700</v>
      </c>
      <c r="T32" s="53"/>
      <c r="U32" s="43"/>
      <c r="V32" s="53"/>
      <c r="W32" s="43"/>
      <c r="X32" s="53"/>
      <c r="Y32" s="41">
        <f t="shared" si="10"/>
        <v>1110700</v>
      </c>
      <c r="Z32" s="52"/>
      <c r="AA32" s="18">
        <f t="shared" si="11"/>
        <v>1.6540845984732495</v>
      </c>
      <c r="AB32" s="54"/>
      <c r="AC32" s="48">
        <f t="shared" si="0"/>
        <v>1110700</v>
      </c>
      <c r="AD32" s="53"/>
      <c r="AE32" s="43">
        <f t="shared" si="1"/>
        <v>-521895.74</v>
      </c>
      <c r="AF32" s="53"/>
      <c r="AG32" s="190">
        <f t="shared" si="30"/>
        <v>588804.26</v>
      </c>
      <c r="AH32" s="54"/>
      <c r="AI32" s="18">
        <f t="shared" si="3"/>
        <v>0.87686329160118748</v>
      </c>
      <c r="AJ32" s="54"/>
      <c r="AK32" s="18">
        <f t="shared" si="4"/>
        <v>0.87686329160118748</v>
      </c>
      <c r="AL32" s="52"/>
      <c r="AM32" s="40">
        <f t="shared" si="12"/>
        <v>2034</v>
      </c>
      <c r="AN32" s="2"/>
      <c r="AO32" s="39">
        <f t="shared" si="26"/>
        <v>671489234</v>
      </c>
      <c r="AP32" s="47">
        <f t="shared" si="29"/>
        <v>0</v>
      </c>
      <c r="AQ32" s="94">
        <f t="shared" si="33"/>
        <v>1005000</v>
      </c>
      <c r="AR32" s="94">
        <f t="shared" si="27"/>
        <v>125800</v>
      </c>
      <c r="AS32" s="41">
        <f t="shared" si="14"/>
        <v>0</v>
      </c>
      <c r="AT32" s="94"/>
      <c r="AU32" s="94">
        <f t="shared" si="5"/>
        <v>1130800</v>
      </c>
      <c r="AW32" s="40">
        <f t="shared" si="15"/>
        <v>2033</v>
      </c>
      <c r="AX32" s="40">
        <f t="shared" si="16"/>
        <v>2034</v>
      </c>
      <c r="AZ32" s="131"/>
      <c r="BA32" s="131">
        <f t="shared" si="17"/>
        <v>0</v>
      </c>
      <c r="BB32" s="131">
        <f t="shared" si="18"/>
        <v>1130800</v>
      </c>
      <c r="BC32" s="131">
        <f t="shared" si="19"/>
        <v>1130800</v>
      </c>
      <c r="BD32" s="131">
        <f t="shared" si="20"/>
        <v>1130800</v>
      </c>
    </row>
    <row r="33" spans="1:56">
      <c r="A33" s="37">
        <f t="shared" si="28"/>
        <v>0.04</v>
      </c>
      <c r="B33" s="37">
        <f t="shared" si="6"/>
        <v>0</v>
      </c>
      <c r="C33" s="38">
        <f t="shared" si="31"/>
        <v>18.5</v>
      </c>
      <c r="D33" s="39">
        <f t="shared" si="32"/>
        <v>19425</v>
      </c>
      <c r="E33" s="39">
        <f t="shared" si="21"/>
        <v>777000</v>
      </c>
      <c r="F33" s="11" t="s">
        <v>0</v>
      </c>
      <c r="G33" s="40">
        <f t="shared" si="22"/>
        <v>2034</v>
      </c>
      <c r="H33" s="40">
        <f t="shared" si="23"/>
        <v>2035</v>
      </c>
      <c r="I33" s="2"/>
      <c r="J33" s="41"/>
      <c r="K33" s="2"/>
      <c r="L33" s="18">
        <f t="shared" si="8"/>
        <v>0</v>
      </c>
      <c r="M33" s="2"/>
      <c r="N33" s="41"/>
      <c r="O33" s="2"/>
      <c r="P33" s="155">
        <v>1050000</v>
      </c>
      <c r="Q33" s="48">
        <f t="shared" si="24"/>
        <v>64600</v>
      </c>
      <c r="R33" s="48">
        <f t="shared" si="9"/>
        <v>0</v>
      </c>
      <c r="S33" s="156">
        <f t="shared" si="25"/>
        <v>1114600</v>
      </c>
      <c r="T33" s="53"/>
      <c r="U33" s="43"/>
      <c r="V33" s="53"/>
      <c r="W33" s="43"/>
      <c r="X33" s="53"/>
      <c r="Y33" s="41">
        <f t="shared" si="10"/>
        <v>1114600</v>
      </c>
      <c r="Z33" s="52"/>
      <c r="AA33" s="18">
        <f t="shared" si="11"/>
        <v>1.659892584368672</v>
      </c>
      <c r="AB33" s="54"/>
      <c r="AC33" s="48">
        <f t="shared" si="0"/>
        <v>1114600</v>
      </c>
      <c r="AD33" s="53"/>
      <c r="AE33" s="43">
        <f t="shared" si="1"/>
        <v>-522542.68</v>
      </c>
      <c r="AF33" s="53"/>
      <c r="AG33" s="190">
        <f t="shared" si="30"/>
        <v>592057.32000000007</v>
      </c>
      <c r="AH33" s="54"/>
      <c r="AI33" s="18">
        <f t="shared" si="3"/>
        <v>0.88170783688246002</v>
      </c>
      <c r="AJ33" s="54"/>
      <c r="AK33" s="18">
        <f t="shared" si="4"/>
        <v>0.88170783688246002</v>
      </c>
      <c r="AL33" s="52"/>
      <c r="AM33" s="40">
        <f t="shared" si="12"/>
        <v>2035</v>
      </c>
      <c r="AN33" s="2"/>
      <c r="AO33" s="39">
        <f t="shared" si="26"/>
        <v>671489234</v>
      </c>
      <c r="AP33" s="47">
        <f t="shared" si="29"/>
        <v>0</v>
      </c>
      <c r="AQ33" s="94">
        <f t="shared" si="33"/>
        <v>1050000</v>
      </c>
      <c r="AR33" s="94">
        <f t="shared" si="27"/>
        <v>85600</v>
      </c>
      <c r="AS33" s="41">
        <f t="shared" si="14"/>
        <v>0</v>
      </c>
      <c r="AT33" s="94"/>
      <c r="AU33" s="94">
        <f t="shared" si="5"/>
        <v>1135600</v>
      </c>
      <c r="AW33" s="40">
        <f t="shared" si="15"/>
        <v>2034</v>
      </c>
      <c r="AX33" s="40">
        <f t="shared" si="16"/>
        <v>2035</v>
      </c>
      <c r="AZ33" s="131"/>
      <c r="BA33" s="131">
        <f t="shared" si="17"/>
        <v>0</v>
      </c>
      <c r="BB33" s="131">
        <f t="shared" si="18"/>
        <v>1135600</v>
      </c>
      <c r="BC33" s="131">
        <f t="shared" si="19"/>
        <v>1135600</v>
      </c>
      <c r="BD33" s="131">
        <f t="shared" si="20"/>
        <v>1135600</v>
      </c>
    </row>
    <row r="34" spans="1:56">
      <c r="A34" s="37">
        <f t="shared" si="28"/>
        <v>0.04</v>
      </c>
      <c r="B34" s="37">
        <f t="shared" si="6"/>
        <v>0</v>
      </c>
      <c r="C34" s="38">
        <f t="shared" si="31"/>
        <v>19.5</v>
      </c>
      <c r="D34" s="39">
        <f t="shared" si="32"/>
        <v>21255</v>
      </c>
      <c r="E34" s="39">
        <f t="shared" si="21"/>
        <v>850200</v>
      </c>
      <c r="F34" s="11" t="s">
        <v>0</v>
      </c>
      <c r="G34" s="40">
        <f t="shared" si="22"/>
        <v>2035</v>
      </c>
      <c r="H34" s="40">
        <f t="shared" si="23"/>
        <v>2036</v>
      </c>
      <c r="I34" s="2"/>
      <c r="J34" s="2"/>
      <c r="K34" s="2"/>
      <c r="L34" s="18"/>
      <c r="M34" s="2"/>
      <c r="N34" s="41"/>
      <c r="O34" s="2"/>
      <c r="P34" s="155">
        <f>P5-SUM(P15:P33)</f>
        <v>1090000</v>
      </c>
      <c r="Q34" s="48">
        <f>(P34*A34/2)+(P35*A35/2+Q35)</f>
        <v>21800</v>
      </c>
      <c r="R34" s="48">
        <f t="shared" si="9"/>
        <v>0</v>
      </c>
      <c r="S34" s="156">
        <f t="shared" si="25"/>
        <v>1111800</v>
      </c>
      <c r="T34" s="53"/>
      <c r="U34" s="43"/>
      <c r="V34" s="53"/>
      <c r="W34" s="43"/>
      <c r="X34" s="53"/>
      <c r="Y34" s="41">
        <f t="shared" si="10"/>
        <v>1111800</v>
      </c>
      <c r="Z34" s="52"/>
      <c r="AA34" s="18">
        <f t="shared" si="11"/>
        <v>1.6557227483411892</v>
      </c>
      <c r="AB34" s="54"/>
      <c r="AC34" s="48">
        <f t="shared" si="0"/>
        <v>1111800</v>
      </c>
      <c r="AD34" s="53"/>
      <c r="AE34" s="43">
        <f t="shared" si="1"/>
        <v>-524760.76</v>
      </c>
      <c r="AF34" s="53"/>
      <c r="AG34" s="190">
        <f t="shared" si="30"/>
        <v>587039.24</v>
      </c>
      <c r="AH34" s="54"/>
      <c r="AI34" s="18">
        <f t="shared" si="3"/>
        <v>0.87423477589217757</v>
      </c>
      <c r="AJ34" s="54"/>
      <c r="AK34" s="18">
        <f>+AG34/$AO34*1000</f>
        <v>0.87423477589217757</v>
      </c>
      <c r="AL34" s="52"/>
      <c r="AM34" s="40">
        <f t="shared" si="12"/>
        <v>2036</v>
      </c>
      <c r="AN34" s="2"/>
      <c r="AO34" s="39">
        <f t="shared" si="26"/>
        <v>671489234</v>
      </c>
      <c r="AP34" s="47">
        <f t="shared" si="29"/>
        <v>0</v>
      </c>
      <c r="AQ34" s="94">
        <f t="shared" si="33"/>
        <v>1090000</v>
      </c>
      <c r="AR34" s="94">
        <f t="shared" si="27"/>
        <v>43600</v>
      </c>
      <c r="AS34" s="41">
        <f t="shared" si="14"/>
        <v>0</v>
      </c>
      <c r="AT34" s="94"/>
      <c r="AU34" s="94">
        <f t="shared" si="5"/>
        <v>1133600</v>
      </c>
      <c r="AW34" s="40">
        <f t="shared" si="15"/>
        <v>2035</v>
      </c>
      <c r="AX34" s="40">
        <f t="shared" si="16"/>
        <v>2036</v>
      </c>
      <c r="AZ34" s="131"/>
      <c r="BA34" s="131">
        <f t="shared" si="17"/>
        <v>0</v>
      </c>
      <c r="BB34" s="131">
        <f t="shared" si="18"/>
        <v>1133600</v>
      </c>
      <c r="BC34" s="131">
        <f t="shared" si="19"/>
        <v>1133600</v>
      </c>
      <c r="BD34" s="131">
        <f t="shared" si="20"/>
        <v>1133600</v>
      </c>
    </row>
    <row r="35" spans="1:56" ht="15" customHeight="1">
      <c r="A35" s="37"/>
      <c r="B35" s="37"/>
      <c r="C35" s="38"/>
      <c r="D35" s="39"/>
      <c r="E35" s="39"/>
      <c r="F35" s="11" t="s">
        <v>0</v>
      </c>
      <c r="G35" s="40">
        <f>+G34+1</f>
        <v>2036</v>
      </c>
      <c r="H35" s="40">
        <f>H34+1</f>
        <v>2037</v>
      </c>
      <c r="I35" s="2"/>
      <c r="J35" s="2"/>
      <c r="K35" s="2"/>
      <c r="L35" s="18"/>
      <c r="M35" s="2"/>
      <c r="N35" s="41"/>
      <c r="O35" s="2"/>
      <c r="P35" s="155"/>
      <c r="Q35" s="48"/>
      <c r="R35" s="53"/>
      <c r="S35" s="156"/>
      <c r="T35" s="53"/>
      <c r="U35" s="43"/>
      <c r="V35" s="53"/>
      <c r="W35" s="43"/>
      <c r="X35" s="53"/>
      <c r="Y35" s="41">
        <f t="shared" si="10"/>
        <v>0</v>
      </c>
      <c r="Z35" s="52"/>
      <c r="AA35" s="18"/>
      <c r="AB35" s="54"/>
      <c r="AC35" s="48"/>
      <c r="AD35" s="53"/>
      <c r="AE35" s="43">
        <f t="shared" si="1"/>
        <v>-523836.56</v>
      </c>
      <c r="AF35" s="53"/>
      <c r="AG35" s="41">
        <f t="shared" si="30"/>
        <v>-523836.56</v>
      </c>
      <c r="AH35" s="54"/>
      <c r="AI35" s="18"/>
      <c r="AJ35" s="54"/>
      <c r="AL35" s="52"/>
      <c r="AM35" s="40">
        <f t="shared" si="12"/>
        <v>2037</v>
      </c>
      <c r="AN35" s="2"/>
      <c r="AO35" s="39"/>
      <c r="AP35" s="47"/>
      <c r="AQ35" s="94"/>
      <c r="AR35" s="94"/>
      <c r="AS35" s="94"/>
      <c r="AT35" s="94"/>
      <c r="AU35" s="94"/>
      <c r="AW35" s="40">
        <f t="shared" si="15"/>
        <v>2036</v>
      </c>
      <c r="AX35" s="40">
        <f t="shared" si="16"/>
        <v>2037</v>
      </c>
      <c r="AZ35" s="131"/>
    </row>
    <row r="36" spans="1:56" ht="15" customHeight="1" thickBot="1">
      <c r="A36" s="37"/>
      <c r="B36" s="37"/>
      <c r="C36" s="38"/>
      <c r="F36" s="11" t="s">
        <v>0</v>
      </c>
      <c r="G36" s="40"/>
      <c r="H36" s="40"/>
      <c r="I36" s="2"/>
      <c r="J36" s="2"/>
      <c r="K36" s="2"/>
      <c r="L36" s="55"/>
      <c r="M36" s="2"/>
      <c r="N36" s="53"/>
      <c r="O36" s="2"/>
      <c r="P36" s="157"/>
      <c r="Q36" s="53"/>
      <c r="R36" s="158"/>
      <c r="S36" s="159"/>
      <c r="T36" s="53"/>
      <c r="U36" s="41"/>
      <c r="V36" s="53"/>
      <c r="W36" s="41"/>
      <c r="X36" s="53"/>
      <c r="Y36" s="53"/>
      <c r="Z36" s="52"/>
      <c r="AA36" s="123" t="s">
        <v>46</v>
      </c>
      <c r="AB36" s="54"/>
      <c r="AC36" s="53"/>
      <c r="AD36" s="53"/>
      <c r="AE36" s="41"/>
      <c r="AF36" s="53"/>
      <c r="AG36" s="41"/>
      <c r="AH36" s="54"/>
      <c r="AI36" s="123" t="s">
        <v>46</v>
      </c>
      <c r="AJ36" s="54"/>
      <c r="AK36" s="123" t="s">
        <v>126</v>
      </c>
      <c r="AL36" s="52"/>
      <c r="AM36" s="40"/>
      <c r="AN36" s="2"/>
      <c r="AQ36" s="94"/>
      <c r="AR36" s="94"/>
      <c r="AS36" s="94"/>
      <c r="AT36" s="94"/>
      <c r="AU36" s="94"/>
      <c r="AW36" s="40"/>
      <c r="AX36" s="40"/>
    </row>
    <row r="37" spans="1:56" ht="15" customHeight="1" thickBot="1">
      <c r="A37" s="37"/>
      <c r="B37" s="37"/>
      <c r="C37" s="38"/>
      <c r="D37" s="56">
        <f>SUM(D13:D36)</f>
        <v>172340</v>
      </c>
      <c r="E37" s="57">
        <f>SUM(E13:E36)</f>
        <v>6893600</v>
      </c>
      <c r="F37" s="11" t="s">
        <v>0</v>
      </c>
      <c r="G37" s="2"/>
      <c r="H37" s="2"/>
      <c r="I37" s="2"/>
      <c r="J37" s="58">
        <f>SUM(J13:J36)</f>
        <v>600000</v>
      </c>
      <c r="K37" s="2"/>
      <c r="L37" s="55"/>
      <c r="M37" s="2"/>
      <c r="N37" s="102">
        <f>SUM(N13:N36)</f>
        <v>0</v>
      </c>
      <c r="O37" s="2"/>
      <c r="P37" s="160">
        <f>SUM(P13:P36)</f>
        <v>14700000</v>
      </c>
      <c r="Q37" s="58">
        <f>SUM(Q13:Q36)</f>
        <v>6893600</v>
      </c>
      <c r="R37" s="58">
        <f>SUM(R13:R36)</f>
        <v>0</v>
      </c>
      <c r="S37" s="161">
        <f>SUM(S13:S36)</f>
        <v>21593600</v>
      </c>
      <c r="T37" s="53"/>
      <c r="U37" s="58">
        <f>SUM(U13:U36)</f>
        <v>0</v>
      </c>
      <c r="V37" s="53"/>
      <c r="W37" s="58">
        <f>SUM(W13:W34)</f>
        <v>0</v>
      </c>
      <c r="X37" s="53"/>
      <c r="Y37" s="58">
        <f>SUM(Y13:Y36)</f>
        <v>21593600</v>
      </c>
      <c r="Z37" s="52"/>
      <c r="AA37" s="124">
        <f>ROUND(AVERAGE(AA15:AA35),2)</f>
        <v>1.61</v>
      </c>
      <c r="AB37" s="54"/>
      <c r="AC37" s="58">
        <f>SUM(AC13:AC36)</f>
        <v>22193600</v>
      </c>
      <c r="AD37" s="53"/>
      <c r="AE37" s="58">
        <f>SUM(AE13:AE36)</f>
        <v>-10255662.560000001</v>
      </c>
      <c r="AF37" s="53"/>
      <c r="AG37" s="58">
        <f>SUM(AG13:AG36)</f>
        <v>11937937.439999999</v>
      </c>
      <c r="AH37" s="54"/>
      <c r="AI37" s="124">
        <f>ROUND(AVERAGE(AI15:AI34),2)</f>
        <v>0.88</v>
      </c>
      <c r="AJ37" s="59"/>
      <c r="AK37" s="124">
        <f>ROUND(MAX(AK15:AK34),2)-ROUND(AK14,2)</f>
        <v>0</v>
      </c>
      <c r="AL37" s="59"/>
      <c r="AM37" s="2"/>
      <c r="AN37" s="59"/>
      <c r="AO37" s="3">
        <f>AVERAGE(AG15:AG34)</f>
        <v>593088.69999999995</v>
      </c>
      <c r="AQ37" s="95">
        <f>SUM(AQ13:AQ36)</f>
        <v>14700000</v>
      </c>
      <c r="AR37" s="95">
        <f>SUM(AR13:AR36)</f>
        <v>6893600</v>
      </c>
      <c r="AS37" s="95">
        <f>SUM(AS13:AS36)</f>
        <v>0</v>
      </c>
      <c r="AT37" s="95">
        <f>SUM(AT13:AT36)</f>
        <v>0</v>
      </c>
      <c r="AU37" s="95">
        <f>SUM(AU13:AU36)</f>
        <v>21593600</v>
      </c>
      <c r="AW37" s="132"/>
      <c r="AX37" s="132"/>
      <c r="AZ37" s="95">
        <f>SUM(AZ14:AZ36)</f>
        <v>600000</v>
      </c>
      <c r="BB37" s="95">
        <f>SUM(BB14:BB36)</f>
        <v>22193600</v>
      </c>
      <c r="BC37" s="95">
        <f>SUM(BC14:BC36)</f>
        <v>22193600</v>
      </c>
      <c r="BD37" s="95">
        <f>SUM(BD14:BD36)</f>
        <v>22193600</v>
      </c>
    </row>
    <row r="38" spans="1:56" ht="15" customHeight="1" thickTop="1">
      <c r="A38" s="37"/>
      <c r="B38" s="37"/>
      <c r="C38" s="38"/>
      <c r="D38" s="61" t="s">
        <v>27</v>
      </c>
      <c r="E38" s="62">
        <f>+Q37+R37</f>
        <v>6893600</v>
      </c>
      <c r="F38" s="11" t="s">
        <v>0</v>
      </c>
      <c r="G38" s="2"/>
      <c r="H38" s="2"/>
      <c r="I38" s="2"/>
      <c r="J38" s="2"/>
      <c r="K38" s="2"/>
      <c r="L38" s="59"/>
      <c r="M38" s="2"/>
      <c r="N38" s="59"/>
      <c r="O38" s="2"/>
      <c r="P38" s="162"/>
      <c r="Q38" s="163"/>
      <c r="R38" s="164"/>
      <c r="S38" s="165"/>
      <c r="T38" s="59"/>
      <c r="U38" s="59"/>
      <c r="V38" s="59"/>
      <c r="W38" s="59"/>
      <c r="X38" s="59"/>
      <c r="Y38" s="59"/>
      <c r="Z38" s="59"/>
      <c r="AA38" s="59"/>
      <c r="AB38" s="59"/>
      <c r="AC38" s="168"/>
      <c r="AD38" s="59"/>
      <c r="AE38" s="59"/>
      <c r="AF38" s="59"/>
      <c r="AG38" s="59"/>
      <c r="AH38" s="59"/>
      <c r="AI38" s="59"/>
      <c r="AJ38" s="59"/>
      <c r="AK38" s="59"/>
      <c r="AL38" s="59"/>
      <c r="AM38" s="2"/>
      <c r="AN38" s="59"/>
      <c r="AQ38" s="94"/>
    </row>
    <row r="39" spans="1:56" ht="15" customHeight="1">
      <c r="A39" s="37"/>
      <c r="B39" s="37"/>
      <c r="C39" s="38"/>
      <c r="D39" s="61" t="s">
        <v>28</v>
      </c>
      <c r="E39" s="62">
        <f>AR37+AS37</f>
        <v>6893600</v>
      </c>
      <c r="F39" s="11" t="s">
        <v>0</v>
      </c>
      <c r="G39" s="220"/>
      <c r="H39" s="2"/>
      <c r="I39" s="2"/>
      <c r="J39" s="2"/>
      <c r="K39" s="2"/>
      <c r="L39" s="59"/>
      <c r="M39" s="2"/>
      <c r="N39" s="59"/>
      <c r="O39" s="2"/>
      <c r="P39" s="59"/>
      <c r="Q39" s="59"/>
      <c r="R39" s="104"/>
      <c r="S39" s="59"/>
      <c r="T39" s="59"/>
      <c r="U39" s="59"/>
      <c r="V39" s="59"/>
      <c r="W39" s="59"/>
      <c r="X39" s="59"/>
      <c r="Y39" s="59"/>
      <c r="Z39" s="59"/>
      <c r="AA39" s="59"/>
      <c r="AB39" s="59"/>
      <c r="AC39" s="59"/>
      <c r="AD39" s="59"/>
      <c r="AE39" s="59"/>
      <c r="AF39" s="59"/>
      <c r="AG39" s="59"/>
      <c r="AH39" s="59"/>
      <c r="AI39" s="59"/>
      <c r="AJ39" s="67"/>
      <c r="AK39" s="67"/>
      <c r="AL39" s="59"/>
      <c r="AM39" s="2"/>
      <c r="AN39" s="59"/>
      <c r="AQ39" s="94"/>
    </row>
    <row r="40" spans="1:56" ht="15" customHeight="1" thickBot="1">
      <c r="A40" s="37"/>
      <c r="B40" s="37"/>
      <c r="D40" s="70" t="s">
        <v>29</v>
      </c>
      <c r="E40" s="71">
        <f>E38/D37/1000</f>
        <v>0.04</v>
      </c>
      <c r="F40" s="11" t="s">
        <v>0</v>
      </c>
      <c r="R40" s="73"/>
      <c r="S40" s="64"/>
      <c r="T40" s="64"/>
      <c r="U40" s="64"/>
      <c r="V40" s="64"/>
      <c r="W40" s="64"/>
      <c r="X40" s="64"/>
      <c r="Y40" s="64"/>
      <c r="Z40" s="64"/>
      <c r="AA40" s="67"/>
      <c r="AB40" s="67"/>
      <c r="AC40" s="64"/>
      <c r="AD40" s="64"/>
      <c r="AE40" s="64"/>
      <c r="AF40" s="64"/>
      <c r="AG40" s="67"/>
      <c r="AH40" s="67"/>
      <c r="AI40" s="67"/>
      <c r="AJ40" s="67"/>
      <c r="AK40" s="67"/>
      <c r="AL40" s="64"/>
      <c r="AN40" s="68"/>
      <c r="AO40" s="68"/>
      <c r="AP40" s="69"/>
      <c r="AQ40" s="96"/>
      <c r="AR40" s="97"/>
      <c r="AS40" s="97"/>
      <c r="AT40" s="97"/>
    </row>
    <row r="41" spans="1:56" ht="8.25" customHeight="1">
      <c r="A41" s="37"/>
      <c r="B41" s="37"/>
      <c r="D41" s="193"/>
      <c r="E41" s="194"/>
      <c r="F41" s="11"/>
      <c r="G41" s="192"/>
      <c r="R41" s="73"/>
      <c r="S41" s="64"/>
      <c r="T41" s="64"/>
      <c r="U41" s="64"/>
      <c r="V41" s="64"/>
      <c r="W41" s="64"/>
      <c r="X41" s="64"/>
      <c r="Y41" s="64"/>
      <c r="Z41" s="64"/>
      <c r="AA41" s="67"/>
      <c r="AB41" s="67"/>
      <c r="AC41" s="64"/>
      <c r="AD41" s="64"/>
      <c r="AE41" s="64"/>
      <c r="AF41" s="64"/>
      <c r="AG41" s="67"/>
      <c r="AH41" s="67"/>
      <c r="AI41" s="67"/>
      <c r="AJ41" s="67"/>
      <c r="AK41" s="67"/>
      <c r="AL41" s="64"/>
      <c r="AN41" s="68"/>
      <c r="AO41" s="68"/>
      <c r="AP41" s="69"/>
      <c r="AQ41" s="96"/>
      <c r="AR41" s="97"/>
      <c r="AS41" s="97"/>
      <c r="AT41" s="97"/>
    </row>
    <row r="42" spans="1:56" ht="15" customHeight="1">
      <c r="A42" s="37"/>
      <c r="B42" s="37"/>
      <c r="F42" s="11" t="s">
        <v>0</v>
      </c>
      <c r="G42" s="105" t="s">
        <v>127</v>
      </c>
      <c r="H42" s="35"/>
      <c r="I42" s="106"/>
      <c r="J42" s="106"/>
      <c r="K42" s="106"/>
      <c r="L42" s="107"/>
      <c r="M42" s="106"/>
      <c r="N42" s="108"/>
      <c r="O42" s="109"/>
      <c r="P42" s="110"/>
      <c r="Q42" s="110"/>
      <c r="R42" s="73"/>
      <c r="S42" s="72"/>
      <c r="T42" s="64"/>
      <c r="V42" s="64"/>
      <c r="X42" s="64"/>
      <c r="Y42" s="64"/>
      <c r="Z42" s="64"/>
      <c r="AA42" s="67"/>
      <c r="AB42" s="67"/>
      <c r="AC42" s="64"/>
      <c r="AD42" s="64"/>
      <c r="AF42" s="64"/>
      <c r="AG42" s="67"/>
      <c r="AH42" s="67"/>
      <c r="AI42" s="67"/>
      <c r="AJ42" s="67"/>
      <c r="AK42" s="67"/>
      <c r="AL42" s="64"/>
      <c r="AM42" s="35"/>
      <c r="AN42" s="68"/>
      <c r="AO42" s="68"/>
      <c r="AP42" s="69"/>
      <c r="AQ42" s="96"/>
      <c r="AR42" s="97"/>
      <c r="AS42" s="97"/>
      <c r="AT42" s="97"/>
    </row>
    <row r="43" spans="1:56" ht="15" hidden="1" customHeight="1">
      <c r="A43" s="37"/>
      <c r="B43" s="37"/>
      <c r="D43" s="11"/>
      <c r="E43" s="33"/>
      <c r="F43" s="11" t="s">
        <v>0</v>
      </c>
      <c r="H43" s="105" t="s">
        <v>38</v>
      </c>
      <c r="I43" s="106"/>
      <c r="K43" s="106"/>
      <c r="M43" s="106"/>
      <c r="O43" s="109"/>
      <c r="Q43" s="111">
        <v>0</v>
      </c>
      <c r="R43" s="73"/>
      <c r="S43" s="64"/>
      <c r="T43" s="64"/>
      <c r="V43" s="64"/>
      <c r="X43" s="64"/>
      <c r="Y43" s="64"/>
      <c r="Z43" s="64"/>
      <c r="AA43" s="67"/>
      <c r="AB43" s="67"/>
      <c r="AC43" s="64"/>
      <c r="AD43" s="64"/>
      <c r="AF43" s="64"/>
      <c r="AG43" s="67"/>
      <c r="AH43" s="67"/>
      <c r="AI43" s="67"/>
      <c r="AJ43" s="59"/>
      <c r="AK43" s="59"/>
      <c r="AL43" s="64"/>
      <c r="AM43" s="105"/>
      <c r="AN43" s="68"/>
      <c r="AO43" s="68"/>
      <c r="AP43" s="69"/>
      <c r="AQ43" s="96"/>
      <c r="AR43" s="97"/>
      <c r="AS43" s="97"/>
      <c r="AT43" s="97"/>
    </row>
    <row r="44" spans="1:56" ht="15" hidden="1" customHeight="1">
      <c r="A44" s="37"/>
      <c r="B44" s="37"/>
      <c r="D44" s="11"/>
      <c r="E44" s="33"/>
      <c r="F44" s="11" t="s">
        <v>0</v>
      </c>
      <c r="H44" s="105" t="s">
        <v>39</v>
      </c>
      <c r="I44" s="106"/>
      <c r="K44" s="106"/>
      <c r="M44" s="106"/>
      <c r="O44" s="109"/>
      <c r="Q44" s="108">
        <v>0.72870000000000001</v>
      </c>
      <c r="R44" s="73"/>
      <c r="S44" s="64"/>
      <c r="T44" s="64"/>
      <c r="V44" s="64"/>
      <c r="X44" s="64"/>
      <c r="Y44" s="64"/>
      <c r="Z44" s="64"/>
      <c r="AA44" s="67"/>
      <c r="AB44" s="67"/>
      <c r="AC44" s="64"/>
      <c r="AD44" s="64"/>
      <c r="AF44" s="64"/>
      <c r="AG44" s="67"/>
      <c r="AH44" s="67"/>
      <c r="AI44" s="67"/>
      <c r="AJ44" s="2"/>
      <c r="AK44" s="2"/>
      <c r="AL44" s="73"/>
      <c r="AM44" s="105"/>
      <c r="AN44" s="68"/>
      <c r="AO44" s="68"/>
      <c r="AP44" s="69"/>
      <c r="AQ44" s="96"/>
      <c r="AR44" s="97"/>
      <c r="AS44" s="97"/>
      <c r="AT44" s="97"/>
    </row>
    <row r="45" spans="1:56" ht="15" customHeight="1">
      <c r="A45" s="37"/>
      <c r="B45" s="1"/>
      <c r="C45" s="38"/>
      <c r="F45" s="11" t="s">
        <v>0</v>
      </c>
      <c r="H45" s="105" t="s">
        <v>40</v>
      </c>
      <c r="I45" s="65"/>
      <c r="K45" s="65"/>
      <c r="M45" s="65"/>
      <c r="O45" s="66"/>
      <c r="R45" s="68"/>
      <c r="S45" s="108">
        <v>0.46210000000000001</v>
      </c>
      <c r="T45" s="59"/>
      <c r="U45" s="59"/>
      <c r="V45" s="59"/>
      <c r="W45" s="59"/>
      <c r="X45" s="59"/>
      <c r="Y45" s="59"/>
      <c r="Z45" s="59"/>
      <c r="AA45" s="59"/>
      <c r="AB45" s="59"/>
      <c r="AC45" s="59"/>
      <c r="AD45" s="59"/>
      <c r="AE45" s="59"/>
      <c r="AF45" s="59"/>
      <c r="AG45" s="59"/>
      <c r="AH45" s="59"/>
      <c r="AI45" s="59"/>
      <c r="AJ45" s="76"/>
      <c r="AK45" s="76"/>
      <c r="AL45" s="2"/>
      <c r="AM45" s="105"/>
      <c r="AN45" s="59"/>
      <c r="AQ45" s="94"/>
    </row>
    <row r="46" spans="1:56" ht="15" customHeight="1">
      <c r="A46" s="37"/>
      <c r="B46" s="1"/>
      <c r="C46" s="38"/>
      <c r="F46" s="11" t="s">
        <v>0</v>
      </c>
      <c r="G46" s="8" t="str">
        <f>"(B) Mill rate based on "&amp;TEXT(AO8,"0000")&amp;" "&amp;TEXT(AO9,"")&amp;" Valuation (TID-OUT) of "&amp;DOLLAR((AO14),0)&amp;" with annual growth of "&amp;TEXT(AP15,"0.00%")&amp;"."</f>
        <v>(B) Mill rate based on 2015 Equalized Valuation (TID-OUT) of $671,489,234 with annual growth of 0.00%.</v>
      </c>
      <c r="H46" s="2"/>
      <c r="I46" s="2"/>
      <c r="J46" s="2"/>
      <c r="K46" s="2"/>
      <c r="L46" s="104"/>
      <c r="M46" s="2"/>
      <c r="N46" s="104"/>
      <c r="O46" s="2"/>
      <c r="P46" s="104"/>
      <c r="Q46" s="104"/>
      <c r="R46" s="80"/>
      <c r="S46" s="2"/>
      <c r="T46" s="2"/>
      <c r="U46" s="2"/>
      <c r="V46" s="2"/>
      <c r="W46" s="2"/>
      <c r="X46" s="2"/>
      <c r="Y46" s="2"/>
      <c r="Z46" s="2"/>
      <c r="AA46" s="2"/>
      <c r="AB46" s="2"/>
      <c r="AC46" s="2"/>
      <c r="AD46" s="2"/>
      <c r="AE46" s="2"/>
      <c r="AF46" s="2"/>
      <c r="AG46" s="2"/>
      <c r="AH46" s="2"/>
      <c r="AI46" s="2"/>
      <c r="AJ46" s="76"/>
      <c r="AK46" s="76"/>
      <c r="AL46" s="64"/>
      <c r="AM46" s="2"/>
      <c r="AN46" s="2"/>
      <c r="AQ46" s="94"/>
    </row>
    <row r="47" spans="1:56" ht="15" customHeight="1">
      <c r="A47" s="37"/>
      <c r="B47" s="2"/>
      <c r="D47" s="11"/>
      <c r="E47" s="33"/>
      <c r="F47" s="11" t="s">
        <v>0</v>
      </c>
      <c r="H47" s="74"/>
      <c r="I47" s="75"/>
      <c r="J47" s="75"/>
      <c r="K47" s="75"/>
      <c r="L47" s="76"/>
      <c r="M47" s="75"/>
      <c r="N47" s="73"/>
      <c r="O47" s="75"/>
      <c r="P47" s="73"/>
      <c r="Q47" s="73"/>
      <c r="R47" s="2"/>
      <c r="S47" s="73"/>
      <c r="T47" s="73"/>
      <c r="U47" s="73"/>
      <c r="V47" s="73"/>
      <c r="W47" s="73"/>
      <c r="X47" s="73"/>
      <c r="Y47" s="73"/>
      <c r="Z47" s="73"/>
      <c r="AA47" s="76"/>
      <c r="AB47" s="76"/>
      <c r="AC47" s="73"/>
      <c r="AD47" s="73"/>
      <c r="AE47" s="73"/>
      <c r="AF47" s="73"/>
      <c r="AG47" s="76"/>
      <c r="AH47" s="76"/>
      <c r="AI47" s="76"/>
      <c r="AJ47" s="76"/>
      <c r="AK47" s="76"/>
      <c r="AL47" s="73"/>
      <c r="AM47" s="74"/>
      <c r="AN47" s="68"/>
      <c r="AO47" s="68"/>
      <c r="AP47" s="69"/>
      <c r="AQ47" s="96"/>
      <c r="AR47" s="97"/>
      <c r="AS47" s="97"/>
      <c r="AT47" s="97"/>
    </row>
    <row r="48" spans="1:56" ht="39" customHeight="1">
      <c r="A48" s="37"/>
      <c r="B48" s="2"/>
      <c r="D48" s="11"/>
      <c r="E48" s="33"/>
      <c r="F48" s="11" t="s">
        <v>0</v>
      </c>
      <c r="G48" s="292" t="s">
        <v>116</v>
      </c>
      <c r="H48" s="293"/>
      <c r="I48" s="293"/>
      <c r="J48" s="293"/>
      <c r="K48" s="293"/>
      <c r="L48" s="293"/>
      <c r="M48" s="293"/>
      <c r="N48" s="293"/>
      <c r="O48" s="293"/>
      <c r="P48" s="293"/>
      <c r="Q48" s="293"/>
      <c r="R48" s="293"/>
      <c r="S48" s="293"/>
      <c r="T48" s="293"/>
      <c r="U48" s="293"/>
      <c r="V48" s="293"/>
      <c r="W48" s="293"/>
      <c r="X48" s="293"/>
      <c r="Y48" s="293"/>
      <c r="Z48" s="293"/>
      <c r="AA48" s="293"/>
      <c r="AB48" s="293"/>
      <c r="AC48" s="293"/>
      <c r="AD48" s="293"/>
      <c r="AE48" s="293"/>
      <c r="AF48" s="293"/>
      <c r="AG48" s="293"/>
      <c r="AH48" s="293"/>
      <c r="AI48" s="293"/>
      <c r="AJ48" s="293"/>
      <c r="AK48" s="293"/>
      <c r="AL48" s="293"/>
      <c r="AM48" s="74"/>
      <c r="AN48" s="68"/>
      <c r="AO48" s="68"/>
      <c r="AP48" s="69"/>
      <c r="AQ48" s="96"/>
      <c r="AR48" s="97"/>
      <c r="AS48" s="97"/>
      <c r="AT48" s="97"/>
    </row>
    <row r="49" spans="1:46" ht="114" customHeight="1">
      <c r="A49" s="37"/>
      <c r="B49" s="2"/>
      <c r="D49" s="11"/>
      <c r="E49" s="33"/>
      <c r="F49" s="11" t="s">
        <v>0</v>
      </c>
      <c r="G49" s="294" t="s">
        <v>115</v>
      </c>
      <c r="H49" s="295"/>
      <c r="I49" s="295"/>
      <c r="J49" s="295"/>
      <c r="K49" s="295"/>
      <c r="L49" s="295"/>
      <c r="M49" s="295"/>
      <c r="N49" s="295"/>
      <c r="O49" s="295"/>
      <c r="P49" s="295"/>
      <c r="Q49" s="295"/>
      <c r="R49" s="295"/>
      <c r="S49" s="295"/>
      <c r="T49" s="295"/>
      <c r="U49" s="295"/>
      <c r="V49" s="295"/>
      <c r="W49" s="295"/>
      <c r="X49" s="295"/>
      <c r="Y49" s="295"/>
      <c r="Z49" s="295"/>
      <c r="AA49" s="295"/>
      <c r="AB49" s="295"/>
      <c r="AC49" s="295"/>
      <c r="AD49" s="295"/>
      <c r="AE49" s="295"/>
      <c r="AF49" s="295"/>
      <c r="AG49" s="295"/>
      <c r="AH49" s="295"/>
      <c r="AI49" s="295"/>
      <c r="AJ49" s="295"/>
      <c r="AK49" s="295"/>
      <c r="AL49" s="295"/>
      <c r="AM49" s="60"/>
      <c r="AN49" s="68"/>
      <c r="AO49" s="68"/>
      <c r="AP49" s="69"/>
      <c r="AQ49" s="96"/>
      <c r="AR49" s="97"/>
      <c r="AS49" s="97"/>
      <c r="AT49" s="97"/>
    </row>
    <row r="50" spans="1:46" ht="15" customHeight="1">
      <c r="A50" s="37"/>
      <c r="B50" s="2"/>
      <c r="D50" s="11"/>
      <c r="E50" s="33"/>
      <c r="F50" s="11" t="s">
        <v>0</v>
      </c>
      <c r="I50" s="75"/>
      <c r="J50" s="75"/>
      <c r="K50" s="75"/>
      <c r="L50" s="76"/>
      <c r="M50" s="75"/>
      <c r="N50" s="73"/>
      <c r="O50" s="75"/>
      <c r="P50" s="73"/>
      <c r="Q50" s="73"/>
      <c r="R50" s="2"/>
      <c r="S50" s="73"/>
      <c r="T50" s="73"/>
      <c r="U50" s="73"/>
      <c r="V50" s="73"/>
      <c r="W50" s="73"/>
      <c r="X50" s="73"/>
      <c r="Y50" s="73"/>
      <c r="Z50" s="73"/>
      <c r="AA50" s="76"/>
      <c r="AB50" s="76"/>
      <c r="AC50" s="73"/>
      <c r="AD50" s="73"/>
      <c r="AE50" s="73"/>
      <c r="AF50" s="73"/>
      <c r="AG50" s="76"/>
      <c r="AH50" s="76"/>
      <c r="AI50" s="76"/>
      <c r="AJ50" s="1"/>
      <c r="AK50" s="1"/>
      <c r="AL50" s="68"/>
      <c r="AN50" s="68"/>
      <c r="AO50" s="68"/>
      <c r="AP50" s="69"/>
      <c r="AQ50" s="96"/>
      <c r="AR50" s="97"/>
      <c r="AS50" s="97"/>
      <c r="AT50" s="97"/>
    </row>
    <row r="51" spans="1:46" ht="15" customHeight="1">
      <c r="A51" s="1"/>
      <c r="B51" s="2"/>
      <c r="D51" s="2"/>
      <c r="E51" s="77" t="s">
        <v>30</v>
      </c>
      <c r="F51" s="11" t="s">
        <v>0</v>
      </c>
      <c r="H51" s="60"/>
      <c r="I51" s="75"/>
      <c r="J51" s="75"/>
      <c r="K51" s="75"/>
      <c r="L51" s="78"/>
      <c r="M51" s="75"/>
      <c r="N51" s="68"/>
      <c r="O51" s="75"/>
      <c r="P51" s="68"/>
      <c r="Q51" s="68"/>
      <c r="R51" s="2"/>
      <c r="S51" s="68"/>
      <c r="T51" s="68"/>
      <c r="U51" s="68"/>
      <c r="V51" s="68"/>
      <c r="W51" s="68"/>
      <c r="X51" s="68"/>
      <c r="Y51" s="68"/>
      <c r="Z51" s="68"/>
      <c r="AA51" s="78"/>
      <c r="AB51" s="78"/>
      <c r="AC51" s="68"/>
      <c r="AD51" s="68"/>
      <c r="AE51" s="68"/>
      <c r="AF51" s="68"/>
      <c r="AG51" s="78"/>
      <c r="AH51" s="78"/>
      <c r="AI51" s="78"/>
      <c r="AJ51" s="2"/>
      <c r="AK51" s="2"/>
      <c r="AL51" s="1"/>
      <c r="AM51" s="60"/>
      <c r="AN51" s="68"/>
      <c r="AO51" s="68"/>
      <c r="AP51" s="69"/>
      <c r="AQ51" s="97"/>
      <c r="AR51" s="97"/>
      <c r="AS51" s="97"/>
      <c r="AT51" s="97"/>
    </row>
    <row r="52" spans="1:46" ht="15" customHeight="1">
      <c r="A52" s="1"/>
      <c r="B52" s="2"/>
      <c r="F52" s="11" t="s">
        <v>0</v>
      </c>
      <c r="H52" s="79"/>
      <c r="I52" s="30"/>
      <c r="J52" s="30"/>
      <c r="K52" s="30"/>
      <c r="L52" s="1"/>
      <c r="M52" s="30"/>
      <c r="N52" s="80"/>
      <c r="O52" s="30"/>
      <c r="P52" s="80"/>
      <c r="Q52" s="80"/>
      <c r="R52" s="2"/>
      <c r="S52" s="80"/>
      <c r="T52" s="80"/>
      <c r="U52" s="81"/>
      <c r="W52" s="81"/>
      <c r="Z52" s="1"/>
      <c r="AA52" s="1"/>
      <c r="AB52" s="1"/>
      <c r="AD52" s="80"/>
      <c r="AE52" s="81"/>
      <c r="AG52" s="1"/>
      <c r="AH52" s="1"/>
      <c r="AI52" s="1"/>
      <c r="AJ52" s="2"/>
      <c r="AK52" s="2"/>
      <c r="AL52" s="2"/>
      <c r="AM52" s="79"/>
    </row>
    <row r="53" spans="1:46" ht="15" customHeight="1">
      <c r="A53" s="2"/>
      <c r="B53" s="2"/>
      <c r="C53" s="38"/>
      <c r="F53" s="11" t="s">
        <v>0</v>
      </c>
      <c r="G53" s="192" t="s">
        <v>119</v>
      </c>
      <c r="I53" s="63"/>
      <c r="J53" s="63"/>
      <c r="K53" s="63"/>
      <c r="L53" s="2"/>
      <c r="M53" s="63"/>
      <c r="N53" s="2"/>
      <c r="O53" s="63"/>
      <c r="P53" s="2"/>
      <c r="Q53" s="2"/>
      <c r="R53" s="2"/>
      <c r="S53" s="2"/>
      <c r="T53" s="2"/>
      <c r="U53" s="82"/>
      <c r="V53" s="2"/>
      <c r="W53" s="82"/>
      <c r="X53" s="2"/>
      <c r="Z53" s="2"/>
      <c r="AA53" s="2"/>
      <c r="AB53" s="2"/>
      <c r="AD53" s="2"/>
      <c r="AE53" s="82"/>
      <c r="AF53" s="2"/>
      <c r="AG53" s="2"/>
      <c r="AH53" s="2"/>
      <c r="AI53" s="2"/>
      <c r="AJ53" s="2"/>
      <c r="AK53" s="2"/>
      <c r="AL53" s="2"/>
      <c r="AN53" s="2"/>
    </row>
    <row r="54" spans="1:46" ht="15" customHeight="1">
      <c r="A54" s="2"/>
      <c r="B54" s="2"/>
      <c r="C54" s="38"/>
      <c r="F54" s="11" t="s">
        <v>0</v>
      </c>
      <c r="G54" s="2"/>
      <c r="I54" s="63"/>
      <c r="J54" s="63"/>
      <c r="K54" s="63"/>
      <c r="L54" s="2"/>
      <c r="M54" s="63"/>
      <c r="N54" s="2"/>
      <c r="O54" s="63"/>
      <c r="P54" s="2"/>
      <c r="Q54" s="2"/>
      <c r="R54" s="2"/>
      <c r="S54" s="2"/>
      <c r="T54" s="2"/>
      <c r="U54" s="82"/>
      <c r="V54" s="2"/>
      <c r="W54" s="82"/>
      <c r="X54" s="2"/>
      <c r="Z54" s="2"/>
      <c r="AA54" s="2"/>
      <c r="AB54" s="2"/>
      <c r="AD54" s="2"/>
      <c r="AE54" s="82"/>
      <c r="AF54" s="2"/>
      <c r="AG54" s="2"/>
      <c r="AH54" s="2"/>
      <c r="AI54" s="2"/>
      <c r="AJ54" s="2"/>
      <c r="AK54" s="2"/>
      <c r="AL54" s="2"/>
      <c r="AN54" s="2"/>
    </row>
    <row r="55" spans="1:46" ht="15" customHeight="1">
      <c r="A55" s="2"/>
      <c r="B55" s="2"/>
      <c r="C55" s="38"/>
      <c r="F55" s="11" t="s">
        <v>0</v>
      </c>
      <c r="G55" s="2"/>
      <c r="H55" s="83"/>
      <c r="I55" s="83"/>
      <c r="J55" s="83"/>
      <c r="K55" s="83"/>
      <c r="L55" s="2"/>
      <c r="M55" s="83"/>
      <c r="N55" s="2"/>
      <c r="O55" s="83"/>
      <c r="P55" s="2"/>
      <c r="Q55" s="2"/>
      <c r="R55" s="2"/>
      <c r="S55" s="2"/>
      <c r="T55" s="2"/>
      <c r="U55" s="2"/>
      <c r="V55" s="2"/>
      <c r="W55" s="2"/>
      <c r="X55" s="2"/>
      <c r="Z55" s="2"/>
      <c r="AA55" s="2"/>
      <c r="AB55" s="2"/>
      <c r="AD55" s="2"/>
      <c r="AE55" s="2"/>
      <c r="AF55" s="2"/>
      <c r="AG55" s="2"/>
      <c r="AH55" s="2"/>
      <c r="AI55" s="2"/>
      <c r="AJ55" s="2"/>
      <c r="AK55" s="2"/>
      <c r="AL55" s="2"/>
      <c r="AM55" s="83"/>
      <c r="AN55" s="2"/>
    </row>
    <row r="56" spans="1:46" ht="15" customHeight="1">
      <c r="A56" s="2"/>
      <c r="B56" s="2"/>
      <c r="C56" s="2"/>
      <c r="F56" s="11" t="s">
        <v>0</v>
      </c>
      <c r="G56" s="2"/>
      <c r="I56" s="83"/>
      <c r="J56" s="83"/>
      <c r="K56" s="83"/>
      <c r="L56" s="2"/>
      <c r="M56" s="83"/>
      <c r="N56" s="2"/>
      <c r="O56" s="83"/>
      <c r="P56" s="2"/>
      <c r="Q56" s="2"/>
      <c r="R56" s="2"/>
      <c r="S56" s="2"/>
      <c r="T56" s="2"/>
      <c r="U56" s="2"/>
      <c r="V56" s="2"/>
      <c r="W56" s="2"/>
      <c r="X56" s="2"/>
      <c r="Z56" s="2"/>
      <c r="AA56" s="2"/>
      <c r="AB56" s="2"/>
      <c r="AD56" s="2"/>
      <c r="AE56" s="2"/>
      <c r="AF56" s="2"/>
      <c r="AG56" s="2"/>
      <c r="AH56" s="2"/>
      <c r="AI56" s="2"/>
      <c r="AJ56" s="2"/>
      <c r="AK56" s="2"/>
      <c r="AL56" s="2"/>
      <c r="AN56" s="2"/>
    </row>
    <row r="57" spans="1:46" ht="15" customHeight="1">
      <c r="A57" s="2"/>
      <c r="B57" s="2"/>
      <c r="C57" s="2"/>
      <c r="F57" s="11" t="s">
        <v>0</v>
      </c>
      <c r="G57" s="2"/>
      <c r="I57" s="83"/>
      <c r="J57" s="83"/>
      <c r="K57" s="83"/>
      <c r="L57" s="2"/>
      <c r="M57" s="83"/>
      <c r="N57" s="2"/>
      <c r="O57" s="83"/>
      <c r="P57" s="2"/>
      <c r="Q57" s="2"/>
      <c r="R57" s="2"/>
      <c r="S57" s="2"/>
      <c r="T57" s="2"/>
      <c r="U57" s="2"/>
      <c r="V57" s="2"/>
      <c r="W57" s="2"/>
      <c r="X57" s="2"/>
      <c r="Y57" s="2"/>
      <c r="Z57" s="2"/>
      <c r="AA57" s="2"/>
      <c r="AB57" s="2"/>
      <c r="AC57" s="2"/>
      <c r="AD57" s="2"/>
      <c r="AE57" s="2"/>
      <c r="AF57" s="2"/>
      <c r="AG57" s="2"/>
      <c r="AH57" s="2"/>
      <c r="AI57" s="2"/>
      <c r="AJ57" s="2"/>
      <c r="AK57" s="2"/>
      <c r="AL57" s="2"/>
      <c r="AN57" s="2"/>
    </row>
    <row r="58" spans="1:46" ht="15" customHeight="1">
      <c r="A58" s="2"/>
      <c r="B58" s="2"/>
      <c r="C58" s="2"/>
      <c r="F58" s="11" t="s">
        <v>0</v>
      </c>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row>
    <row r="59" spans="1:46" ht="15" customHeight="1">
      <c r="A59" s="2"/>
      <c r="B59" s="2"/>
      <c r="C59" s="2"/>
      <c r="F59" s="11" t="s">
        <v>0</v>
      </c>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row>
    <row r="60" spans="1:46" ht="15" customHeight="1">
      <c r="A60" s="2"/>
      <c r="B60" s="2"/>
      <c r="C60" s="2"/>
      <c r="F60" s="11" t="s">
        <v>0</v>
      </c>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row>
    <row r="61" spans="1:46">
      <c r="A61" s="2"/>
      <c r="B61" s="2"/>
      <c r="C61" s="2"/>
      <c r="D61" s="2"/>
      <c r="E61" s="77" t="s">
        <v>30</v>
      </c>
      <c r="F61" s="11" t="s">
        <v>0</v>
      </c>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row>
    <row r="62" spans="1:46">
      <c r="A62" s="2"/>
      <c r="B62" s="2"/>
      <c r="C62" s="2"/>
      <c r="D62" s="2"/>
      <c r="E62" s="2"/>
      <c r="F62" s="11" t="s">
        <v>0</v>
      </c>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row>
    <row r="63" spans="1:46">
      <c r="A63" s="2"/>
      <c r="B63" s="2"/>
      <c r="C63" s="2"/>
      <c r="D63" s="2"/>
      <c r="E63" s="2"/>
      <c r="F63" s="11" t="s">
        <v>0</v>
      </c>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row>
    <row r="64" spans="1:46">
      <c r="A64" s="2"/>
      <c r="B64" s="2"/>
      <c r="C64" s="2"/>
      <c r="D64" s="2"/>
      <c r="E64" s="2"/>
      <c r="F64" s="11" t="s">
        <v>0</v>
      </c>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row>
    <row r="65" spans="1:40">
      <c r="A65" s="2"/>
      <c r="B65" s="2"/>
      <c r="C65" s="2"/>
      <c r="D65" s="2"/>
      <c r="E65" s="2"/>
      <c r="F65" s="11" t="s">
        <v>0</v>
      </c>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row>
    <row r="66" spans="1:40">
      <c r="A66" s="2"/>
      <c r="B66" s="2"/>
      <c r="C66" s="2"/>
      <c r="D66" s="2"/>
      <c r="E66" s="2"/>
      <c r="F66" s="11" t="s">
        <v>0</v>
      </c>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row>
    <row r="67" spans="1:40">
      <c r="A67" s="2"/>
      <c r="B67" s="2"/>
      <c r="C67" s="2"/>
      <c r="D67" s="2"/>
      <c r="E67" s="2"/>
      <c r="F67" s="11" t="s">
        <v>0</v>
      </c>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row>
    <row r="68" spans="1:40">
      <c r="A68" s="2"/>
      <c r="B68" s="2"/>
      <c r="C68" s="2"/>
      <c r="D68" s="2"/>
      <c r="E68" s="2"/>
      <c r="F68" s="11" t="s">
        <v>0</v>
      </c>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row>
    <row r="69" spans="1:40">
      <c r="A69" s="2"/>
      <c r="B69" s="2"/>
      <c r="C69" s="2"/>
      <c r="D69" s="2"/>
      <c r="E69" s="2"/>
      <c r="F69" s="11" t="s">
        <v>0</v>
      </c>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row>
    <row r="70" spans="1:40">
      <c r="A70" s="2"/>
      <c r="B70" s="2"/>
      <c r="C70" s="2"/>
      <c r="D70" s="2"/>
      <c r="E70" s="2"/>
      <c r="F70" s="11" t="s">
        <v>0</v>
      </c>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row>
    <row r="71" spans="1:40">
      <c r="A71" s="2"/>
      <c r="B71" s="2"/>
      <c r="C71" s="2"/>
      <c r="D71" s="2"/>
      <c r="E71" s="2"/>
      <c r="F71" s="11" t="s">
        <v>0</v>
      </c>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row>
    <row r="72" spans="1:40">
      <c r="A72" s="2"/>
      <c r="B72" s="2"/>
      <c r="C72" s="2"/>
      <c r="D72" s="2"/>
      <c r="E72" s="2"/>
      <c r="F72" s="11" t="s">
        <v>0</v>
      </c>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row>
    <row r="73" spans="1:40">
      <c r="A73" s="2"/>
      <c r="B73" s="2"/>
      <c r="C73" s="2"/>
      <c r="D73" s="2"/>
      <c r="E73" s="2"/>
      <c r="F73" s="11" t="s">
        <v>0</v>
      </c>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row>
    <row r="74" spans="1:40">
      <c r="A74" s="2"/>
      <c r="B74" s="2"/>
      <c r="C74" s="2"/>
      <c r="D74" s="2"/>
      <c r="E74" s="2"/>
      <c r="F74" s="11" t="s">
        <v>0</v>
      </c>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row>
    <row r="75" spans="1:40">
      <c r="A75" s="2"/>
      <c r="B75" s="2"/>
      <c r="C75" s="2"/>
      <c r="D75" s="2"/>
      <c r="E75" s="2"/>
      <c r="F75" s="11" t="s">
        <v>0</v>
      </c>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row>
    <row r="76" spans="1:40">
      <c r="A76" s="2"/>
      <c r="B76" s="2"/>
      <c r="C76" s="2"/>
      <c r="D76" s="2"/>
      <c r="E76" s="2"/>
      <c r="F76" s="11" t="s">
        <v>0</v>
      </c>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row>
    <row r="77" spans="1:40">
      <c r="A77" s="2"/>
      <c r="B77" s="2"/>
      <c r="C77" s="2"/>
      <c r="D77" s="2"/>
      <c r="E77" s="2"/>
      <c r="F77" s="11" t="s">
        <v>0</v>
      </c>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row>
    <row r="78" spans="1:40">
      <c r="A78" s="2"/>
      <c r="B78" s="2"/>
      <c r="C78" s="2"/>
      <c r="D78" s="2"/>
      <c r="E78" s="2"/>
      <c r="F78" s="11" t="s">
        <v>0</v>
      </c>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row>
    <row r="79" spans="1:40">
      <c r="A79" s="2"/>
      <c r="B79" s="2"/>
      <c r="C79" s="2"/>
      <c r="D79" s="2"/>
      <c r="E79" s="2"/>
      <c r="F79" s="11" t="s">
        <v>0</v>
      </c>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row>
    <row r="80" spans="1:40">
      <c r="A80" s="2"/>
      <c r="B80" s="2"/>
      <c r="C80" s="2"/>
      <c r="D80" s="2"/>
      <c r="E80" s="2"/>
      <c r="F80" s="11" t="s">
        <v>0</v>
      </c>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row>
    <row r="81" spans="1:40">
      <c r="A81" s="2"/>
      <c r="B81" s="2"/>
      <c r="C81" s="2"/>
      <c r="D81" s="2"/>
      <c r="E81" s="2"/>
      <c r="F81" s="11" t="s">
        <v>0</v>
      </c>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row>
    <row r="82" spans="1:40">
      <c r="A82" s="2"/>
      <c r="B82" s="2"/>
      <c r="C82" s="2"/>
      <c r="D82" s="2"/>
      <c r="E82" s="2"/>
      <c r="F82" s="11" t="s">
        <v>0</v>
      </c>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row>
    <row r="83" spans="1:40">
      <c r="A83" s="2"/>
      <c r="B83" s="2"/>
      <c r="C83" s="2"/>
      <c r="D83" s="2"/>
      <c r="E83" s="2"/>
      <c r="F83" s="11" t="s">
        <v>0</v>
      </c>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row>
    <row r="84" spans="1:40">
      <c r="A84" s="2"/>
      <c r="B84" s="2"/>
      <c r="C84" s="2"/>
      <c r="D84" s="2"/>
      <c r="E84" s="2"/>
      <c r="F84" s="11" t="s">
        <v>0</v>
      </c>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row>
    <row r="85" spans="1:40">
      <c r="A85" s="2"/>
      <c r="B85" s="1"/>
      <c r="C85" s="2"/>
      <c r="D85" s="2"/>
      <c r="E85" s="2"/>
      <c r="F85" s="11" t="s">
        <v>0</v>
      </c>
      <c r="G85" s="2"/>
      <c r="H85" s="2"/>
      <c r="I85" s="2"/>
      <c r="J85" s="2"/>
      <c r="K85" s="2"/>
      <c r="L85" s="2"/>
      <c r="M85" s="2"/>
      <c r="N85" s="2"/>
      <c r="O85" s="2"/>
      <c r="P85" s="2"/>
      <c r="Q85" s="2"/>
      <c r="S85" s="2"/>
      <c r="T85" s="2"/>
      <c r="U85" s="2"/>
      <c r="V85" s="2"/>
      <c r="W85" s="2"/>
      <c r="X85" s="2"/>
      <c r="Y85" s="2"/>
      <c r="Z85" s="2"/>
      <c r="AA85" s="2"/>
      <c r="AB85" s="2"/>
      <c r="AC85" s="2"/>
      <c r="AD85" s="2"/>
      <c r="AE85" s="2"/>
      <c r="AF85" s="2"/>
      <c r="AG85" s="2"/>
      <c r="AH85" s="2"/>
      <c r="AI85" s="2"/>
      <c r="AJ85" s="2"/>
      <c r="AK85" s="2"/>
      <c r="AL85" s="2"/>
      <c r="AM85" s="2"/>
      <c r="AN85" s="2"/>
    </row>
    <row r="86" spans="1:40">
      <c r="A86" s="2"/>
      <c r="B86" s="1"/>
      <c r="C86" s="2"/>
      <c r="D86" s="2"/>
      <c r="E86" s="2"/>
      <c r="F86" s="11" t="s">
        <v>0</v>
      </c>
      <c r="G86" s="2"/>
      <c r="H86" s="2"/>
      <c r="I86" s="2"/>
      <c r="J86" s="2"/>
      <c r="K86" s="2"/>
      <c r="L86" s="2"/>
      <c r="M86" s="2"/>
      <c r="N86" s="2"/>
      <c r="O86" s="2"/>
      <c r="P86" s="2"/>
      <c r="Q86" s="2"/>
      <c r="S86" s="2"/>
      <c r="T86" s="2"/>
      <c r="U86" s="2"/>
      <c r="V86" s="2"/>
      <c r="W86" s="2"/>
      <c r="X86" s="2"/>
      <c r="Y86" s="2"/>
      <c r="Z86" s="2"/>
      <c r="AA86" s="2"/>
      <c r="AB86" s="2"/>
      <c r="AC86" s="2"/>
      <c r="AD86" s="2"/>
      <c r="AE86" s="2"/>
      <c r="AF86" s="2"/>
      <c r="AG86" s="2"/>
      <c r="AH86" s="2"/>
      <c r="AI86" s="2"/>
      <c r="AJ86" s="2"/>
      <c r="AK86" s="2"/>
      <c r="AL86" s="2"/>
      <c r="AM86" s="2"/>
      <c r="AN86" s="2"/>
    </row>
    <row r="87" spans="1:40">
      <c r="A87" s="2"/>
      <c r="B87" s="1"/>
      <c r="C87" s="2"/>
      <c r="D87" s="2"/>
      <c r="E87" s="2"/>
      <c r="F87" s="11" t="s">
        <v>0</v>
      </c>
      <c r="G87" s="2"/>
      <c r="H87" s="2"/>
      <c r="I87" s="2"/>
      <c r="J87" s="2"/>
      <c r="K87" s="2"/>
      <c r="L87" s="2"/>
      <c r="M87" s="2"/>
      <c r="N87" s="2"/>
      <c r="O87" s="2"/>
      <c r="P87" s="2"/>
      <c r="Q87" s="2"/>
      <c r="S87" s="2"/>
      <c r="T87" s="2"/>
      <c r="U87" s="2"/>
      <c r="V87" s="2"/>
      <c r="W87" s="2"/>
      <c r="X87" s="2"/>
      <c r="Y87" s="2"/>
      <c r="Z87" s="2"/>
      <c r="AA87" s="2"/>
      <c r="AB87" s="2"/>
      <c r="AC87" s="2"/>
      <c r="AD87" s="2"/>
      <c r="AE87" s="2"/>
      <c r="AF87" s="2"/>
      <c r="AG87" s="2"/>
      <c r="AH87" s="2"/>
      <c r="AI87" s="2"/>
      <c r="AJ87" s="2"/>
      <c r="AK87" s="2"/>
      <c r="AL87" s="2"/>
      <c r="AM87" s="2"/>
      <c r="AN87" s="2"/>
    </row>
    <row r="88" spans="1:40">
      <c r="A88" s="2"/>
      <c r="B88" s="1"/>
      <c r="C88" s="2"/>
      <c r="D88" s="2"/>
      <c r="E88" s="2"/>
      <c r="F88" s="11" t="s">
        <v>0</v>
      </c>
      <c r="G88" s="2"/>
      <c r="H88" s="2"/>
      <c r="I88" s="2"/>
      <c r="J88" s="2"/>
      <c r="K88" s="2"/>
      <c r="L88" s="2"/>
      <c r="M88" s="2"/>
      <c r="N88" s="2"/>
      <c r="O88" s="2"/>
      <c r="P88" s="2"/>
      <c r="Q88" s="2"/>
      <c r="S88" s="2"/>
      <c r="T88" s="2"/>
      <c r="U88" s="2"/>
      <c r="V88" s="2"/>
      <c r="W88" s="2"/>
      <c r="X88" s="2"/>
      <c r="Y88" s="2"/>
      <c r="Z88" s="2"/>
      <c r="AA88" s="2"/>
      <c r="AB88" s="2"/>
      <c r="AC88" s="2"/>
      <c r="AD88" s="2"/>
      <c r="AE88" s="2"/>
      <c r="AF88" s="2"/>
      <c r="AG88" s="2"/>
      <c r="AH88" s="2"/>
      <c r="AI88" s="2"/>
      <c r="AJ88" s="2"/>
      <c r="AK88" s="2"/>
      <c r="AL88" s="2"/>
      <c r="AM88" s="2"/>
      <c r="AN88" s="2"/>
    </row>
    <row r="89" spans="1:40">
      <c r="A89" s="2"/>
      <c r="B89" s="1"/>
      <c r="C89" s="2"/>
      <c r="D89" s="2"/>
      <c r="E89" s="2"/>
      <c r="F89" s="11" t="s">
        <v>0</v>
      </c>
      <c r="G89" s="2"/>
      <c r="H89" s="2"/>
      <c r="I89" s="2"/>
      <c r="J89" s="2"/>
      <c r="K89" s="2"/>
      <c r="L89" s="2"/>
      <c r="M89" s="2"/>
      <c r="N89" s="2"/>
      <c r="O89" s="2"/>
      <c r="P89" s="2"/>
      <c r="Q89" s="2"/>
      <c r="S89" s="2"/>
      <c r="T89" s="2"/>
      <c r="U89" s="2"/>
      <c r="V89" s="2"/>
      <c r="W89" s="2"/>
      <c r="X89" s="2"/>
      <c r="Y89" s="2"/>
      <c r="Z89" s="2"/>
      <c r="AA89" s="2"/>
      <c r="AB89" s="2"/>
      <c r="AC89" s="2"/>
      <c r="AD89" s="2"/>
      <c r="AE89" s="2"/>
      <c r="AF89" s="2"/>
      <c r="AG89" s="2"/>
      <c r="AH89" s="2"/>
      <c r="AI89" s="2"/>
      <c r="AL89" s="2"/>
      <c r="AM89" s="2"/>
      <c r="AN89" s="2"/>
    </row>
    <row r="90" spans="1:40">
      <c r="A90" s="2"/>
      <c r="B90" s="1"/>
      <c r="C90" s="2"/>
      <c r="D90" s="2"/>
      <c r="E90" s="2"/>
      <c r="F90" s="11" t="s">
        <v>0</v>
      </c>
      <c r="G90" s="2"/>
      <c r="H90" s="2"/>
      <c r="I90" s="2"/>
      <c r="J90" s="2"/>
      <c r="K90" s="2"/>
      <c r="L90" s="2"/>
      <c r="M90" s="2"/>
      <c r="N90" s="2"/>
      <c r="O90" s="2"/>
      <c r="P90" s="2"/>
      <c r="Q90" s="2"/>
      <c r="S90" s="2"/>
      <c r="T90" s="2"/>
      <c r="U90" s="2"/>
      <c r="V90" s="2"/>
      <c r="W90" s="2"/>
      <c r="X90" s="2"/>
      <c r="Y90" s="2"/>
      <c r="Z90" s="2"/>
      <c r="AA90" s="2"/>
      <c r="AB90" s="2"/>
      <c r="AC90" s="2"/>
      <c r="AD90" s="2"/>
      <c r="AE90" s="2"/>
      <c r="AF90" s="2"/>
      <c r="AG90" s="2"/>
      <c r="AH90" s="2"/>
      <c r="AI90" s="2"/>
      <c r="AM90" s="2"/>
      <c r="AN90" s="2"/>
    </row>
    <row r="91" spans="1:40">
      <c r="A91" s="1"/>
      <c r="B91" s="1"/>
      <c r="F91" s="11" t="s">
        <v>0</v>
      </c>
    </row>
    <row r="92" spans="1:40">
      <c r="A92" s="1"/>
      <c r="B92" s="1"/>
      <c r="F92" s="11" t="s">
        <v>0</v>
      </c>
    </row>
    <row r="93" spans="1:40">
      <c r="A93" s="1"/>
      <c r="B93" s="1"/>
      <c r="F93" s="11" t="s">
        <v>0</v>
      </c>
    </row>
    <row r="94" spans="1:40">
      <c r="A94" s="1"/>
      <c r="B94" s="1"/>
      <c r="F94" s="11" t="s">
        <v>0</v>
      </c>
    </row>
    <row r="95" spans="1:40">
      <c r="A95" s="1"/>
      <c r="B95" s="1"/>
      <c r="F95" s="11" t="s">
        <v>0</v>
      </c>
    </row>
    <row r="96" spans="1:40">
      <c r="A96" s="1"/>
      <c r="B96" s="1"/>
      <c r="F96" s="11" t="s">
        <v>0</v>
      </c>
    </row>
    <row r="97" spans="1:6">
      <c r="A97" s="1"/>
      <c r="B97" s="1"/>
      <c r="F97" s="11" t="s">
        <v>0</v>
      </c>
    </row>
    <row r="98" spans="1:6">
      <c r="A98" s="1"/>
      <c r="B98" s="1"/>
      <c r="F98" s="11" t="s">
        <v>0</v>
      </c>
    </row>
    <row r="99" spans="1:6">
      <c r="A99" s="1"/>
      <c r="F99" s="11" t="s">
        <v>0</v>
      </c>
    </row>
    <row r="100" spans="1:6">
      <c r="A100" s="1"/>
      <c r="F100" s="11" t="s">
        <v>0</v>
      </c>
    </row>
    <row r="101" spans="1:6">
      <c r="A101" s="1"/>
      <c r="F101" s="11" t="s">
        <v>0</v>
      </c>
    </row>
    <row r="102" spans="1:6">
      <c r="A102" s="1"/>
      <c r="F102" s="11" t="s">
        <v>0</v>
      </c>
    </row>
    <row r="103" spans="1:6">
      <c r="A103" s="1"/>
      <c r="F103" s="11" t="s">
        <v>0</v>
      </c>
    </row>
    <row r="104" spans="1:6">
      <c r="A104" s="1"/>
      <c r="F104" s="11" t="s">
        <v>0</v>
      </c>
    </row>
    <row r="105" spans="1:6">
      <c r="F105" s="11" t="s">
        <v>0</v>
      </c>
    </row>
    <row r="106" spans="1:6">
      <c r="F106" s="11" t="s">
        <v>0</v>
      </c>
    </row>
    <row r="107" spans="1:6">
      <c r="F107" s="11" t="s">
        <v>0</v>
      </c>
    </row>
    <row r="108" spans="1:6">
      <c r="F108" s="11" t="s">
        <v>0</v>
      </c>
    </row>
    <row r="109" spans="1:6">
      <c r="F109" s="11" t="s">
        <v>0</v>
      </c>
    </row>
    <row r="110" spans="1:6">
      <c r="F110" s="11" t="s">
        <v>0</v>
      </c>
    </row>
    <row r="111" spans="1:6">
      <c r="F111" s="11" t="s">
        <v>0</v>
      </c>
    </row>
    <row r="112" spans="1:6">
      <c r="F112" s="11" t="s">
        <v>0</v>
      </c>
    </row>
    <row r="113" spans="6:6">
      <c r="F113" s="11" t="s">
        <v>0</v>
      </c>
    </row>
    <row r="114" spans="6:6">
      <c r="F114" s="11" t="s">
        <v>0</v>
      </c>
    </row>
    <row r="115" spans="6:6">
      <c r="F115" s="11" t="s">
        <v>0</v>
      </c>
    </row>
    <row r="116" spans="6:6">
      <c r="F116" s="11" t="s">
        <v>0</v>
      </c>
    </row>
    <row r="117" spans="6:6">
      <c r="F117" s="11" t="s">
        <v>0</v>
      </c>
    </row>
    <row r="118" spans="6:6">
      <c r="F118" s="11" t="s">
        <v>0</v>
      </c>
    </row>
    <row r="119" spans="6:6">
      <c r="F119" s="11" t="s">
        <v>0</v>
      </c>
    </row>
    <row r="120" spans="6:6">
      <c r="F120" s="11" t="s">
        <v>0</v>
      </c>
    </row>
    <row r="121" spans="6:6">
      <c r="F121" s="11" t="s">
        <v>0</v>
      </c>
    </row>
    <row r="122" spans="6:6">
      <c r="F122" s="11" t="s">
        <v>0</v>
      </c>
    </row>
    <row r="123" spans="6:6">
      <c r="F123" s="11" t="s">
        <v>0</v>
      </c>
    </row>
    <row r="124" spans="6:6">
      <c r="F124" s="11" t="s">
        <v>0</v>
      </c>
    </row>
    <row r="125" spans="6:6">
      <c r="F125" s="11" t="s">
        <v>0</v>
      </c>
    </row>
    <row r="126" spans="6:6">
      <c r="F126" s="11" t="s">
        <v>0</v>
      </c>
    </row>
    <row r="127" spans="6:6">
      <c r="F127" s="11" t="s">
        <v>0</v>
      </c>
    </row>
    <row r="128" spans="6:6">
      <c r="F128" s="11" t="s">
        <v>0</v>
      </c>
    </row>
    <row r="129" spans="6:6">
      <c r="F129" s="11" t="s">
        <v>0</v>
      </c>
    </row>
    <row r="130" spans="6:6">
      <c r="F130" s="11" t="s">
        <v>0</v>
      </c>
    </row>
    <row r="131" spans="6:6">
      <c r="F131" s="11" t="s">
        <v>0</v>
      </c>
    </row>
    <row r="132" spans="6:6">
      <c r="F132" s="11" t="s">
        <v>0</v>
      </c>
    </row>
    <row r="133" spans="6:6">
      <c r="F133" s="11" t="s">
        <v>0</v>
      </c>
    </row>
    <row r="134" spans="6:6">
      <c r="F134" s="11" t="s">
        <v>0</v>
      </c>
    </row>
    <row r="135" spans="6:6">
      <c r="F135" s="11" t="s">
        <v>0</v>
      </c>
    </row>
    <row r="136" spans="6:6">
      <c r="F136" s="11" t="s">
        <v>0</v>
      </c>
    </row>
    <row r="137" spans="6:6">
      <c r="F137" s="11" t="s">
        <v>0</v>
      </c>
    </row>
    <row r="138" spans="6:6">
      <c r="F138" s="11" t="s">
        <v>0</v>
      </c>
    </row>
    <row r="139" spans="6:6">
      <c r="F139" s="11" t="s">
        <v>0</v>
      </c>
    </row>
    <row r="140" spans="6:6">
      <c r="F140" s="11" t="s">
        <v>0</v>
      </c>
    </row>
    <row r="141" spans="6:6">
      <c r="F141" s="11" t="s">
        <v>0</v>
      </c>
    </row>
    <row r="142" spans="6:6">
      <c r="F142" s="11" t="s">
        <v>0</v>
      </c>
    </row>
    <row r="143" spans="6:6">
      <c r="F143" s="11" t="s">
        <v>0</v>
      </c>
    </row>
    <row r="144" spans="6:6">
      <c r="F144" s="11" t="s">
        <v>0</v>
      </c>
    </row>
    <row r="145" spans="6:6">
      <c r="F145" s="11" t="s">
        <v>0</v>
      </c>
    </row>
    <row r="146" spans="6:6">
      <c r="F146" s="11" t="s">
        <v>0</v>
      </c>
    </row>
    <row r="147" spans="6:6">
      <c r="F147" s="11" t="s">
        <v>0</v>
      </c>
    </row>
    <row r="148" spans="6:6">
      <c r="F148" s="11" t="s">
        <v>0</v>
      </c>
    </row>
    <row r="149" spans="6:6">
      <c r="F149" s="11" t="s">
        <v>0</v>
      </c>
    </row>
    <row r="150" spans="6:6">
      <c r="F150" s="11" t="s">
        <v>0</v>
      </c>
    </row>
    <row r="151" spans="6:6">
      <c r="F151" s="11" t="s">
        <v>0</v>
      </c>
    </row>
    <row r="152" spans="6:6">
      <c r="F152" s="11" t="s">
        <v>0</v>
      </c>
    </row>
    <row r="153" spans="6:6">
      <c r="F153" s="11" t="s">
        <v>0</v>
      </c>
    </row>
    <row r="154" spans="6:6">
      <c r="F154" s="11" t="s">
        <v>0</v>
      </c>
    </row>
    <row r="155" spans="6:6">
      <c r="F155" s="11" t="s">
        <v>0</v>
      </c>
    </row>
    <row r="156" spans="6:6">
      <c r="F156" s="11" t="s">
        <v>0</v>
      </c>
    </row>
    <row r="157" spans="6:6">
      <c r="F157" s="11" t="s">
        <v>0</v>
      </c>
    </row>
    <row r="158" spans="6:6">
      <c r="F158" s="11" t="s">
        <v>0</v>
      </c>
    </row>
    <row r="159" spans="6:6">
      <c r="F159" s="11" t="s">
        <v>0</v>
      </c>
    </row>
    <row r="160" spans="6:6">
      <c r="F160" s="11" t="s">
        <v>0</v>
      </c>
    </row>
    <row r="161" spans="6:6">
      <c r="F161" s="11" t="s">
        <v>0</v>
      </c>
    </row>
    <row r="162" spans="6:6">
      <c r="F162" s="11" t="s">
        <v>0</v>
      </c>
    </row>
    <row r="163" spans="6:6">
      <c r="F163" s="11" t="s">
        <v>0</v>
      </c>
    </row>
    <row r="164" spans="6:6">
      <c r="F164" s="11" t="s">
        <v>0</v>
      </c>
    </row>
    <row r="165" spans="6:6">
      <c r="F165" s="11" t="s">
        <v>0</v>
      </c>
    </row>
    <row r="166" spans="6:6">
      <c r="F166" s="11" t="s">
        <v>0</v>
      </c>
    </row>
    <row r="167" spans="6:6">
      <c r="F167" s="11" t="s">
        <v>0</v>
      </c>
    </row>
    <row r="168" spans="6:6">
      <c r="F168" s="11" t="s">
        <v>0</v>
      </c>
    </row>
    <row r="169" spans="6:6">
      <c r="F169" s="11" t="s">
        <v>0</v>
      </c>
    </row>
    <row r="170" spans="6:6">
      <c r="F170" s="11" t="s">
        <v>0</v>
      </c>
    </row>
    <row r="171" spans="6:6">
      <c r="F171" s="11" t="s">
        <v>0</v>
      </c>
    </row>
    <row r="172" spans="6:6">
      <c r="F172" s="11" t="s">
        <v>0</v>
      </c>
    </row>
    <row r="173" spans="6:6">
      <c r="F173" s="11" t="s">
        <v>0</v>
      </c>
    </row>
    <row r="174" spans="6:6">
      <c r="F174" s="11" t="s">
        <v>0</v>
      </c>
    </row>
    <row r="175" spans="6:6">
      <c r="F175" s="11" t="s">
        <v>0</v>
      </c>
    </row>
    <row r="176" spans="6:6">
      <c r="F176" s="11" t="s">
        <v>0</v>
      </c>
    </row>
    <row r="177" spans="6:6">
      <c r="F177" s="11" t="s">
        <v>0</v>
      </c>
    </row>
    <row r="178" spans="6:6">
      <c r="F178" s="11" t="s">
        <v>0</v>
      </c>
    </row>
    <row r="179" spans="6:6">
      <c r="F179" s="11" t="s">
        <v>0</v>
      </c>
    </row>
    <row r="180" spans="6:6">
      <c r="F180" s="11" t="s">
        <v>0</v>
      </c>
    </row>
    <row r="181" spans="6:6">
      <c r="F181" s="11" t="s">
        <v>0</v>
      </c>
    </row>
    <row r="182" spans="6:6">
      <c r="F182" s="11" t="s">
        <v>0</v>
      </c>
    </row>
    <row r="183" spans="6:6">
      <c r="F183" s="11" t="s">
        <v>0</v>
      </c>
    </row>
    <row r="184" spans="6:6">
      <c r="F184" s="11" t="s">
        <v>0</v>
      </c>
    </row>
    <row r="185" spans="6:6">
      <c r="F185" s="11" t="s">
        <v>0</v>
      </c>
    </row>
    <row r="186" spans="6:6">
      <c r="F186" s="11" t="s">
        <v>0</v>
      </c>
    </row>
    <row r="187" spans="6:6">
      <c r="F187" s="11" t="s">
        <v>0</v>
      </c>
    </row>
    <row r="188" spans="6:6">
      <c r="F188" s="11" t="s">
        <v>0</v>
      </c>
    </row>
    <row r="189" spans="6:6">
      <c r="F189" s="11" t="s">
        <v>0</v>
      </c>
    </row>
    <row r="190" spans="6:6">
      <c r="F190" s="11" t="s">
        <v>0</v>
      </c>
    </row>
    <row r="191" spans="6:6">
      <c r="F191" s="11" t="s">
        <v>0</v>
      </c>
    </row>
    <row r="192" spans="6:6">
      <c r="F192" s="11" t="s">
        <v>0</v>
      </c>
    </row>
    <row r="193" spans="6:6">
      <c r="F193" s="11" t="s">
        <v>0</v>
      </c>
    </row>
    <row r="194" spans="6:6">
      <c r="F194" s="11" t="s">
        <v>0</v>
      </c>
    </row>
    <row r="195" spans="6:6">
      <c r="F195" s="11" t="s">
        <v>0</v>
      </c>
    </row>
    <row r="196" spans="6:6">
      <c r="F196" s="11" t="s">
        <v>0</v>
      </c>
    </row>
    <row r="197" spans="6:6">
      <c r="F197" s="11" t="s">
        <v>0</v>
      </c>
    </row>
    <row r="198" spans="6:6">
      <c r="F198" s="11" t="s">
        <v>0</v>
      </c>
    </row>
    <row r="199" spans="6:6">
      <c r="F199" s="11" t="s">
        <v>0</v>
      </c>
    </row>
    <row r="200" spans="6:6">
      <c r="F200" s="11" t="s">
        <v>0</v>
      </c>
    </row>
    <row r="201" spans="6:6">
      <c r="F201" s="11" t="s">
        <v>0</v>
      </c>
    </row>
    <row r="202" spans="6:6">
      <c r="F202" s="11" t="s">
        <v>0</v>
      </c>
    </row>
    <row r="203" spans="6:6">
      <c r="F203" s="11" t="s">
        <v>0</v>
      </c>
    </row>
    <row r="204" spans="6:6">
      <c r="F204" s="11" t="s">
        <v>0</v>
      </c>
    </row>
    <row r="205" spans="6:6">
      <c r="F205" s="11" t="s">
        <v>0</v>
      </c>
    </row>
    <row r="206" spans="6:6">
      <c r="F206" s="11" t="s">
        <v>0</v>
      </c>
    </row>
    <row r="207" spans="6:6">
      <c r="F207" s="11" t="s">
        <v>0</v>
      </c>
    </row>
    <row r="208" spans="6:6">
      <c r="F208" s="11" t="s">
        <v>0</v>
      </c>
    </row>
    <row r="209" spans="6:6">
      <c r="F209" s="11" t="s">
        <v>0</v>
      </c>
    </row>
    <row r="210" spans="6:6">
      <c r="F210" s="11" t="s">
        <v>0</v>
      </c>
    </row>
    <row r="211" spans="6:6">
      <c r="F211" s="11" t="s">
        <v>0</v>
      </c>
    </row>
    <row r="212" spans="6:6">
      <c r="F212" s="11" t="s">
        <v>0</v>
      </c>
    </row>
    <row r="213" spans="6:6">
      <c r="F213" s="11" t="s">
        <v>0</v>
      </c>
    </row>
    <row r="214" spans="6:6">
      <c r="F214" s="11" t="s">
        <v>0</v>
      </c>
    </row>
    <row r="215" spans="6:6">
      <c r="F215" s="11" t="s">
        <v>0</v>
      </c>
    </row>
  </sheetData>
  <mergeCells count="2">
    <mergeCell ref="G49:AL49"/>
    <mergeCell ref="G48:AL48"/>
  </mergeCells>
  <phoneticPr fontId="0" type="noConversion"/>
  <printOptions horizontalCentered="1" gridLinesSet="0"/>
  <pageMargins left="0" right="0" top="1" bottom="0.5" header="0.5" footer="0.25"/>
  <pageSetup scale="60" orientation="landscape" horizontalDpi="300" verticalDpi="300" r:id="rId1"/>
  <headerFooter scaleWithDoc="0" alignWithMargins="0">
    <oddHeader>&amp;L&amp;"Verdana,Bold"&amp;A</oddHeader>
    <oddFooter>&amp;C&amp;"Verdana,Italic"&amp;8Prepared by Robert W. Baird &amp;&amp; Co. Incorporated S:\Public Finance\school district\ashland sd\debt service\2015\ds3 ashland sd.xlsx /jaf &amp;d</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S41"/>
  <sheetViews>
    <sheetView view="pageBreakPreview" topLeftCell="A3" zoomScaleNormal="100" zoomScaleSheetLayoutView="100" workbookViewId="0">
      <selection activeCell="A22" sqref="A22:XFD22"/>
    </sheetView>
  </sheetViews>
  <sheetFormatPr defaultColWidth="8.86328125" defaultRowHeight="12.3"/>
  <cols>
    <col min="1" max="3" width="8.86328125" style="172"/>
    <col min="4" max="4" width="12.54296875" style="172" customWidth="1"/>
    <col min="5" max="6" width="10.54296875" style="172" customWidth="1"/>
    <col min="7" max="7" width="18.08984375" style="172" bestFit="1" customWidth="1"/>
    <col min="8" max="9" width="18.08984375" style="172" hidden="1" customWidth="1"/>
    <col min="10" max="10" width="9" style="172" bestFit="1" customWidth="1"/>
    <col min="11" max="13" width="10.54296875" style="172" customWidth="1"/>
    <col min="14" max="14" width="17.2265625" style="172" bestFit="1" customWidth="1"/>
    <col min="15" max="15" width="10.54296875" style="172" hidden="1" customWidth="1"/>
    <col min="16" max="16" width="8.76953125" style="172" customWidth="1"/>
    <col min="17" max="17" width="8.76953125" style="172" hidden="1" customWidth="1"/>
    <col min="18" max="18" width="13.31640625" style="172" customWidth="1"/>
    <col min="19" max="16384" width="8.86328125" style="172"/>
  </cols>
  <sheetData>
    <row r="1" spans="3:18" ht="17.7">
      <c r="C1" s="170" t="s">
        <v>70</v>
      </c>
      <c r="D1" s="170"/>
      <c r="E1" s="171"/>
      <c r="F1" s="171"/>
      <c r="G1" s="171"/>
      <c r="H1" s="171"/>
      <c r="I1" s="171"/>
      <c r="J1" s="171"/>
      <c r="K1" s="171"/>
      <c r="L1" s="171"/>
      <c r="M1" s="171"/>
      <c r="N1" s="171"/>
      <c r="O1" s="171"/>
      <c r="P1" s="171"/>
      <c r="Q1" s="171"/>
      <c r="R1" s="171"/>
    </row>
    <row r="2" spans="3:18" ht="14.7">
      <c r="C2" s="171" t="s">
        <v>113</v>
      </c>
      <c r="D2" s="171"/>
      <c r="E2" s="173"/>
      <c r="F2" s="173"/>
      <c r="G2" s="173"/>
      <c r="H2" s="173"/>
      <c r="I2" s="173"/>
      <c r="J2" s="173"/>
      <c r="K2" s="173"/>
      <c r="L2" s="173"/>
      <c r="M2" s="173"/>
      <c r="N2" s="173"/>
      <c r="O2" s="173"/>
      <c r="P2" s="173"/>
      <c r="Q2" s="173"/>
      <c r="R2" s="173"/>
    </row>
    <row r="4" spans="3:18" hidden="1"/>
    <row r="5" spans="3:18" hidden="1">
      <c r="D5" s="174" t="s">
        <v>74</v>
      </c>
      <c r="E5" s="175"/>
      <c r="F5" s="174"/>
      <c r="G5" s="175"/>
      <c r="H5" s="175"/>
      <c r="I5" s="175"/>
      <c r="J5" s="175"/>
      <c r="K5" s="175"/>
      <c r="L5" s="175"/>
      <c r="M5" s="175"/>
      <c r="N5" s="175"/>
      <c r="O5" s="176"/>
      <c r="P5" s="176"/>
      <c r="Q5" s="176"/>
      <c r="R5" s="177"/>
    </row>
    <row r="6" spans="3:18" hidden="1">
      <c r="D6" s="178" t="s">
        <v>75</v>
      </c>
      <c r="E6" s="179" t="s">
        <v>77</v>
      </c>
      <c r="F6" s="179" t="s">
        <v>76</v>
      </c>
      <c r="G6" s="179"/>
      <c r="H6" s="179"/>
      <c r="I6" s="179"/>
      <c r="J6" s="179"/>
      <c r="K6" s="179"/>
      <c r="L6" s="179" t="s">
        <v>78</v>
      </c>
      <c r="M6" s="179"/>
      <c r="N6" s="179"/>
      <c r="O6" s="179" t="s">
        <v>62</v>
      </c>
      <c r="P6" s="178" t="s">
        <v>79</v>
      </c>
      <c r="Q6" s="178" t="s">
        <v>62</v>
      </c>
      <c r="R6" s="179" t="s">
        <v>20</v>
      </c>
    </row>
    <row r="7" spans="3:18" hidden="1">
      <c r="C7" s="172" t="s">
        <v>80</v>
      </c>
      <c r="E7" s="180"/>
      <c r="F7" s="180">
        <v>5662237</v>
      </c>
      <c r="G7" s="180"/>
      <c r="H7" s="180"/>
      <c r="I7" s="180"/>
      <c r="J7" s="180"/>
      <c r="K7" s="180"/>
      <c r="L7" s="180"/>
      <c r="M7" s="180"/>
      <c r="N7" s="180"/>
      <c r="O7" s="180"/>
      <c r="P7" s="181">
        <f>F7/R7*1000</f>
        <v>8.3243575439128108</v>
      </c>
      <c r="Q7" s="181"/>
      <c r="R7" s="180">
        <v>680201081</v>
      </c>
    </row>
    <row r="8" spans="3:18" hidden="1">
      <c r="C8" s="172" t="s">
        <v>81</v>
      </c>
      <c r="E8" s="180"/>
      <c r="F8" s="180">
        <v>5984571</v>
      </c>
      <c r="G8" s="180"/>
      <c r="H8" s="180"/>
      <c r="I8" s="180"/>
      <c r="J8" s="180"/>
      <c r="K8" s="180"/>
      <c r="L8" s="180"/>
      <c r="M8" s="180"/>
      <c r="N8" s="180"/>
      <c r="O8" s="180">
        <f>F8-F7</f>
        <v>322334</v>
      </c>
      <c r="P8" s="181">
        <f>F8/R8*1000</f>
        <v>9.0380296217049469</v>
      </c>
      <c r="Q8" s="181">
        <f>P8-P7</f>
        <v>0.71367207779213615</v>
      </c>
      <c r="R8" s="180">
        <v>662154391</v>
      </c>
    </row>
    <row r="9" spans="3:18" hidden="1">
      <c r="C9" s="172" t="s">
        <v>82</v>
      </c>
      <c r="E9" s="182"/>
      <c r="F9" s="180">
        <v>5977171</v>
      </c>
      <c r="G9" s="182"/>
      <c r="H9" s="182"/>
      <c r="I9" s="182"/>
      <c r="J9" s="182"/>
      <c r="K9" s="180"/>
      <c r="L9" s="180"/>
      <c r="M9" s="180"/>
      <c r="N9" s="180"/>
      <c r="O9" s="180">
        <f>F9-F8</f>
        <v>-7400</v>
      </c>
      <c r="P9" s="181">
        <f>F9/R9*1000</f>
        <v>9.0943946063545322</v>
      </c>
      <c r="Q9" s="181">
        <f>P9-P8</f>
        <v>5.6364984649585281E-2</v>
      </c>
      <c r="R9" s="180">
        <v>657236821</v>
      </c>
    </row>
    <row r="10" spans="3:18" hidden="1">
      <c r="C10" s="172" t="s">
        <v>83</v>
      </c>
      <c r="E10" s="182"/>
      <c r="F10" s="183">
        <v>6079421</v>
      </c>
      <c r="G10" s="182"/>
      <c r="H10" s="182"/>
      <c r="I10" s="182"/>
      <c r="J10" s="182"/>
      <c r="K10" s="180"/>
      <c r="L10" s="180"/>
      <c r="M10" s="180"/>
      <c r="N10" s="180"/>
      <c r="O10" s="180">
        <f>F10-F9</f>
        <v>102250</v>
      </c>
      <c r="P10" s="184">
        <f>F10/R10*1000</f>
        <v>9.5082321739244691</v>
      </c>
      <c r="Q10" s="181">
        <f>P10-P9</f>
        <v>0.41383756756993684</v>
      </c>
      <c r="R10" s="180">
        <v>639384997</v>
      </c>
    </row>
    <row r="11" spans="3:18" hidden="1">
      <c r="C11" s="172" t="s">
        <v>84</v>
      </c>
      <c r="E11" s="182"/>
      <c r="F11" s="183"/>
      <c r="G11" s="182"/>
      <c r="H11" s="182"/>
      <c r="I11" s="182"/>
      <c r="J11" s="182"/>
      <c r="K11" s="180"/>
      <c r="L11" s="180"/>
      <c r="M11" s="180"/>
      <c r="N11" s="180"/>
      <c r="O11" s="180">
        <f>F11-F10</f>
        <v>-6079421</v>
      </c>
      <c r="P11" s="184">
        <f>F11/R11*1000</f>
        <v>0</v>
      </c>
      <c r="Q11" s="181">
        <f>P11-P10</f>
        <v>-9.5082321739244691</v>
      </c>
      <c r="R11" s="183">
        <v>671505395</v>
      </c>
    </row>
    <row r="12" spans="3:18">
      <c r="E12" s="185"/>
      <c r="G12" s="185"/>
      <c r="H12" s="185"/>
      <c r="I12" s="185"/>
      <c r="J12" s="185"/>
    </row>
    <row r="15" spans="3:18">
      <c r="D15" s="174" t="s">
        <v>85</v>
      </c>
      <c r="E15" s="175"/>
      <c r="F15" s="174"/>
      <c r="G15" s="175"/>
      <c r="H15" s="175"/>
      <c r="I15" s="175"/>
      <c r="J15" s="175"/>
      <c r="K15" s="175"/>
      <c r="L15" s="175"/>
      <c r="M15" s="175"/>
      <c r="N15" s="175"/>
      <c r="O15" s="176"/>
      <c r="P15" s="176"/>
      <c r="Q15" s="176"/>
      <c r="R15" s="177"/>
    </row>
    <row r="16" spans="3:18">
      <c r="D16" s="178" t="s">
        <v>75</v>
      </c>
      <c r="E16" s="179" t="s">
        <v>77</v>
      </c>
      <c r="F16" s="179" t="s">
        <v>112</v>
      </c>
      <c r="G16" s="178" t="s">
        <v>110</v>
      </c>
      <c r="H16" s="178"/>
      <c r="I16" s="178"/>
      <c r="J16" s="178" t="s">
        <v>117</v>
      </c>
      <c r="K16" s="178" t="s">
        <v>118</v>
      </c>
      <c r="L16" s="179" t="s">
        <v>86</v>
      </c>
      <c r="M16" s="178" t="s">
        <v>114</v>
      </c>
      <c r="N16" s="179" t="s">
        <v>87</v>
      </c>
      <c r="O16" s="179" t="s">
        <v>62</v>
      </c>
      <c r="Q16" s="178" t="s">
        <v>62</v>
      </c>
      <c r="R16" s="179" t="s">
        <v>20</v>
      </c>
    </row>
    <row r="17" spans="3:19">
      <c r="C17" s="172" t="s">
        <v>80</v>
      </c>
      <c r="E17" s="180"/>
      <c r="F17" s="180">
        <v>5662237</v>
      </c>
      <c r="G17" s="181">
        <f t="shared" ref="G17:G41" si="0">F17/R17*1000</f>
        <v>8.3243575439128108</v>
      </c>
      <c r="H17" s="181"/>
      <c r="I17" s="181"/>
      <c r="J17" s="181"/>
      <c r="K17" s="180"/>
      <c r="L17" s="180"/>
      <c r="M17" s="180"/>
      <c r="N17" s="188">
        <f t="shared" ref="N17:N20" si="1">F17+L17</f>
        <v>5662237</v>
      </c>
      <c r="O17" s="180"/>
      <c r="P17" s="181">
        <f>N17/R17*1000</f>
        <v>8.3243575439128108</v>
      </c>
      <c r="Q17" s="181"/>
      <c r="R17" s="180">
        <v>680201081</v>
      </c>
    </row>
    <row r="18" spans="3:19">
      <c r="C18" s="172" t="s">
        <v>81</v>
      </c>
      <c r="E18" s="180"/>
      <c r="F18" s="180">
        <v>5984571</v>
      </c>
      <c r="G18" s="181">
        <f t="shared" si="0"/>
        <v>9.0380296217049469</v>
      </c>
      <c r="H18" s="181"/>
      <c r="I18" s="181"/>
      <c r="J18" s="181"/>
      <c r="K18" s="180"/>
      <c r="L18" s="180"/>
      <c r="M18" s="180"/>
      <c r="N18" s="188">
        <f t="shared" si="1"/>
        <v>5984571</v>
      </c>
      <c r="O18" s="180">
        <f>F18-F17</f>
        <v>322334</v>
      </c>
      <c r="P18" s="181">
        <f t="shared" ref="P18:P41" si="2">N18/R18*1000</f>
        <v>9.0380296217049469</v>
      </c>
      <c r="Q18" s="181">
        <f>G18-G17</f>
        <v>0.71367207779213615</v>
      </c>
      <c r="R18" s="180">
        <v>662154391</v>
      </c>
    </row>
    <row r="19" spans="3:19">
      <c r="C19" s="172" t="s">
        <v>82</v>
      </c>
      <c r="E19" s="180"/>
      <c r="F19" s="180">
        <v>5977171</v>
      </c>
      <c r="G19" s="181">
        <f t="shared" si="0"/>
        <v>9.0943946063545322</v>
      </c>
      <c r="H19" s="181"/>
      <c r="I19" s="181"/>
      <c r="J19" s="181"/>
      <c r="K19" s="180"/>
      <c r="L19" s="180"/>
      <c r="M19" s="180"/>
      <c r="N19" s="188">
        <f t="shared" si="1"/>
        <v>5977171</v>
      </c>
      <c r="O19" s="180">
        <f>F19-F18</f>
        <v>-7400</v>
      </c>
      <c r="P19" s="181">
        <f t="shared" si="2"/>
        <v>9.0943946063545322</v>
      </c>
      <c r="Q19" s="181">
        <f>G19-G18</f>
        <v>5.6364984649585281E-2</v>
      </c>
      <c r="R19" s="180">
        <v>657236821</v>
      </c>
    </row>
    <row r="20" spans="3:19">
      <c r="C20" s="172" t="s">
        <v>83</v>
      </c>
      <c r="D20" s="180">
        <v>20777488</v>
      </c>
      <c r="E20" s="180">
        <v>14701069</v>
      </c>
      <c r="F20" s="183">
        <v>6079421</v>
      </c>
      <c r="G20" s="186">
        <f t="shared" si="0"/>
        <v>9.5082321739244691</v>
      </c>
      <c r="H20" s="186"/>
      <c r="I20" s="186"/>
      <c r="J20" s="186"/>
      <c r="K20" s="180"/>
      <c r="L20" s="180"/>
      <c r="M20" s="180"/>
      <c r="N20" s="188">
        <f t="shared" si="1"/>
        <v>6079421</v>
      </c>
      <c r="O20" s="182">
        <f>F20-F19</f>
        <v>102250</v>
      </c>
      <c r="P20" s="181">
        <f t="shared" si="2"/>
        <v>9.5082321739244691</v>
      </c>
      <c r="Q20" s="181">
        <f>G20-G19</f>
        <v>0.41383756756993684</v>
      </c>
      <c r="R20" s="180">
        <v>639384997</v>
      </c>
    </row>
    <row r="21" spans="3:19">
      <c r="C21" s="172" t="s">
        <v>84</v>
      </c>
      <c r="D21" s="191">
        <f>20777488+28593+23222</f>
        <v>20829303</v>
      </c>
      <c r="E21" s="187">
        <v>15361798</v>
      </c>
      <c r="F21" s="183">
        <f>D21-E21-20831-29169</f>
        <v>5417505</v>
      </c>
      <c r="G21" s="186">
        <f>F21/R21*1000</f>
        <v>8.0678955457385637</v>
      </c>
      <c r="H21" s="186"/>
      <c r="I21" s="186"/>
      <c r="J21" s="182">
        <v>600000</v>
      </c>
      <c r="K21" s="186">
        <f>J21/R21*1000</f>
        <v>0.89353629160344805</v>
      </c>
      <c r="L21" s="180"/>
      <c r="M21" s="181"/>
      <c r="N21" s="188">
        <f>F21+L21+J21</f>
        <v>6017505</v>
      </c>
      <c r="O21" s="182">
        <f>F21-F20</f>
        <v>-661916</v>
      </c>
      <c r="P21" s="181">
        <f t="shared" si="2"/>
        <v>8.9614318373420119</v>
      </c>
      <c r="Q21" s="181">
        <f>G21-G20</f>
        <v>-1.4403366281859054</v>
      </c>
      <c r="R21" s="183">
        <f>'Preliminary ($14,700,000)'!AO14</f>
        <v>671489234</v>
      </c>
    </row>
    <row r="22" spans="3:19">
      <c r="C22" s="172" t="s">
        <v>89</v>
      </c>
      <c r="F22" s="180">
        <f>F21</f>
        <v>5417505</v>
      </c>
      <c r="G22" s="186">
        <f t="shared" si="0"/>
        <v>8.0678955457385637</v>
      </c>
      <c r="H22" s="186"/>
      <c r="I22" s="186"/>
      <c r="J22" s="186"/>
      <c r="K22" s="181"/>
      <c r="L22" s="180" t="e">
        <f>#REF!</f>
        <v>#REF!</v>
      </c>
      <c r="M22" s="181" t="e">
        <f t="shared" ref="M22:M41" si="3">L22/R22*1000</f>
        <v>#REF!</v>
      </c>
      <c r="N22" s="180" t="e">
        <f t="shared" ref="N22:N41" si="4">F22+L22</f>
        <v>#REF!</v>
      </c>
      <c r="P22" s="181" t="e">
        <f t="shared" si="2"/>
        <v>#REF!</v>
      </c>
      <c r="R22" s="180">
        <f>R21</f>
        <v>671489234</v>
      </c>
      <c r="S22" s="172" t="s">
        <v>88</v>
      </c>
    </row>
    <row r="23" spans="3:19">
      <c r="C23" s="172" t="s">
        <v>90</v>
      </c>
      <c r="E23" s="180"/>
      <c r="F23" s="180">
        <f>F22</f>
        <v>5417505</v>
      </c>
      <c r="G23" s="186">
        <f t="shared" si="0"/>
        <v>8.0678955457385637</v>
      </c>
      <c r="H23" s="186"/>
      <c r="I23" s="186"/>
      <c r="J23" s="186"/>
      <c r="K23" s="181"/>
      <c r="L23" s="180" t="e">
        <f>#REF!</f>
        <v>#REF!</v>
      </c>
      <c r="M23" s="181" t="e">
        <f t="shared" si="3"/>
        <v>#REF!</v>
      </c>
      <c r="N23" s="180" t="e">
        <f t="shared" si="4"/>
        <v>#REF!</v>
      </c>
      <c r="P23" s="181" t="e">
        <f t="shared" si="2"/>
        <v>#REF!</v>
      </c>
      <c r="R23" s="180">
        <f t="shared" ref="R23:R41" si="5">R22</f>
        <v>671489234</v>
      </c>
      <c r="S23" s="172" t="s">
        <v>88</v>
      </c>
    </row>
    <row r="24" spans="3:19">
      <c r="C24" s="172" t="s">
        <v>91</v>
      </c>
      <c r="E24" s="180"/>
      <c r="F24" s="180">
        <f t="shared" ref="F24:F41" si="6">F23</f>
        <v>5417505</v>
      </c>
      <c r="G24" s="186">
        <f t="shared" si="0"/>
        <v>8.0678955457385637</v>
      </c>
      <c r="H24" s="186"/>
      <c r="I24" s="186"/>
      <c r="J24" s="186"/>
      <c r="K24" s="181"/>
      <c r="L24" s="180" t="e">
        <f>#REF!</f>
        <v>#REF!</v>
      </c>
      <c r="M24" s="181" t="e">
        <f t="shared" si="3"/>
        <v>#REF!</v>
      </c>
      <c r="N24" s="180" t="e">
        <f t="shared" si="4"/>
        <v>#REF!</v>
      </c>
      <c r="P24" s="181" t="e">
        <f t="shared" si="2"/>
        <v>#REF!</v>
      </c>
      <c r="R24" s="180">
        <f t="shared" si="5"/>
        <v>671489234</v>
      </c>
      <c r="S24" s="172" t="s">
        <v>88</v>
      </c>
    </row>
    <row r="25" spans="3:19">
      <c r="C25" s="172" t="s">
        <v>92</v>
      </c>
      <c r="F25" s="180">
        <f t="shared" si="6"/>
        <v>5417505</v>
      </c>
      <c r="G25" s="186">
        <f t="shared" si="0"/>
        <v>8.0678955457385637</v>
      </c>
      <c r="H25" s="186"/>
      <c r="I25" s="186"/>
      <c r="J25" s="186"/>
      <c r="K25" s="181"/>
      <c r="L25" s="180" t="e">
        <f>#REF!</f>
        <v>#REF!</v>
      </c>
      <c r="M25" s="181" t="e">
        <f t="shared" si="3"/>
        <v>#REF!</v>
      </c>
      <c r="N25" s="180" t="e">
        <f t="shared" si="4"/>
        <v>#REF!</v>
      </c>
      <c r="P25" s="181" t="e">
        <f t="shared" si="2"/>
        <v>#REF!</v>
      </c>
      <c r="R25" s="180">
        <f t="shared" si="5"/>
        <v>671489234</v>
      </c>
      <c r="S25" s="172" t="s">
        <v>88</v>
      </c>
    </row>
    <row r="26" spans="3:19">
      <c r="C26" s="172" t="s">
        <v>93</v>
      </c>
      <c r="F26" s="180">
        <f t="shared" si="6"/>
        <v>5417505</v>
      </c>
      <c r="G26" s="186">
        <f t="shared" si="0"/>
        <v>8.0678955457385637</v>
      </c>
      <c r="H26" s="186"/>
      <c r="I26" s="186"/>
      <c r="J26" s="186"/>
      <c r="K26" s="181"/>
      <c r="L26" s="180" t="e">
        <f>#REF!</f>
        <v>#REF!</v>
      </c>
      <c r="M26" s="181" t="e">
        <f t="shared" si="3"/>
        <v>#REF!</v>
      </c>
      <c r="N26" s="180" t="e">
        <f t="shared" si="4"/>
        <v>#REF!</v>
      </c>
      <c r="P26" s="181" t="e">
        <f t="shared" si="2"/>
        <v>#REF!</v>
      </c>
      <c r="R26" s="180">
        <f t="shared" si="5"/>
        <v>671489234</v>
      </c>
      <c r="S26" s="172" t="s">
        <v>88</v>
      </c>
    </row>
    <row r="27" spans="3:19">
      <c r="C27" s="172" t="s">
        <v>94</v>
      </c>
      <c r="F27" s="180">
        <f t="shared" si="6"/>
        <v>5417505</v>
      </c>
      <c r="G27" s="186">
        <f t="shared" si="0"/>
        <v>8.0678955457385637</v>
      </c>
      <c r="H27" s="186"/>
      <c r="I27" s="186"/>
      <c r="J27" s="186"/>
      <c r="K27" s="181"/>
      <c r="L27" s="180" t="e">
        <f>#REF!</f>
        <v>#REF!</v>
      </c>
      <c r="M27" s="181" t="e">
        <f t="shared" si="3"/>
        <v>#REF!</v>
      </c>
      <c r="N27" s="180" t="e">
        <f t="shared" si="4"/>
        <v>#REF!</v>
      </c>
      <c r="P27" s="181" t="e">
        <f t="shared" si="2"/>
        <v>#REF!</v>
      </c>
      <c r="R27" s="180">
        <f t="shared" si="5"/>
        <v>671489234</v>
      </c>
      <c r="S27" s="172" t="s">
        <v>88</v>
      </c>
    </row>
    <row r="28" spans="3:19">
      <c r="C28" s="172" t="s">
        <v>95</v>
      </c>
      <c r="F28" s="180">
        <f t="shared" si="6"/>
        <v>5417505</v>
      </c>
      <c r="G28" s="186">
        <f t="shared" si="0"/>
        <v>8.0678955457385637</v>
      </c>
      <c r="H28" s="186"/>
      <c r="I28" s="186"/>
      <c r="J28" s="186"/>
      <c r="K28" s="181"/>
      <c r="L28" s="180" t="e">
        <f>#REF!</f>
        <v>#REF!</v>
      </c>
      <c r="M28" s="181" t="e">
        <f t="shared" si="3"/>
        <v>#REF!</v>
      </c>
      <c r="N28" s="180" t="e">
        <f t="shared" si="4"/>
        <v>#REF!</v>
      </c>
      <c r="P28" s="181" t="e">
        <f t="shared" si="2"/>
        <v>#REF!</v>
      </c>
      <c r="R28" s="180">
        <f t="shared" si="5"/>
        <v>671489234</v>
      </c>
      <c r="S28" s="172" t="s">
        <v>88</v>
      </c>
    </row>
    <row r="29" spans="3:19">
      <c r="C29" s="172" t="s">
        <v>96</v>
      </c>
      <c r="F29" s="180">
        <f t="shared" si="6"/>
        <v>5417505</v>
      </c>
      <c r="G29" s="186">
        <f t="shared" si="0"/>
        <v>8.0678955457385637</v>
      </c>
      <c r="H29" s="186"/>
      <c r="I29" s="186"/>
      <c r="J29" s="186"/>
      <c r="K29" s="181"/>
      <c r="L29" s="180" t="e">
        <f>#REF!</f>
        <v>#REF!</v>
      </c>
      <c r="M29" s="181" t="e">
        <f t="shared" si="3"/>
        <v>#REF!</v>
      </c>
      <c r="N29" s="180" t="e">
        <f t="shared" si="4"/>
        <v>#REF!</v>
      </c>
      <c r="P29" s="181" t="e">
        <f t="shared" si="2"/>
        <v>#REF!</v>
      </c>
      <c r="R29" s="180">
        <f t="shared" si="5"/>
        <v>671489234</v>
      </c>
      <c r="S29" s="172" t="s">
        <v>88</v>
      </c>
    </row>
    <row r="30" spans="3:19">
      <c r="C30" s="172" t="s">
        <v>97</v>
      </c>
      <c r="F30" s="180">
        <f t="shared" si="6"/>
        <v>5417505</v>
      </c>
      <c r="G30" s="186">
        <f t="shared" si="0"/>
        <v>8.0678955457385637</v>
      </c>
      <c r="H30" s="186"/>
      <c r="I30" s="186"/>
      <c r="J30" s="186"/>
      <c r="K30" s="181"/>
      <c r="L30" s="180" t="e">
        <f>#REF!</f>
        <v>#REF!</v>
      </c>
      <c r="M30" s="181" t="e">
        <f t="shared" si="3"/>
        <v>#REF!</v>
      </c>
      <c r="N30" s="180" t="e">
        <f t="shared" si="4"/>
        <v>#REF!</v>
      </c>
      <c r="P30" s="181" t="e">
        <f t="shared" si="2"/>
        <v>#REF!</v>
      </c>
      <c r="R30" s="180">
        <f t="shared" si="5"/>
        <v>671489234</v>
      </c>
      <c r="S30" s="172" t="s">
        <v>88</v>
      </c>
    </row>
    <row r="31" spans="3:19">
      <c r="C31" s="172" t="s">
        <v>98</v>
      </c>
      <c r="F31" s="180">
        <f t="shared" si="6"/>
        <v>5417505</v>
      </c>
      <c r="G31" s="186">
        <f t="shared" si="0"/>
        <v>8.0678955457385637</v>
      </c>
      <c r="H31" s="186"/>
      <c r="I31" s="186"/>
      <c r="J31" s="186"/>
      <c r="K31" s="181"/>
      <c r="L31" s="180" t="e">
        <f>#REF!</f>
        <v>#REF!</v>
      </c>
      <c r="M31" s="181" t="e">
        <f t="shared" si="3"/>
        <v>#REF!</v>
      </c>
      <c r="N31" s="180" t="e">
        <f t="shared" si="4"/>
        <v>#REF!</v>
      </c>
      <c r="P31" s="181" t="e">
        <f t="shared" si="2"/>
        <v>#REF!</v>
      </c>
      <c r="R31" s="180">
        <f t="shared" si="5"/>
        <v>671489234</v>
      </c>
      <c r="S31" s="172" t="s">
        <v>88</v>
      </c>
    </row>
    <row r="32" spans="3:19">
      <c r="C32" s="172" t="s">
        <v>99</v>
      </c>
      <c r="F32" s="180">
        <f t="shared" si="6"/>
        <v>5417505</v>
      </c>
      <c r="G32" s="186">
        <f t="shared" si="0"/>
        <v>8.0678955457385637</v>
      </c>
      <c r="H32" s="186"/>
      <c r="I32" s="186"/>
      <c r="J32" s="186"/>
      <c r="K32" s="181"/>
      <c r="L32" s="180" t="e">
        <f>#REF!</f>
        <v>#REF!</v>
      </c>
      <c r="M32" s="181" t="e">
        <f t="shared" si="3"/>
        <v>#REF!</v>
      </c>
      <c r="N32" s="180" t="e">
        <f t="shared" si="4"/>
        <v>#REF!</v>
      </c>
      <c r="P32" s="181" t="e">
        <f t="shared" si="2"/>
        <v>#REF!</v>
      </c>
      <c r="R32" s="180">
        <f t="shared" si="5"/>
        <v>671489234</v>
      </c>
      <c r="S32" s="172" t="s">
        <v>88</v>
      </c>
    </row>
    <row r="33" spans="3:19">
      <c r="C33" s="172" t="s">
        <v>100</v>
      </c>
      <c r="F33" s="180">
        <f t="shared" si="6"/>
        <v>5417505</v>
      </c>
      <c r="G33" s="186">
        <f t="shared" si="0"/>
        <v>8.0678955457385637</v>
      </c>
      <c r="H33" s="186"/>
      <c r="I33" s="186"/>
      <c r="J33" s="186"/>
      <c r="K33" s="181"/>
      <c r="L33" s="180" t="e">
        <f>#REF!</f>
        <v>#REF!</v>
      </c>
      <c r="M33" s="181" t="e">
        <f t="shared" si="3"/>
        <v>#REF!</v>
      </c>
      <c r="N33" s="180" t="e">
        <f t="shared" si="4"/>
        <v>#REF!</v>
      </c>
      <c r="P33" s="181" t="e">
        <f t="shared" si="2"/>
        <v>#REF!</v>
      </c>
      <c r="R33" s="180">
        <f t="shared" si="5"/>
        <v>671489234</v>
      </c>
      <c r="S33" s="172" t="s">
        <v>88</v>
      </c>
    </row>
    <row r="34" spans="3:19">
      <c r="C34" s="172" t="s">
        <v>101</v>
      </c>
      <c r="F34" s="180">
        <f t="shared" si="6"/>
        <v>5417505</v>
      </c>
      <c r="G34" s="186">
        <f t="shared" si="0"/>
        <v>8.0678955457385637</v>
      </c>
      <c r="H34" s="186"/>
      <c r="I34" s="186"/>
      <c r="J34" s="186"/>
      <c r="K34" s="181"/>
      <c r="L34" s="180" t="e">
        <f>#REF!</f>
        <v>#REF!</v>
      </c>
      <c r="M34" s="181" t="e">
        <f t="shared" si="3"/>
        <v>#REF!</v>
      </c>
      <c r="N34" s="180" t="e">
        <f t="shared" si="4"/>
        <v>#REF!</v>
      </c>
      <c r="P34" s="181" t="e">
        <f t="shared" si="2"/>
        <v>#REF!</v>
      </c>
      <c r="R34" s="180">
        <f t="shared" si="5"/>
        <v>671489234</v>
      </c>
      <c r="S34" s="172" t="s">
        <v>88</v>
      </c>
    </row>
    <row r="35" spans="3:19">
      <c r="C35" s="172" t="s">
        <v>102</v>
      </c>
      <c r="F35" s="180">
        <f t="shared" si="6"/>
        <v>5417505</v>
      </c>
      <c r="G35" s="186">
        <f t="shared" si="0"/>
        <v>8.0678955457385637</v>
      </c>
      <c r="H35" s="186"/>
      <c r="I35" s="186"/>
      <c r="J35" s="186"/>
      <c r="K35" s="181"/>
      <c r="L35" s="180" t="e">
        <f>#REF!</f>
        <v>#REF!</v>
      </c>
      <c r="M35" s="181" t="e">
        <f t="shared" si="3"/>
        <v>#REF!</v>
      </c>
      <c r="N35" s="180" t="e">
        <f t="shared" si="4"/>
        <v>#REF!</v>
      </c>
      <c r="P35" s="181" t="e">
        <f t="shared" si="2"/>
        <v>#REF!</v>
      </c>
      <c r="R35" s="180">
        <f t="shared" si="5"/>
        <v>671489234</v>
      </c>
      <c r="S35" s="172" t="s">
        <v>88</v>
      </c>
    </row>
    <row r="36" spans="3:19">
      <c r="C36" s="172" t="s">
        <v>103</v>
      </c>
      <c r="F36" s="180">
        <f t="shared" si="6"/>
        <v>5417505</v>
      </c>
      <c r="G36" s="186">
        <f t="shared" si="0"/>
        <v>8.0678955457385637</v>
      </c>
      <c r="H36" s="186"/>
      <c r="I36" s="186"/>
      <c r="J36" s="186"/>
      <c r="K36" s="181"/>
      <c r="L36" s="180" t="e">
        <f>#REF!</f>
        <v>#REF!</v>
      </c>
      <c r="M36" s="181" t="e">
        <f t="shared" si="3"/>
        <v>#REF!</v>
      </c>
      <c r="N36" s="180" t="e">
        <f t="shared" si="4"/>
        <v>#REF!</v>
      </c>
      <c r="P36" s="181" t="e">
        <f t="shared" si="2"/>
        <v>#REF!</v>
      </c>
      <c r="R36" s="180">
        <f t="shared" si="5"/>
        <v>671489234</v>
      </c>
      <c r="S36" s="172" t="s">
        <v>88</v>
      </c>
    </row>
    <row r="37" spans="3:19">
      <c r="C37" s="172" t="s">
        <v>104</v>
      </c>
      <c r="F37" s="180">
        <f t="shared" si="6"/>
        <v>5417505</v>
      </c>
      <c r="G37" s="186">
        <f t="shared" si="0"/>
        <v>8.0678955457385637</v>
      </c>
      <c r="H37" s="186"/>
      <c r="I37" s="186"/>
      <c r="J37" s="186"/>
      <c r="K37" s="181"/>
      <c r="L37" s="180" t="e">
        <f>#REF!</f>
        <v>#REF!</v>
      </c>
      <c r="M37" s="181" t="e">
        <f t="shared" si="3"/>
        <v>#REF!</v>
      </c>
      <c r="N37" s="180" t="e">
        <f t="shared" si="4"/>
        <v>#REF!</v>
      </c>
      <c r="P37" s="181" t="e">
        <f t="shared" si="2"/>
        <v>#REF!</v>
      </c>
      <c r="R37" s="180">
        <f t="shared" si="5"/>
        <v>671489234</v>
      </c>
      <c r="S37" s="172" t="s">
        <v>88</v>
      </c>
    </row>
    <row r="38" spans="3:19">
      <c r="C38" s="172" t="s">
        <v>105</v>
      </c>
      <c r="F38" s="180">
        <f t="shared" si="6"/>
        <v>5417505</v>
      </c>
      <c r="G38" s="186">
        <f t="shared" si="0"/>
        <v>8.0678955457385637</v>
      </c>
      <c r="H38" s="186"/>
      <c r="I38" s="186"/>
      <c r="J38" s="186"/>
      <c r="K38" s="181"/>
      <c r="L38" s="180" t="e">
        <f>#REF!</f>
        <v>#REF!</v>
      </c>
      <c r="M38" s="181" t="e">
        <f t="shared" si="3"/>
        <v>#REF!</v>
      </c>
      <c r="N38" s="180" t="e">
        <f t="shared" si="4"/>
        <v>#REF!</v>
      </c>
      <c r="P38" s="181" t="e">
        <f t="shared" si="2"/>
        <v>#REF!</v>
      </c>
      <c r="R38" s="180">
        <f t="shared" si="5"/>
        <v>671489234</v>
      </c>
      <c r="S38" s="172" t="s">
        <v>88</v>
      </c>
    </row>
    <row r="39" spans="3:19">
      <c r="C39" s="172" t="s">
        <v>106</v>
      </c>
      <c r="F39" s="180">
        <f t="shared" si="6"/>
        <v>5417505</v>
      </c>
      <c r="G39" s="186">
        <f t="shared" si="0"/>
        <v>8.0678955457385637</v>
      </c>
      <c r="H39" s="186"/>
      <c r="I39" s="186"/>
      <c r="J39" s="186"/>
      <c r="K39" s="181"/>
      <c r="L39" s="180" t="e">
        <f>#REF!</f>
        <v>#REF!</v>
      </c>
      <c r="M39" s="181" t="e">
        <f t="shared" si="3"/>
        <v>#REF!</v>
      </c>
      <c r="N39" s="180" t="e">
        <f t="shared" si="4"/>
        <v>#REF!</v>
      </c>
      <c r="P39" s="181" t="e">
        <f t="shared" si="2"/>
        <v>#REF!</v>
      </c>
      <c r="R39" s="180">
        <f t="shared" si="5"/>
        <v>671489234</v>
      </c>
      <c r="S39" s="172" t="s">
        <v>88</v>
      </c>
    </row>
    <row r="40" spans="3:19">
      <c r="C40" s="172" t="s">
        <v>107</v>
      </c>
      <c r="F40" s="180">
        <f t="shared" si="6"/>
        <v>5417505</v>
      </c>
      <c r="G40" s="186">
        <f t="shared" si="0"/>
        <v>8.0678955457385637</v>
      </c>
      <c r="H40" s="186"/>
      <c r="I40" s="186"/>
      <c r="J40" s="186"/>
      <c r="K40" s="181"/>
      <c r="L40" s="180" t="e">
        <f>#REF!</f>
        <v>#REF!</v>
      </c>
      <c r="M40" s="181" t="e">
        <f t="shared" si="3"/>
        <v>#REF!</v>
      </c>
      <c r="N40" s="180" t="e">
        <f t="shared" si="4"/>
        <v>#REF!</v>
      </c>
      <c r="P40" s="181" t="e">
        <f t="shared" si="2"/>
        <v>#REF!</v>
      </c>
      <c r="R40" s="180">
        <f t="shared" si="5"/>
        <v>671489234</v>
      </c>
      <c r="S40" s="172" t="s">
        <v>88</v>
      </c>
    </row>
    <row r="41" spans="3:19">
      <c r="C41" s="172" t="s">
        <v>108</v>
      </c>
      <c r="F41" s="180">
        <f t="shared" si="6"/>
        <v>5417505</v>
      </c>
      <c r="G41" s="186">
        <f t="shared" si="0"/>
        <v>8.0678955457385637</v>
      </c>
      <c r="H41" s="186"/>
      <c r="I41" s="186"/>
      <c r="J41" s="186"/>
      <c r="K41" s="181"/>
      <c r="L41" s="180" t="e">
        <f>#REF!</f>
        <v>#REF!</v>
      </c>
      <c r="M41" s="181" t="e">
        <f t="shared" si="3"/>
        <v>#REF!</v>
      </c>
      <c r="N41" s="180" t="e">
        <f t="shared" si="4"/>
        <v>#REF!</v>
      </c>
      <c r="P41" s="181" t="e">
        <f t="shared" si="2"/>
        <v>#REF!</v>
      </c>
      <c r="R41" s="180">
        <f t="shared" si="5"/>
        <v>671489234</v>
      </c>
      <c r="S41" s="172" t="s">
        <v>88</v>
      </c>
    </row>
  </sheetData>
  <printOptions horizontalCentered="1"/>
  <pageMargins left="0.7" right="0.7" top="0.75" bottom="0.75" header="0.3" footer="0.3"/>
  <pageSetup scale="72" orientation="landscape" r:id="rId1"/>
  <headerFooter>
    <oddFooter>&amp;C&amp;"Verdana,Italic"&amp;8Prepared by Robert W. Baird &amp;&amp; Co. Incorporated S:\Public Finance\school district\ashland sd\debt service\2015\ds2 ashland sd.xlsx /jaf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C1:V43"/>
  <sheetViews>
    <sheetView view="pageBreakPreview" topLeftCell="A3" zoomScaleNormal="100" zoomScaleSheetLayoutView="100" workbookViewId="0">
      <selection activeCell="T37" sqref="T37"/>
    </sheetView>
  </sheetViews>
  <sheetFormatPr defaultColWidth="8.86328125" defaultRowHeight="12.3"/>
  <cols>
    <col min="1" max="3" width="8.86328125" style="172"/>
    <col min="4" max="4" width="12.54296875" style="172" hidden="1" customWidth="1"/>
    <col min="5" max="6" width="10.54296875" style="172" hidden="1" customWidth="1"/>
    <col min="7" max="9" width="18.08984375" style="172" hidden="1" customWidth="1"/>
    <col min="10" max="10" width="9" style="172" bestFit="1" customWidth="1"/>
    <col min="11" max="15" width="10.54296875" style="172" customWidth="1"/>
    <col min="16" max="16" width="17.2265625" style="172" bestFit="1" customWidth="1"/>
    <col min="17" max="17" width="10.54296875" style="172" hidden="1" customWidth="1"/>
    <col min="18" max="18" width="8.76953125" style="172" customWidth="1"/>
    <col min="19" max="19" width="8.76953125" style="172" hidden="1" customWidth="1"/>
    <col min="20" max="20" width="13.31640625" style="172" customWidth="1"/>
    <col min="21" max="16384" width="8.86328125" style="172"/>
  </cols>
  <sheetData>
    <row r="1" spans="3:20" ht="17.7">
      <c r="C1" s="170" t="s">
        <v>70</v>
      </c>
      <c r="D1" s="170"/>
      <c r="E1" s="171"/>
      <c r="F1" s="171"/>
      <c r="G1" s="171"/>
      <c r="H1" s="171"/>
      <c r="I1" s="171"/>
      <c r="J1" s="171"/>
      <c r="K1" s="171"/>
      <c r="L1" s="171"/>
      <c r="M1" s="171"/>
      <c r="N1" s="171"/>
      <c r="O1" s="171"/>
      <c r="P1" s="171"/>
      <c r="Q1" s="171"/>
      <c r="R1" s="171"/>
      <c r="S1" s="171"/>
      <c r="T1" s="171"/>
    </row>
    <row r="2" spans="3:20" ht="14.7">
      <c r="C2" s="171" t="s">
        <v>113</v>
      </c>
      <c r="D2" s="171"/>
      <c r="E2" s="173"/>
      <c r="F2" s="173"/>
      <c r="G2" s="173"/>
      <c r="H2" s="173"/>
      <c r="I2" s="173"/>
      <c r="J2" s="173"/>
      <c r="K2" s="173"/>
      <c r="L2" s="173"/>
      <c r="M2" s="173"/>
      <c r="N2" s="173"/>
      <c r="O2" s="173"/>
      <c r="P2" s="173"/>
      <c r="Q2" s="173"/>
      <c r="R2" s="173"/>
      <c r="S2" s="173"/>
      <c r="T2" s="173"/>
    </row>
    <row r="4" spans="3:20" hidden="1"/>
    <row r="5" spans="3:20" hidden="1">
      <c r="D5" s="174" t="s">
        <v>74</v>
      </c>
      <c r="E5" s="175"/>
      <c r="F5" s="174"/>
      <c r="G5" s="175"/>
      <c r="H5" s="175"/>
      <c r="I5" s="175"/>
      <c r="J5" s="175"/>
      <c r="K5" s="175"/>
      <c r="L5" s="175"/>
      <c r="M5" s="175"/>
      <c r="N5" s="175"/>
      <c r="O5" s="175"/>
      <c r="P5" s="175"/>
      <c r="Q5" s="176"/>
      <c r="R5" s="176"/>
      <c r="S5" s="176"/>
      <c r="T5" s="177"/>
    </row>
    <row r="6" spans="3:20" hidden="1">
      <c r="D6" s="178" t="s">
        <v>75</v>
      </c>
      <c r="E6" s="179" t="s">
        <v>77</v>
      </c>
      <c r="F6" s="179" t="s">
        <v>76</v>
      </c>
      <c r="G6" s="179"/>
      <c r="H6" s="179"/>
      <c r="I6" s="179"/>
      <c r="J6" s="179"/>
      <c r="K6" s="179"/>
      <c r="L6" s="179" t="s">
        <v>78</v>
      </c>
      <c r="M6" s="179"/>
      <c r="N6" s="179" t="s">
        <v>78</v>
      </c>
      <c r="O6" s="179"/>
      <c r="P6" s="179"/>
      <c r="Q6" s="179" t="s">
        <v>62</v>
      </c>
      <c r="R6" s="178" t="s">
        <v>79</v>
      </c>
      <c r="S6" s="178" t="s">
        <v>62</v>
      </c>
      <c r="T6" s="179" t="s">
        <v>20</v>
      </c>
    </row>
    <row r="7" spans="3:20" hidden="1">
      <c r="C7" s="172" t="s">
        <v>80</v>
      </c>
      <c r="E7" s="180"/>
      <c r="F7" s="180">
        <v>5662237</v>
      </c>
      <c r="G7" s="180"/>
      <c r="H7" s="180"/>
      <c r="I7" s="180"/>
      <c r="J7" s="180"/>
      <c r="K7" s="180"/>
      <c r="L7" s="180"/>
      <c r="M7" s="180"/>
      <c r="N7" s="180"/>
      <c r="O7" s="180"/>
      <c r="P7" s="180"/>
      <c r="Q7" s="180"/>
      <c r="R7" s="181">
        <f>F7/T7*1000</f>
        <v>8.3243575439128108</v>
      </c>
      <c r="S7" s="181"/>
      <c r="T7" s="180">
        <v>680201081</v>
      </c>
    </row>
    <row r="8" spans="3:20" hidden="1">
      <c r="C8" s="172" t="s">
        <v>81</v>
      </c>
      <c r="E8" s="180"/>
      <c r="F8" s="180">
        <v>5984571</v>
      </c>
      <c r="G8" s="180"/>
      <c r="H8" s="180"/>
      <c r="I8" s="180"/>
      <c r="J8" s="180"/>
      <c r="K8" s="180"/>
      <c r="L8" s="180"/>
      <c r="M8" s="180"/>
      <c r="N8" s="180"/>
      <c r="O8" s="180"/>
      <c r="P8" s="180"/>
      <c r="Q8" s="180">
        <f>F8-F7</f>
        <v>322334</v>
      </c>
      <c r="R8" s="181">
        <f>F8/T8*1000</f>
        <v>9.0380296217049469</v>
      </c>
      <c r="S8" s="181">
        <f>R8-R7</f>
        <v>0.71367207779213615</v>
      </c>
      <c r="T8" s="180">
        <v>662154391</v>
      </c>
    </row>
    <row r="9" spans="3:20" hidden="1">
      <c r="C9" s="172" t="s">
        <v>82</v>
      </c>
      <c r="E9" s="182"/>
      <c r="F9" s="180">
        <v>5977171</v>
      </c>
      <c r="G9" s="182"/>
      <c r="H9" s="182"/>
      <c r="I9" s="182"/>
      <c r="J9" s="182"/>
      <c r="K9" s="180"/>
      <c r="L9" s="180"/>
      <c r="M9" s="180"/>
      <c r="N9" s="180"/>
      <c r="O9" s="180"/>
      <c r="P9" s="180"/>
      <c r="Q9" s="180">
        <f>F9-F8</f>
        <v>-7400</v>
      </c>
      <c r="R9" s="181">
        <f>F9/T9*1000</f>
        <v>9.0943946063545322</v>
      </c>
      <c r="S9" s="181">
        <f>R9-R8</f>
        <v>5.6364984649585281E-2</v>
      </c>
      <c r="T9" s="180">
        <v>657236821</v>
      </c>
    </row>
    <row r="10" spans="3:20" hidden="1">
      <c r="C10" s="172" t="s">
        <v>83</v>
      </c>
      <c r="E10" s="182"/>
      <c r="F10" s="183">
        <v>6079421</v>
      </c>
      <c r="G10" s="182"/>
      <c r="H10" s="182"/>
      <c r="I10" s="182"/>
      <c r="J10" s="182"/>
      <c r="K10" s="180"/>
      <c r="L10" s="180"/>
      <c r="M10" s="180"/>
      <c r="N10" s="180"/>
      <c r="O10" s="180"/>
      <c r="P10" s="180"/>
      <c r="Q10" s="180">
        <f>F10-F9</f>
        <v>102250</v>
      </c>
      <c r="R10" s="184">
        <f>F10/T10*1000</f>
        <v>9.5082321739244691</v>
      </c>
      <c r="S10" s="181">
        <f>R10-R9</f>
        <v>0.41383756756993684</v>
      </c>
      <c r="T10" s="180">
        <v>639384997</v>
      </c>
    </row>
    <row r="11" spans="3:20" hidden="1">
      <c r="C11" s="172" t="s">
        <v>84</v>
      </c>
      <c r="E11" s="182"/>
      <c r="F11" s="183"/>
      <c r="G11" s="182"/>
      <c r="H11" s="182"/>
      <c r="I11" s="182"/>
      <c r="J11" s="182"/>
      <c r="K11" s="180"/>
      <c r="L11" s="180"/>
      <c r="M11" s="180"/>
      <c r="N11" s="180"/>
      <c r="O11" s="180"/>
      <c r="P11" s="180"/>
      <c r="Q11" s="180">
        <f>F11-F10</f>
        <v>-6079421</v>
      </c>
      <c r="R11" s="184">
        <f>F11/T11*1000</f>
        <v>0</v>
      </c>
      <c r="S11" s="181">
        <f>R11-R10</f>
        <v>-9.5082321739244691</v>
      </c>
      <c r="T11" s="183">
        <v>671505395</v>
      </c>
    </row>
    <row r="12" spans="3:20">
      <c r="E12" s="185"/>
      <c r="G12" s="185"/>
      <c r="H12" s="185"/>
      <c r="I12" s="185"/>
      <c r="J12" s="185"/>
    </row>
    <row r="15" spans="3:20">
      <c r="D15" s="174" t="s">
        <v>85</v>
      </c>
      <c r="E15" s="175"/>
      <c r="F15" s="174"/>
      <c r="G15" s="175"/>
      <c r="H15" s="175"/>
      <c r="I15" s="175"/>
      <c r="J15" s="175"/>
      <c r="K15" s="175"/>
      <c r="L15" s="175"/>
      <c r="M15" s="175"/>
      <c r="N15" s="175"/>
      <c r="O15" s="175"/>
      <c r="P15" s="175"/>
      <c r="Q15" s="176"/>
      <c r="R15" s="176"/>
      <c r="S15" s="176"/>
      <c r="T15" s="177"/>
    </row>
    <row r="16" spans="3:20">
      <c r="D16" s="178" t="s">
        <v>75</v>
      </c>
      <c r="E16" s="179" t="s">
        <v>77</v>
      </c>
      <c r="F16" s="179" t="s">
        <v>112</v>
      </c>
      <c r="G16" s="178" t="s">
        <v>110</v>
      </c>
      <c r="H16" s="178"/>
      <c r="I16" s="178"/>
      <c r="J16" s="178" t="s">
        <v>117</v>
      </c>
      <c r="K16" s="178" t="s">
        <v>118</v>
      </c>
      <c r="L16" s="179" t="s">
        <v>141</v>
      </c>
      <c r="M16" s="178" t="s">
        <v>143</v>
      </c>
      <c r="N16" s="179" t="s">
        <v>142</v>
      </c>
      <c r="O16" s="178" t="s">
        <v>144</v>
      </c>
      <c r="P16" s="179" t="s">
        <v>87</v>
      </c>
      <c r="Q16" s="179" t="s">
        <v>62</v>
      </c>
      <c r="S16" s="178" t="s">
        <v>62</v>
      </c>
      <c r="T16" s="179" t="s">
        <v>20</v>
      </c>
    </row>
    <row r="17" spans="3:22" hidden="1">
      <c r="C17" s="172" t="s">
        <v>80</v>
      </c>
      <c r="E17" s="180"/>
      <c r="F17" s="180">
        <v>5662237</v>
      </c>
      <c r="G17" s="181">
        <f t="shared" ref="G17:G43" si="0">F17/T17*1000</f>
        <v>8.3243575439128108</v>
      </c>
      <c r="H17" s="181"/>
      <c r="I17" s="181"/>
      <c r="J17" s="181"/>
      <c r="K17" s="180"/>
      <c r="L17" s="180"/>
      <c r="M17" s="180"/>
      <c r="N17" s="180"/>
      <c r="O17" s="180"/>
      <c r="P17" s="188">
        <f>F17+L17</f>
        <v>5662237</v>
      </c>
      <c r="Q17" s="180"/>
      <c r="R17" s="181">
        <f>P17/T17*1000</f>
        <v>8.3243575439128108</v>
      </c>
      <c r="S17" s="181"/>
      <c r="T17" s="180">
        <v>680201081</v>
      </c>
    </row>
    <row r="18" spans="3:22" hidden="1">
      <c r="C18" s="172" t="s">
        <v>81</v>
      </c>
      <c r="E18" s="180"/>
      <c r="F18" s="180">
        <v>5984571</v>
      </c>
      <c r="G18" s="181">
        <f t="shared" si="0"/>
        <v>9.0380296217049469</v>
      </c>
      <c r="H18" s="181"/>
      <c r="I18" s="181"/>
      <c r="J18" s="181"/>
      <c r="K18" s="180"/>
      <c r="L18" s="180"/>
      <c r="M18" s="180"/>
      <c r="N18" s="180"/>
      <c r="O18" s="180"/>
      <c r="P18" s="188">
        <f>F18+L18</f>
        <v>5984571</v>
      </c>
      <c r="Q18" s="180">
        <f>F18-F17</f>
        <v>322334</v>
      </c>
      <c r="R18" s="181">
        <f t="shared" ref="R18:R42" si="1">P18/T18*1000</f>
        <v>9.0380296217049469</v>
      </c>
      <c r="S18" s="181">
        <f>G18-G17</f>
        <v>0.71367207779213615</v>
      </c>
      <c r="T18" s="180">
        <v>662154391</v>
      </c>
    </row>
    <row r="19" spans="3:22" hidden="1">
      <c r="C19" s="172" t="s">
        <v>82</v>
      </c>
      <c r="E19" s="180"/>
      <c r="F19" s="180">
        <v>5977171</v>
      </c>
      <c r="G19" s="181">
        <f t="shared" si="0"/>
        <v>9.0943946063545322</v>
      </c>
      <c r="H19" s="181"/>
      <c r="I19" s="181"/>
      <c r="J19" s="181"/>
      <c r="K19" s="180"/>
      <c r="L19" s="180"/>
      <c r="M19" s="180"/>
      <c r="N19" s="180"/>
      <c r="O19" s="180"/>
      <c r="P19" s="188">
        <f>F19+L19</f>
        <v>5977171</v>
      </c>
      <c r="Q19" s="180">
        <f>F19-F18</f>
        <v>-7400</v>
      </c>
      <c r="R19" s="181">
        <f t="shared" si="1"/>
        <v>9.0943946063545322</v>
      </c>
      <c r="S19" s="181">
        <f>G19-G18</f>
        <v>5.6364984649585281E-2</v>
      </c>
      <c r="T19" s="180">
        <v>657236821</v>
      </c>
    </row>
    <row r="20" spans="3:22" hidden="1">
      <c r="C20" s="172" t="s">
        <v>83</v>
      </c>
      <c r="D20" s="180">
        <v>20777488</v>
      </c>
      <c r="E20" s="180">
        <v>14701069</v>
      </c>
      <c r="F20" s="183">
        <v>6079421</v>
      </c>
      <c r="G20" s="186">
        <f t="shared" si="0"/>
        <v>9.5082321739244691</v>
      </c>
      <c r="H20" s="186"/>
      <c r="I20" s="186"/>
      <c r="J20" s="186"/>
      <c r="K20" s="180"/>
      <c r="L20" s="180"/>
      <c r="M20" s="180"/>
      <c r="N20" s="180"/>
      <c r="O20" s="180"/>
      <c r="P20" s="188">
        <f>F20+L20</f>
        <v>6079421</v>
      </c>
      <c r="Q20" s="182">
        <f>F20-F19</f>
        <v>102250</v>
      </c>
      <c r="R20" s="181">
        <f t="shared" si="1"/>
        <v>9.5082321739244691</v>
      </c>
      <c r="S20" s="181">
        <f>G20-G19</f>
        <v>0.41383756756993684</v>
      </c>
      <c r="T20" s="180">
        <v>639384997</v>
      </c>
    </row>
    <row r="21" spans="3:22">
      <c r="C21" s="172" t="s">
        <v>84</v>
      </c>
      <c r="D21" s="191">
        <f>20777488+28593+23222</f>
        <v>20829303</v>
      </c>
      <c r="E21" s="187">
        <v>15361798</v>
      </c>
      <c r="F21" s="183">
        <f>D21-E21-20831-29169</f>
        <v>5417505</v>
      </c>
      <c r="G21" s="186">
        <f t="shared" si="0"/>
        <v>8.0678955457385637</v>
      </c>
      <c r="H21" s="186"/>
      <c r="I21" s="186"/>
      <c r="J21" s="182">
        <v>600000</v>
      </c>
      <c r="K21" s="186">
        <f>J21/T21*1000</f>
        <v>0.89353629160344805</v>
      </c>
      <c r="L21" s="180"/>
      <c r="M21" s="181"/>
      <c r="N21" s="180"/>
      <c r="O21" s="181"/>
      <c r="P21" s="188">
        <f>J21+L21+N21</f>
        <v>600000</v>
      </c>
      <c r="Q21" s="182">
        <f>F21-F20</f>
        <v>-661916</v>
      </c>
      <c r="R21" s="181">
        <f t="shared" si="1"/>
        <v>0.89353629160344805</v>
      </c>
      <c r="S21" s="181">
        <f>G21-G20</f>
        <v>-1.4403366281859054</v>
      </c>
      <c r="T21" s="183">
        <f>'Preliminary ($14,700,000)'!AO14</f>
        <v>671489234</v>
      </c>
      <c r="V21" s="186">
        <v>0.89</v>
      </c>
    </row>
    <row r="22" spans="3:22">
      <c r="C22" s="172" t="s">
        <v>89</v>
      </c>
      <c r="F22" s="180">
        <f>F21</f>
        <v>5417505</v>
      </c>
      <c r="G22" s="186">
        <f t="shared" si="0"/>
        <v>8.0678955457385637</v>
      </c>
      <c r="H22" s="186"/>
      <c r="I22" s="186"/>
      <c r="J22" s="186"/>
      <c r="K22" s="181"/>
      <c r="L22" s="180" t="e">
        <f>#REF!</f>
        <v>#REF!</v>
      </c>
      <c r="M22" s="181" t="e">
        <f>L22/T22*1000</f>
        <v>#REF!</v>
      </c>
      <c r="N22" s="180" t="e">
        <f>#REF!-'graph data 1 &amp; 2'!L22</f>
        <v>#REF!</v>
      </c>
      <c r="O22" s="181" t="e">
        <f>N22/T22*1000</f>
        <v>#REF!</v>
      </c>
      <c r="P22" s="188" t="e">
        <f t="shared" ref="P22:P43" si="2">J22+L22+N22</f>
        <v>#REF!</v>
      </c>
      <c r="R22" s="181" t="e">
        <f t="shared" si="1"/>
        <v>#REF!</v>
      </c>
      <c r="T22" s="180">
        <f>T21</f>
        <v>671489234</v>
      </c>
      <c r="U22" s="172" t="s">
        <v>88</v>
      </c>
      <c r="V22" s="186">
        <v>0.89</v>
      </c>
    </row>
    <row r="23" spans="3:22">
      <c r="C23" s="172" t="s">
        <v>90</v>
      </c>
      <c r="E23" s="180"/>
      <c r="F23" s="180">
        <f>F22</f>
        <v>5417505</v>
      </c>
      <c r="G23" s="186">
        <f t="shared" si="0"/>
        <v>8.0678955457385637</v>
      </c>
      <c r="H23" s="186"/>
      <c r="I23" s="186"/>
      <c r="J23" s="186"/>
      <c r="K23" s="181"/>
      <c r="L23" s="180" t="e">
        <f>#REF!</f>
        <v>#REF!</v>
      </c>
      <c r="M23" s="181" t="e">
        <f t="shared" ref="M23:M43" si="3">L23/T23*1000</f>
        <v>#REF!</v>
      </c>
      <c r="N23" s="180" t="e">
        <f>#REF!-'graph data 1 &amp; 2'!L23</f>
        <v>#REF!</v>
      </c>
      <c r="O23" s="181" t="e">
        <f t="shared" ref="O23:O43" si="4">N23/T23*1000</f>
        <v>#REF!</v>
      </c>
      <c r="P23" s="188" t="e">
        <f t="shared" si="2"/>
        <v>#REF!</v>
      </c>
      <c r="R23" s="181" t="e">
        <f t="shared" si="1"/>
        <v>#REF!</v>
      </c>
      <c r="T23" s="180">
        <f t="shared" ref="T23:T43" si="5">T22</f>
        <v>671489234</v>
      </c>
      <c r="U23" s="172" t="s">
        <v>88</v>
      </c>
      <c r="V23" s="186">
        <v>0.89</v>
      </c>
    </row>
    <row r="24" spans="3:22">
      <c r="C24" s="172" t="s">
        <v>91</v>
      </c>
      <c r="E24" s="180"/>
      <c r="F24" s="180">
        <f t="shared" ref="F24:F43" si="6">F23</f>
        <v>5417505</v>
      </c>
      <c r="G24" s="186">
        <f t="shared" si="0"/>
        <v>8.0678955457385637</v>
      </c>
      <c r="H24" s="186"/>
      <c r="I24" s="186"/>
      <c r="J24" s="186"/>
      <c r="K24" s="181"/>
      <c r="L24" s="180" t="e">
        <f>#REF!</f>
        <v>#REF!</v>
      </c>
      <c r="M24" s="181" t="e">
        <f t="shared" si="3"/>
        <v>#REF!</v>
      </c>
      <c r="N24" s="180" t="e">
        <f>#REF!-'graph data 1 &amp; 2'!L24</f>
        <v>#REF!</v>
      </c>
      <c r="O24" s="181" t="e">
        <f t="shared" si="4"/>
        <v>#REF!</v>
      </c>
      <c r="P24" s="188" t="e">
        <f t="shared" si="2"/>
        <v>#REF!</v>
      </c>
      <c r="R24" s="181" t="e">
        <f t="shared" si="1"/>
        <v>#REF!</v>
      </c>
      <c r="T24" s="180">
        <f t="shared" si="5"/>
        <v>671489234</v>
      </c>
      <c r="U24" s="172" t="s">
        <v>88</v>
      </c>
      <c r="V24" s="186">
        <v>0.89</v>
      </c>
    </row>
    <row r="25" spans="3:22">
      <c r="C25" s="172" t="s">
        <v>92</v>
      </c>
      <c r="F25" s="180">
        <f t="shared" si="6"/>
        <v>5417505</v>
      </c>
      <c r="G25" s="186">
        <f t="shared" si="0"/>
        <v>8.0678955457385637</v>
      </c>
      <c r="H25" s="186"/>
      <c r="I25" s="186"/>
      <c r="J25" s="186"/>
      <c r="K25" s="181"/>
      <c r="L25" s="180" t="e">
        <f>#REF!</f>
        <v>#REF!</v>
      </c>
      <c r="M25" s="181" t="e">
        <f t="shared" si="3"/>
        <v>#REF!</v>
      </c>
      <c r="N25" s="180" t="e">
        <f>#REF!-'graph data 1 &amp; 2'!L25</f>
        <v>#REF!</v>
      </c>
      <c r="O25" s="181" t="e">
        <f t="shared" si="4"/>
        <v>#REF!</v>
      </c>
      <c r="P25" s="188" t="e">
        <f t="shared" si="2"/>
        <v>#REF!</v>
      </c>
      <c r="R25" s="181" t="e">
        <f t="shared" si="1"/>
        <v>#REF!</v>
      </c>
      <c r="T25" s="180">
        <f t="shared" si="5"/>
        <v>671489234</v>
      </c>
      <c r="U25" s="172" t="s">
        <v>88</v>
      </c>
      <c r="V25" s="186">
        <v>0.89</v>
      </c>
    </row>
    <row r="26" spans="3:22">
      <c r="C26" s="172" t="s">
        <v>93</v>
      </c>
      <c r="F26" s="180">
        <f t="shared" si="6"/>
        <v>5417505</v>
      </c>
      <c r="G26" s="186">
        <f t="shared" si="0"/>
        <v>8.0678955457385637</v>
      </c>
      <c r="H26" s="186"/>
      <c r="I26" s="186"/>
      <c r="J26" s="186"/>
      <c r="K26" s="181"/>
      <c r="L26" s="180" t="e">
        <f>#REF!</f>
        <v>#REF!</v>
      </c>
      <c r="M26" s="181" t="e">
        <f t="shared" si="3"/>
        <v>#REF!</v>
      </c>
      <c r="N26" s="180" t="e">
        <f>#REF!-'graph data 1 &amp; 2'!L26</f>
        <v>#REF!</v>
      </c>
      <c r="O26" s="181" t="e">
        <f t="shared" si="4"/>
        <v>#REF!</v>
      </c>
      <c r="P26" s="188" t="e">
        <f t="shared" si="2"/>
        <v>#REF!</v>
      </c>
      <c r="R26" s="181" t="e">
        <f t="shared" si="1"/>
        <v>#REF!</v>
      </c>
      <c r="T26" s="180">
        <f t="shared" si="5"/>
        <v>671489234</v>
      </c>
      <c r="U26" s="172" t="s">
        <v>88</v>
      </c>
      <c r="V26" s="186">
        <v>0.89</v>
      </c>
    </row>
    <row r="27" spans="3:22">
      <c r="C27" s="172" t="s">
        <v>94</v>
      </c>
      <c r="F27" s="180">
        <f t="shared" si="6"/>
        <v>5417505</v>
      </c>
      <c r="G27" s="186">
        <f t="shared" si="0"/>
        <v>8.0678955457385637</v>
      </c>
      <c r="H27" s="186"/>
      <c r="I27" s="186"/>
      <c r="J27" s="186"/>
      <c r="K27" s="181"/>
      <c r="L27" s="180" t="e">
        <f>#REF!</f>
        <v>#REF!</v>
      </c>
      <c r="M27" s="181" t="e">
        <f t="shared" si="3"/>
        <v>#REF!</v>
      </c>
      <c r="N27" s="180" t="e">
        <f>#REF!-'graph data 1 &amp; 2'!L27</f>
        <v>#REF!</v>
      </c>
      <c r="O27" s="181" t="e">
        <f t="shared" si="4"/>
        <v>#REF!</v>
      </c>
      <c r="P27" s="188" t="e">
        <f t="shared" si="2"/>
        <v>#REF!</v>
      </c>
      <c r="R27" s="181" t="e">
        <f t="shared" si="1"/>
        <v>#REF!</v>
      </c>
      <c r="T27" s="180">
        <f t="shared" si="5"/>
        <v>671489234</v>
      </c>
      <c r="U27" s="172" t="s">
        <v>88</v>
      </c>
      <c r="V27" s="186">
        <v>0.89</v>
      </c>
    </row>
    <row r="28" spans="3:22">
      <c r="C28" s="172" t="s">
        <v>95</v>
      </c>
      <c r="D28" s="258"/>
      <c r="E28" s="258"/>
      <c r="F28" s="259">
        <f t="shared" si="6"/>
        <v>5417505</v>
      </c>
      <c r="G28" s="260">
        <f t="shared" si="0"/>
        <v>8.0678955457385637</v>
      </c>
      <c r="H28" s="260"/>
      <c r="I28" s="260"/>
      <c r="J28" s="260"/>
      <c r="K28" s="261"/>
      <c r="L28" s="180" t="e">
        <f>#REF!</f>
        <v>#REF!</v>
      </c>
      <c r="M28" s="181" t="e">
        <f t="shared" si="3"/>
        <v>#REF!</v>
      </c>
      <c r="N28" s="180" t="e">
        <f>#REF!-'graph data 1 &amp; 2'!L28</f>
        <v>#REF!</v>
      </c>
      <c r="O28" s="181" t="e">
        <f t="shared" si="4"/>
        <v>#REF!</v>
      </c>
      <c r="P28" s="188" t="e">
        <f t="shared" si="2"/>
        <v>#REF!</v>
      </c>
      <c r="Q28" s="258"/>
      <c r="R28" s="261" t="e">
        <f t="shared" si="1"/>
        <v>#REF!</v>
      </c>
      <c r="S28" s="258"/>
      <c r="T28" s="259">
        <f t="shared" si="5"/>
        <v>671489234</v>
      </c>
      <c r="U28" s="258" t="s">
        <v>88</v>
      </c>
      <c r="V28" s="260">
        <v>0.89</v>
      </c>
    </row>
    <row r="29" spans="3:22">
      <c r="C29" s="172" t="s">
        <v>96</v>
      </c>
      <c r="F29" s="180">
        <f t="shared" si="6"/>
        <v>5417505</v>
      </c>
      <c r="G29" s="186">
        <f t="shared" si="0"/>
        <v>8.0678955457385637</v>
      </c>
      <c r="H29" s="186"/>
      <c r="I29" s="186"/>
      <c r="J29" s="186"/>
      <c r="K29" s="181"/>
      <c r="L29" s="180" t="e">
        <f>#REF!</f>
        <v>#REF!</v>
      </c>
      <c r="M29" s="181" t="e">
        <f t="shared" si="3"/>
        <v>#REF!</v>
      </c>
      <c r="N29" s="180" t="e">
        <f>#REF!-'graph data 1 &amp; 2'!L29</f>
        <v>#REF!</v>
      </c>
      <c r="O29" s="181" t="e">
        <f t="shared" si="4"/>
        <v>#REF!</v>
      </c>
      <c r="P29" s="188" t="e">
        <f t="shared" si="2"/>
        <v>#REF!</v>
      </c>
      <c r="R29" s="181" t="e">
        <f t="shared" si="1"/>
        <v>#REF!</v>
      </c>
      <c r="T29" s="180">
        <f t="shared" si="5"/>
        <v>671489234</v>
      </c>
      <c r="U29" s="172" t="s">
        <v>88</v>
      </c>
      <c r="V29" s="186">
        <v>0.89</v>
      </c>
    </row>
    <row r="30" spans="3:22">
      <c r="C30" s="172" t="s">
        <v>97</v>
      </c>
      <c r="F30" s="180">
        <f t="shared" si="6"/>
        <v>5417505</v>
      </c>
      <c r="G30" s="186">
        <f t="shared" si="0"/>
        <v>8.0678955457385637</v>
      </c>
      <c r="H30" s="186"/>
      <c r="I30" s="186"/>
      <c r="J30" s="186"/>
      <c r="K30" s="181"/>
      <c r="L30" s="180" t="e">
        <f>#REF!</f>
        <v>#REF!</v>
      </c>
      <c r="M30" s="181" t="e">
        <f t="shared" si="3"/>
        <v>#REF!</v>
      </c>
      <c r="N30" s="180" t="e">
        <f>#REF!-'graph data 1 &amp; 2'!L30</f>
        <v>#REF!</v>
      </c>
      <c r="O30" s="181" t="e">
        <f t="shared" si="4"/>
        <v>#REF!</v>
      </c>
      <c r="P30" s="188" t="e">
        <f t="shared" si="2"/>
        <v>#REF!</v>
      </c>
      <c r="R30" s="181" t="e">
        <f t="shared" si="1"/>
        <v>#REF!</v>
      </c>
      <c r="T30" s="180">
        <f t="shared" si="5"/>
        <v>671489234</v>
      </c>
      <c r="U30" s="172" t="s">
        <v>88</v>
      </c>
      <c r="V30" s="186">
        <v>0.89</v>
      </c>
    </row>
    <row r="31" spans="3:22">
      <c r="C31" s="172" t="s">
        <v>98</v>
      </c>
      <c r="F31" s="180">
        <f t="shared" si="6"/>
        <v>5417505</v>
      </c>
      <c r="G31" s="186">
        <f t="shared" si="0"/>
        <v>8.0678955457385637</v>
      </c>
      <c r="H31" s="186"/>
      <c r="I31" s="186"/>
      <c r="J31" s="186"/>
      <c r="K31" s="181"/>
      <c r="L31" s="180" t="e">
        <f>#REF!</f>
        <v>#REF!</v>
      </c>
      <c r="M31" s="181" t="e">
        <f t="shared" si="3"/>
        <v>#REF!</v>
      </c>
      <c r="N31" s="180" t="e">
        <f>#REF!-'graph data 1 &amp; 2'!L31</f>
        <v>#REF!</v>
      </c>
      <c r="O31" s="181" t="e">
        <f t="shared" si="4"/>
        <v>#REF!</v>
      </c>
      <c r="P31" s="188" t="e">
        <f t="shared" si="2"/>
        <v>#REF!</v>
      </c>
      <c r="R31" s="181" t="e">
        <f t="shared" si="1"/>
        <v>#REF!</v>
      </c>
      <c r="T31" s="180">
        <f t="shared" si="5"/>
        <v>671489234</v>
      </c>
      <c r="U31" s="172" t="s">
        <v>88</v>
      </c>
      <c r="V31" s="186">
        <v>0.89</v>
      </c>
    </row>
    <row r="32" spans="3:22">
      <c r="C32" s="172" t="s">
        <v>99</v>
      </c>
      <c r="F32" s="180">
        <f t="shared" si="6"/>
        <v>5417505</v>
      </c>
      <c r="G32" s="186">
        <f t="shared" si="0"/>
        <v>8.0678955457385637</v>
      </c>
      <c r="H32" s="186"/>
      <c r="I32" s="186"/>
      <c r="J32" s="186"/>
      <c r="K32" s="181"/>
      <c r="L32" s="180" t="e">
        <f>#REF!</f>
        <v>#REF!</v>
      </c>
      <c r="M32" s="181" t="e">
        <f t="shared" si="3"/>
        <v>#REF!</v>
      </c>
      <c r="N32" s="180" t="e">
        <f>#REF!-'graph data 1 &amp; 2'!L32</f>
        <v>#REF!</v>
      </c>
      <c r="O32" s="181" t="e">
        <f t="shared" si="4"/>
        <v>#REF!</v>
      </c>
      <c r="P32" s="188" t="e">
        <f t="shared" si="2"/>
        <v>#REF!</v>
      </c>
      <c r="R32" s="181" t="e">
        <f t="shared" si="1"/>
        <v>#REF!</v>
      </c>
      <c r="T32" s="180">
        <f t="shared" si="5"/>
        <v>671489234</v>
      </c>
      <c r="U32" s="172" t="s">
        <v>88</v>
      </c>
      <c r="V32" s="186">
        <v>0.89</v>
      </c>
    </row>
    <row r="33" spans="3:22">
      <c r="C33" s="172" t="s">
        <v>100</v>
      </c>
      <c r="F33" s="180">
        <f t="shared" si="6"/>
        <v>5417505</v>
      </c>
      <c r="G33" s="186">
        <f t="shared" si="0"/>
        <v>8.0678955457385637</v>
      </c>
      <c r="H33" s="186"/>
      <c r="I33" s="186"/>
      <c r="J33" s="186"/>
      <c r="K33" s="181"/>
      <c r="L33" s="180" t="e">
        <f>#REF!</f>
        <v>#REF!</v>
      </c>
      <c r="M33" s="181" t="e">
        <f t="shared" si="3"/>
        <v>#REF!</v>
      </c>
      <c r="N33" s="180" t="e">
        <f>#REF!-'graph data 1 &amp; 2'!L33</f>
        <v>#REF!</v>
      </c>
      <c r="O33" s="181" t="e">
        <f t="shared" si="4"/>
        <v>#REF!</v>
      </c>
      <c r="P33" s="188" t="e">
        <f t="shared" si="2"/>
        <v>#REF!</v>
      </c>
      <c r="R33" s="181" t="e">
        <f t="shared" si="1"/>
        <v>#REF!</v>
      </c>
      <c r="T33" s="180">
        <f t="shared" si="5"/>
        <v>671489234</v>
      </c>
      <c r="U33" s="172" t="s">
        <v>88</v>
      </c>
      <c r="V33" s="186">
        <v>0.89</v>
      </c>
    </row>
    <row r="34" spans="3:22">
      <c r="C34" s="172" t="s">
        <v>101</v>
      </c>
      <c r="F34" s="180">
        <f t="shared" si="6"/>
        <v>5417505</v>
      </c>
      <c r="G34" s="186">
        <f t="shared" si="0"/>
        <v>8.0678955457385637</v>
      </c>
      <c r="H34" s="186"/>
      <c r="I34" s="186"/>
      <c r="J34" s="186"/>
      <c r="K34" s="181"/>
      <c r="L34" s="180" t="e">
        <f>#REF!</f>
        <v>#REF!</v>
      </c>
      <c r="M34" s="181" t="e">
        <f t="shared" si="3"/>
        <v>#REF!</v>
      </c>
      <c r="N34" s="180" t="e">
        <f>#REF!-'graph data 1 &amp; 2'!L34</f>
        <v>#REF!</v>
      </c>
      <c r="O34" s="181" t="e">
        <f t="shared" si="4"/>
        <v>#REF!</v>
      </c>
      <c r="P34" s="188" t="e">
        <f t="shared" si="2"/>
        <v>#REF!</v>
      </c>
      <c r="R34" s="181" t="e">
        <f t="shared" si="1"/>
        <v>#REF!</v>
      </c>
      <c r="T34" s="180">
        <f t="shared" si="5"/>
        <v>671489234</v>
      </c>
      <c r="U34" s="172" t="s">
        <v>88</v>
      </c>
      <c r="V34" s="186">
        <v>0.89</v>
      </c>
    </row>
    <row r="35" spans="3:22">
      <c r="C35" s="172" t="s">
        <v>102</v>
      </c>
      <c r="F35" s="180">
        <f t="shared" si="6"/>
        <v>5417505</v>
      </c>
      <c r="G35" s="186">
        <f t="shared" si="0"/>
        <v>8.0678955457385637</v>
      </c>
      <c r="H35" s="186"/>
      <c r="I35" s="186"/>
      <c r="J35" s="186"/>
      <c r="K35" s="181"/>
      <c r="L35" s="180" t="e">
        <f>#REF!</f>
        <v>#REF!</v>
      </c>
      <c r="M35" s="181" t="e">
        <f t="shared" si="3"/>
        <v>#REF!</v>
      </c>
      <c r="N35" s="180" t="e">
        <f>#REF!-'graph data 1 &amp; 2'!L35</f>
        <v>#REF!</v>
      </c>
      <c r="O35" s="181" t="e">
        <f t="shared" si="4"/>
        <v>#REF!</v>
      </c>
      <c r="P35" s="188" t="e">
        <f t="shared" si="2"/>
        <v>#REF!</v>
      </c>
      <c r="R35" s="181" t="e">
        <f t="shared" si="1"/>
        <v>#REF!</v>
      </c>
      <c r="T35" s="180">
        <f t="shared" si="5"/>
        <v>671489234</v>
      </c>
      <c r="U35" s="172" t="s">
        <v>88</v>
      </c>
      <c r="V35" s="186">
        <v>0.89</v>
      </c>
    </row>
    <row r="36" spans="3:22">
      <c r="C36" s="172" t="s">
        <v>103</v>
      </c>
      <c r="F36" s="180">
        <f t="shared" si="6"/>
        <v>5417505</v>
      </c>
      <c r="G36" s="186">
        <f t="shared" si="0"/>
        <v>8.0678955457385637</v>
      </c>
      <c r="H36" s="186"/>
      <c r="I36" s="186"/>
      <c r="J36" s="186"/>
      <c r="K36" s="181"/>
      <c r="L36" s="180" t="e">
        <f>#REF!</f>
        <v>#REF!</v>
      </c>
      <c r="M36" s="181" t="e">
        <f t="shared" si="3"/>
        <v>#REF!</v>
      </c>
      <c r="N36" s="180" t="e">
        <f>#REF!-'graph data 1 &amp; 2'!L36</f>
        <v>#REF!</v>
      </c>
      <c r="O36" s="181" t="e">
        <f t="shared" si="4"/>
        <v>#REF!</v>
      </c>
      <c r="P36" s="188" t="e">
        <f t="shared" si="2"/>
        <v>#REF!</v>
      </c>
      <c r="R36" s="181" t="e">
        <f t="shared" si="1"/>
        <v>#REF!</v>
      </c>
      <c r="T36" s="180">
        <f t="shared" si="5"/>
        <v>671489234</v>
      </c>
      <c r="U36" s="172" t="s">
        <v>88</v>
      </c>
      <c r="V36" s="186">
        <v>0.89</v>
      </c>
    </row>
    <row r="37" spans="3:22">
      <c r="C37" s="172" t="s">
        <v>104</v>
      </c>
      <c r="F37" s="180">
        <f t="shared" si="6"/>
        <v>5417505</v>
      </c>
      <c r="G37" s="186">
        <f t="shared" si="0"/>
        <v>8.0678955457385637</v>
      </c>
      <c r="H37" s="186"/>
      <c r="I37" s="186"/>
      <c r="J37" s="186"/>
      <c r="K37" s="181"/>
      <c r="L37" s="180" t="e">
        <f>#REF!</f>
        <v>#REF!</v>
      </c>
      <c r="M37" s="181" t="e">
        <f t="shared" si="3"/>
        <v>#REF!</v>
      </c>
      <c r="N37" s="180" t="e">
        <f>#REF!-'graph data 1 &amp; 2'!L37</f>
        <v>#REF!</v>
      </c>
      <c r="O37" s="181" t="e">
        <f t="shared" si="4"/>
        <v>#REF!</v>
      </c>
      <c r="P37" s="188" t="e">
        <f t="shared" si="2"/>
        <v>#REF!</v>
      </c>
      <c r="R37" s="181" t="e">
        <f t="shared" si="1"/>
        <v>#REF!</v>
      </c>
      <c r="T37" s="180">
        <f t="shared" si="5"/>
        <v>671489234</v>
      </c>
      <c r="U37" s="172" t="s">
        <v>88</v>
      </c>
      <c r="V37" s="186">
        <v>0.89</v>
      </c>
    </row>
    <row r="38" spans="3:22">
      <c r="C38" s="172" t="s">
        <v>105</v>
      </c>
      <c r="F38" s="180">
        <f t="shared" si="6"/>
        <v>5417505</v>
      </c>
      <c r="G38" s="186">
        <f t="shared" si="0"/>
        <v>8.0678955457385637</v>
      </c>
      <c r="H38" s="186"/>
      <c r="I38" s="186"/>
      <c r="J38" s="186"/>
      <c r="K38" s="181"/>
      <c r="L38" s="180" t="e">
        <f>#REF!</f>
        <v>#REF!</v>
      </c>
      <c r="M38" s="181" t="e">
        <f t="shared" si="3"/>
        <v>#REF!</v>
      </c>
      <c r="N38" s="180" t="e">
        <f>#REF!-'graph data 1 &amp; 2'!L38</f>
        <v>#REF!</v>
      </c>
      <c r="O38" s="181" t="e">
        <f t="shared" si="4"/>
        <v>#REF!</v>
      </c>
      <c r="P38" s="188" t="e">
        <f t="shared" si="2"/>
        <v>#REF!</v>
      </c>
      <c r="R38" s="181" t="e">
        <f t="shared" si="1"/>
        <v>#REF!</v>
      </c>
      <c r="T38" s="180">
        <f t="shared" si="5"/>
        <v>671489234</v>
      </c>
      <c r="U38" s="172" t="s">
        <v>88</v>
      </c>
      <c r="V38" s="186">
        <v>0.89</v>
      </c>
    </row>
    <row r="39" spans="3:22">
      <c r="C39" s="172" t="s">
        <v>106</v>
      </c>
      <c r="F39" s="180">
        <f t="shared" si="6"/>
        <v>5417505</v>
      </c>
      <c r="G39" s="186">
        <f t="shared" si="0"/>
        <v>8.0678955457385637</v>
      </c>
      <c r="H39" s="186"/>
      <c r="I39" s="186"/>
      <c r="J39" s="186"/>
      <c r="K39" s="181"/>
      <c r="L39" s="180" t="e">
        <f>#REF!</f>
        <v>#REF!</v>
      </c>
      <c r="M39" s="181" t="e">
        <f t="shared" si="3"/>
        <v>#REF!</v>
      </c>
      <c r="N39" s="180" t="e">
        <f>#REF!-'graph data 1 &amp; 2'!L39</f>
        <v>#REF!</v>
      </c>
      <c r="O39" s="181" t="e">
        <f t="shared" si="4"/>
        <v>#REF!</v>
      </c>
      <c r="P39" s="188" t="e">
        <f t="shared" si="2"/>
        <v>#REF!</v>
      </c>
      <c r="R39" s="181" t="e">
        <f t="shared" si="1"/>
        <v>#REF!</v>
      </c>
      <c r="T39" s="180">
        <f t="shared" si="5"/>
        <v>671489234</v>
      </c>
      <c r="U39" s="172" t="s">
        <v>88</v>
      </c>
      <c r="V39" s="186">
        <v>0.89</v>
      </c>
    </row>
    <row r="40" spans="3:22">
      <c r="C40" s="172" t="s">
        <v>107</v>
      </c>
      <c r="F40" s="180">
        <f t="shared" si="6"/>
        <v>5417505</v>
      </c>
      <c r="G40" s="186">
        <f t="shared" si="0"/>
        <v>8.0678955457385637</v>
      </c>
      <c r="H40" s="186"/>
      <c r="I40" s="186"/>
      <c r="J40" s="186"/>
      <c r="K40" s="181"/>
      <c r="L40" s="180" t="e">
        <f>#REF!</f>
        <v>#REF!</v>
      </c>
      <c r="M40" s="181" t="e">
        <f t="shared" si="3"/>
        <v>#REF!</v>
      </c>
      <c r="N40" s="180" t="e">
        <f>#REF!-'graph data 1 &amp; 2'!L40</f>
        <v>#REF!</v>
      </c>
      <c r="O40" s="181" t="e">
        <f t="shared" si="4"/>
        <v>#REF!</v>
      </c>
      <c r="P40" s="188" t="e">
        <f t="shared" si="2"/>
        <v>#REF!</v>
      </c>
      <c r="R40" s="181" t="e">
        <f t="shared" si="1"/>
        <v>#REF!</v>
      </c>
      <c r="T40" s="180">
        <f t="shared" si="5"/>
        <v>671489234</v>
      </c>
      <c r="U40" s="172" t="s">
        <v>88</v>
      </c>
      <c r="V40" s="186">
        <v>0.89</v>
      </c>
    </row>
    <row r="41" spans="3:22">
      <c r="C41" s="172" t="s">
        <v>108</v>
      </c>
      <c r="F41" s="180">
        <f t="shared" si="6"/>
        <v>5417505</v>
      </c>
      <c r="G41" s="186">
        <f t="shared" si="0"/>
        <v>8.0678955457385637</v>
      </c>
      <c r="H41" s="186"/>
      <c r="I41" s="186"/>
      <c r="J41" s="186"/>
      <c r="K41" s="181"/>
      <c r="L41" s="180" t="e">
        <f>#REF!</f>
        <v>#REF!</v>
      </c>
      <c r="M41" s="181" t="e">
        <f t="shared" si="3"/>
        <v>#REF!</v>
      </c>
      <c r="N41" s="180" t="e">
        <f>#REF!-'graph data 1 &amp; 2'!L41</f>
        <v>#REF!</v>
      </c>
      <c r="O41" s="181" t="e">
        <f t="shared" si="4"/>
        <v>#REF!</v>
      </c>
      <c r="P41" s="188" t="e">
        <f t="shared" si="2"/>
        <v>#REF!</v>
      </c>
      <c r="R41" s="181" t="e">
        <f t="shared" si="1"/>
        <v>#REF!</v>
      </c>
      <c r="T41" s="180">
        <f t="shared" si="5"/>
        <v>671489234</v>
      </c>
      <c r="U41" s="172" t="s">
        <v>88</v>
      </c>
      <c r="V41" s="186">
        <v>0.89</v>
      </c>
    </row>
    <row r="42" spans="3:22">
      <c r="C42" s="262" t="s">
        <v>139</v>
      </c>
      <c r="F42" s="180">
        <f t="shared" si="6"/>
        <v>5417505</v>
      </c>
      <c r="G42" s="186">
        <f t="shared" si="0"/>
        <v>8.0678955457385637</v>
      </c>
      <c r="H42" s="186"/>
      <c r="I42" s="186"/>
      <c r="J42" s="186"/>
      <c r="K42" s="181"/>
      <c r="L42" s="180" t="e">
        <f>#REF!</f>
        <v>#REF!</v>
      </c>
      <c r="M42" s="181" t="e">
        <f t="shared" si="3"/>
        <v>#REF!</v>
      </c>
      <c r="N42" s="180" t="e">
        <f>#REF!-'graph data 1 &amp; 2'!L42</f>
        <v>#REF!</v>
      </c>
      <c r="O42" s="181" t="e">
        <f t="shared" si="4"/>
        <v>#REF!</v>
      </c>
      <c r="P42" s="188" t="e">
        <f t="shared" si="2"/>
        <v>#REF!</v>
      </c>
      <c r="R42" s="181" t="e">
        <f t="shared" si="1"/>
        <v>#REF!</v>
      </c>
      <c r="T42" s="180">
        <f t="shared" si="5"/>
        <v>671489234</v>
      </c>
      <c r="U42" s="172" t="s">
        <v>88</v>
      </c>
      <c r="V42" s="186">
        <v>0.89</v>
      </c>
    </row>
    <row r="43" spans="3:22">
      <c r="C43" s="263" t="s">
        <v>140</v>
      </c>
      <c r="F43" s="180">
        <f t="shared" si="6"/>
        <v>5417505</v>
      </c>
      <c r="G43" s="186">
        <f t="shared" si="0"/>
        <v>8.0678955457385637</v>
      </c>
      <c r="H43" s="186"/>
      <c r="I43" s="186"/>
      <c r="J43" s="186"/>
      <c r="K43" s="181"/>
      <c r="L43" s="180" t="e">
        <f>#REF!</f>
        <v>#REF!</v>
      </c>
      <c r="M43" s="181" t="e">
        <f t="shared" si="3"/>
        <v>#REF!</v>
      </c>
      <c r="N43" s="180" t="e">
        <f>#REF!-'graph data 1 &amp; 2'!L43</f>
        <v>#REF!</v>
      </c>
      <c r="O43" s="181" t="e">
        <f t="shared" si="4"/>
        <v>#REF!</v>
      </c>
      <c r="P43" s="188" t="e">
        <f t="shared" si="2"/>
        <v>#REF!</v>
      </c>
      <c r="R43" s="181" t="e">
        <f t="shared" ref="R43" si="7">P43/T43*1000</f>
        <v>#REF!</v>
      </c>
      <c r="T43" s="180">
        <f t="shared" si="5"/>
        <v>671489234</v>
      </c>
    </row>
  </sheetData>
  <printOptions horizontalCentered="1"/>
  <pageMargins left="0.7" right="0.7" top="0.75" bottom="0.75" header="0.3" footer="0.3"/>
  <pageSetup scale="72" orientation="landscape" r:id="rId1"/>
  <headerFooter>
    <oddFooter>&amp;C&amp;"Verdana,Italic"&amp;8Prepared by Robert W. Baird &amp;&amp; Co. Incorporated S:\Public Finance\school district\ashland sd\debt service\2015\ds2 ashland sd.xlsx /jaf &amp;d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3"/>
  <sheetViews>
    <sheetView showGridLines="0" tabSelected="1" topLeftCell="A4" zoomScaleNormal="100" zoomScaleSheetLayoutView="100" workbookViewId="0">
      <selection activeCell="F10" sqref="F10"/>
    </sheetView>
  </sheetViews>
  <sheetFormatPr defaultColWidth="8.86328125" defaultRowHeight="14.7"/>
  <cols>
    <col min="1" max="1" width="3.31640625" style="229" customWidth="1"/>
    <col min="2" max="2" width="70.2265625" style="229" customWidth="1"/>
    <col min="3" max="3" width="2.31640625" style="229" customWidth="1"/>
    <col min="4" max="4" width="14.6796875" style="229" customWidth="1"/>
    <col min="5" max="5" width="4.6796875" style="229" customWidth="1"/>
    <col min="6" max="16384" width="8.86328125" style="229"/>
  </cols>
  <sheetData>
    <row r="1" spans="2:4" ht="15" thickBot="1"/>
    <row r="2" spans="2:4" ht="25.2">
      <c r="B2" s="230" t="s">
        <v>145</v>
      </c>
      <c r="C2" s="231"/>
      <c r="D2" s="232"/>
    </row>
    <row r="3" spans="2:4" ht="6" customHeight="1">
      <c r="B3" s="233"/>
      <c r="C3" s="234"/>
      <c r="D3" s="235"/>
    </row>
    <row r="4" spans="2:4" ht="15">
      <c r="B4" s="236" t="s">
        <v>151</v>
      </c>
      <c r="C4" s="234"/>
      <c r="D4" s="235"/>
    </row>
    <row r="5" spans="2:4" ht="15">
      <c r="B5" s="237"/>
      <c r="C5" s="238"/>
      <c r="D5" s="239"/>
    </row>
    <row r="6" spans="2:4" ht="15">
      <c r="B6" s="237"/>
      <c r="C6" s="238"/>
      <c r="D6" s="240" t="s">
        <v>130</v>
      </c>
    </row>
    <row r="7" spans="2:4" ht="17.7">
      <c r="B7" s="241" t="s">
        <v>131</v>
      </c>
      <c r="C7" s="242"/>
      <c r="D7" s="276">
        <v>100000</v>
      </c>
    </row>
    <row r="8" spans="2:4" ht="27.75" customHeight="1">
      <c r="B8" s="243" t="s">
        <v>132</v>
      </c>
      <c r="C8" s="238"/>
      <c r="D8" s="277"/>
    </row>
    <row r="9" spans="2:4" ht="17.399999999999999">
      <c r="B9" s="244"/>
      <c r="C9" s="238"/>
      <c r="D9" s="277"/>
    </row>
    <row r="10" spans="2:4" ht="53.25" customHeight="1">
      <c r="B10" s="285" t="s">
        <v>146</v>
      </c>
      <c r="C10" s="286"/>
      <c r="D10" s="287"/>
    </row>
    <row r="11" spans="2:4" ht="17.7">
      <c r="B11" s="288"/>
      <c r="C11" s="286"/>
      <c r="D11" s="287"/>
    </row>
    <row r="12" spans="2:4" ht="17.7">
      <c r="B12" s="289" t="s">
        <v>133</v>
      </c>
      <c r="C12" s="290"/>
      <c r="D12" s="291">
        <v>0.74</v>
      </c>
    </row>
    <row r="13" spans="2:4" ht="17.7">
      <c r="B13" s="289"/>
      <c r="C13" s="290"/>
      <c r="D13" s="291"/>
    </row>
    <row r="14" spans="2:4" ht="17.7">
      <c r="B14" s="289" t="s">
        <v>134</v>
      </c>
      <c r="C14" s="290"/>
      <c r="D14" s="291">
        <f>D12*D7/1000</f>
        <v>74</v>
      </c>
    </row>
    <row r="15" spans="2:4" ht="17.7">
      <c r="B15" s="289" t="s">
        <v>135</v>
      </c>
      <c r="C15" s="290"/>
      <c r="D15" s="291">
        <f>D14/12</f>
        <v>6.166666666666667</v>
      </c>
    </row>
    <row r="16" spans="2:4" ht="15">
      <c r="B16" s="245"/>
      <c r="C16" s="246"/>
      <c r="D16" s="278"/>
    </row>
    <row r="17" spans="1:37" s="248" customFormat="1" ht="53.25" customHeight="1">
      <c r="A17" s="247"/>
      <c r="B17" s="270" t="s">
        <v>147</v>
      </c>
      <c r="C17" s="271"/>
      <c r="D17" s="279"/>
      <c r="E17" s="247"/>
      <c r="F17" s="247"/>
      <c r="G17" s="247"/>
      <c r="H17" s="247"/>
      <c r="I17" s="247"/>
      <c r="J17" s="247"/>
      <c r="K17" s="247"/>
      <c r="L17" s="247"/>
      <c r="M17" s="247"/>
      <c r="N17" s="247"/>
      <c r="O17" s="247"/>
      <c r="P17" s="247"/>
      <c r="Q17" s="247"/>
      <c r="R17" s="247"/>
      <c r="S17" s="247"/>
      <c r="T17" s="247"/>
      <c r="U17" s="247"/>
      <c r="V17" s="247"/>
      <c r="W17" s="247"/>
      <c r="X17" s="247"/>
      <c r="Y17" s="247"/>
      <c r="Z17" s="247"/>
      <c r="AA17" s="247"/>
      <c r="AB17" s="247"/>
      <c r="AC17" s="247"/>
      <c r="AD17" s="247"/>
      <c r="AE17" s="247"/>
      <c r="AF17" s="247"/>
      <c r="AG17" s="247"/>
      <c r="AH17" s="247"/>
      <c r="AI17" s="247"/>
      <c r="AJ17" s="247"/>
      <c r="AK17" s="247"/>
    </row>
    <row r="18" spans="1:37" s="248" customFormat="1">
      <c r="A18" s="247"/>
      <c r="B18" s="272"/>
      <c r="C18" s="273"/>
      <c r="D18" s="280"/>
      <c r="E18" s="247"/>
      <c r="F18" s="247"/>
      <c r="G18" s="247"/>
      <c r="H18" s="247"/>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row>
    <row r="19" spans="1:37" s="248" customFormat="1" ht="17.7">
      <c r="A19" s="247"/>
      <c r="B19" s="274" t="s">
        <v>149</v>
      </c>
      <c r="C19" s="275"/>
      <c r="D19" s="281">
        <v>0.08</v>
      </c>
      <c r="E19" s="247"/>
      <c r="F19" s="247"/>
      <c r="G19" s="247"/>
      <c r="H19" s="247"/>
      <c r="I19" s="247"/>
      <c r="J19" s="247"/>
      <c r="K19" s="247"/>
      <c r="L19" s="247"/>
      <c r="M19" s="247"/>
      <c r="N19" s="247"/>
      <c r="O19" s="247"/>
      <c r="P19" s="247"/>
      <c r="Q19" s="247"/>
      <c r="R19" s="247"/>
      <c r="S19" s="247"/>
      <c r="T19" s="247"/>
      <c r="U19" s="247"/>
      <c r="V19" s="247"/>
      <c r="W19" s="247"/>
      <c r="X19" s="247"/>
      <c r="Y19" s="247"/>
      <c r="Z19" s="247"/>
      <c r="AA19" s="247"/>
      <c r="AB19" s="247"/>
      <c r="AC19" s="247"/>
      <c r="AD19" s="247"/>
      <c r="AE19" s="247"/>
      <c r="AF19" s="247"/>
      <c r="AG19" s="247"/>
      <c r="AH19" s="247"/>
      <c r="AI19" s="247"/>
      <c r="AJ19" s="247"/>
      <c r="AK19" s="247"/>
    </row>
    <row r="20" spans="1:37" s="248" customFormat="1" ht="17.7">
      <c r="A20" s="247"/>
      <c r="B20" s="272"/>
      <c r="C20" s="271"/>
      <c r="D20" s="279"/>
      <c r="E20" s="247"/>
      <c r="F20" s="247"/>
      <c r="G20" s="247"/>
      <c r="H20" s="247"/>
      <c r="I20" s="247"/>
      <c r="J20" s="247"/>
      <c r="K20" s="247"/>
      <c r="L20" s="247"/>
      <c r="M20" s="247"/>
      <c r="N20" s="247"/>
      <c r="O20" s="247"/>
      <c r="P20" s="247"/>
      <c r="Q20" s="247"/>
      <c r="R20" s="247"/>
      <c r="S20" s="247"/>
      <c r="T20" s="247"/>
      <c r="U20" s="247"/>
      <c r="V20" s="247"/>
      <c r="W20" s="247"/>
      <c r="X20" s="247"/>
      <c r="Y20" s="247"/>
      <c r="Z20" s="247"/>
      <c r="AA20" s="247"/>
      <c r="AB20" s="247"/>
      <c r="AC20" s="247"/>
      <c r="AD20" s="247"/>
      <c r="AE20" s="247"/>
      <c r="AF20" s="247"/>
      <c r="AG20" s="247"/>
      <c r="AH20" s="247"/>
      <c r="AI20" s="247"/>
      <c r="AJ20" s="247"/>
      <c r="AK20" s="247"/>
    </row>
    <row r="21" spans="1:37" s="248" customFormat="1" ht="17.7">
      <c r="A21" s="247"/>
      <c r="B21" s="274" t="s">
        <v>136</v>
      </c>
      <c r="C21" s="275"/>
      <c r="D21" s="281">
        <f>D19*D7/1000</f>
        <v>8</v>
      </c>
      <c r="E21" s="247"/>
      <c r="F21" s="247"/>
      <c r="G21" s="247"/>
      <c r="H21" s="247"/>
      <c r="I21" s="247"/>
      <c r="J21" s="247"/>
      <c r="K21" s="247"/>
      <c r="L21" s="247"/>
      <c r="M21" s="247"/>
      <c r="N21" s="247"/>
      <c r="O21" s="247"/>
      <c r="P21" s="247"/>
      <c r="Q21" s="247"/>
      <c r="R21" s="247"/>
      <c r="S21" s="247"/>
      <c r="T21" s="247"/>
      <c r="U21" s="247"/>
      <c r="V21" s="247"/>
      <c r="W21" s="247"/>
      <c r="X21" s="247"/>
      <c r="Y21" s="247"/>
      <c r="Z21" s="247"/>
      <c r="AA21" s="247"/>
      <c r="AB21" s="247"/>
      <c r="AC21" s="247"/>
      <c r="AD21" s="247"/>
      <c r="AE21" s="247"/>
      <c r="AF21" s="247"/>
      <c r="AG21" s="247"/>
      <c r="AH21" s="247"/>
      <c r="AI21" s="247"/>
      <c r="AJ21" s="247"/>
      <c r="AK21" s="247"/>
    </row>
    <row r="22" spans="1:37" s="248" customFormat="1" ht="17.7">
      <c r="A22" s="247"/>
      <c r="B22" s="274" t="s">
        <v>137</v>
      </c>
      <c r="C22" s="275"/>
      <c r="D22" s="281">
        <f>D21/12</f>
        <v>0.66666666666666663</v>
      </c>
      <c r="E22" s="247"/>
      <c r="F22" s="247"/>
      <c r="G22" s="247"/>
      <c r="H22" s="247"/>
      <c r="I22" s="247"/>
      <c r="J22" s="247"/>
      <c r="K22" s="247"/>
      <c r="L22" s="247"/>
      <c r="M22" s="247"/>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7"/>
    </row>
    <row r="23" spans="1:37" ht="15">
      <c r="B23" s="245"/>
      <c r="C23" s="246"/>
      <c r="D23" s="278"/>
    </row>
    <row r="24" spans="1:37" s="248" customFormat="1" ht="53.25" customHeight="1">
      <c r="A24" s="247"/>
      <c r="B24" s="264" t="s">
        <v>148</v>
      </c>
      <c r="C24" s="265"/>
      <c r="D24" s="282"/>
      <c r="E24" s="247"/>
      <c r="F24" s="247"/>
      <c r="G24" s="247"/>
      <c r="H24" s="247"/>
      <c r="I24" s="247"/>
      <c r="J24" s="247"/>
      <c r="K24" s="247"/>
      <c r="L24" s="247"/>
      <c r="M24" s="247"/>
      <c r="N24" s="247"/>
      <c r="O24" s="247"/>
      <c r="P24" s="247"/>
      <c r="Q24" s="247"/>
      <c r="R24" s="247"/>
      <c r="S24" s="247"/>
      <c r="T24" s="247"/>
      <c r="U24" s="247"/>
      <c r="V24" s="247"/>
      <c r="W24" s="247"/>
      <c r="X24" s="247"/>
      <c r="Y24" s="247"/>
      <c r="Z24" s="247"/>
      <c r="AA24" s="247"/>
      <c r="AB24" s="247"/>
      <c r="AC24" s="247"/>
      <c r="AD24" s="247"/>
      <c r="AE24" s="247"/>
      <c r="AF24" s="247"/>
      <c r="AG24" s="247"/>
      <c r="AH24" s="247"/>
      <c r="AI24" s="247"/>
      <c r="AJ24" s="247"/>
      <c r="AK24" s="247"/>
    </row>
    <row r="25" spans="1:37" s="248" customFormat="1">
      <c r="A25" s="247"/>
      <c r="B25" s="266"/>
      <c r="C25" s="267"/>
      <c r="D25" s="283"/>
      <c r="E25" s="247"/>
      <c r="F25" s="247"/>
      <c r="G25" s="247"/>
      <c r="H25" s="247"/>
      <c r="I25" s="247"/>
      <c r="J25" s="247"/>
      <c r="K25" s="247"/>
      <c r="L25" s="247"/>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row>
    <row r="26" spans="1:37" s="248" customFormat="1" ht="17.7">
      <c r="A26" s="247"/>
      <c r="B26" s="268" t="s">
        <v>150</v>
      </c>
      <c r="C26" s="269"/>
      <c r="D26" s="284">
        <v>0.08</v>
      </c>
      <c r="E26" s="247"/>
      <c r="F26" s="247"/>
      <c r="G26" s="247"/>
      <c r="H26" s="247"/>
      <c r="I26" s="247"/>
      <c r="J26" s="247"/>
      <c r="K26" s="247"/>
      <c r="L26" s="247"/>
      <c r="M26" s="247"/>
      <c r="N26" s="247"/>
      <c r="O26" s="247"/>
      <c r="P26" s="247"/>
      <c r="Q26" s="247"/>
      <c r="R26" s="247"/>
      <c r="S26" s="247"/>
      <c r="T26" s="247"/>
      <c r="U26" s="247"/>
      <c r="V26" s="247"/>
      <c r="W26" s="247"/>
      <c r="X26" s="247"/>
      <c r="Y26" s="247"/>
      <c r="Z26" s="247"/>
      <c r="AA26" s="247"/>
      <c r="AB26" s="247"/>
      <c r="AC26" s="247"/>
      <c r="AD26" s="247"/>
      <c r="AE26" s="247"/>
      <c r="AF26" s="247"/>
      <c r="AG26" s="247"/>
      <c r="AH26" s="247"/>
      <c r="AI26" s="247"/>
      <c r="AJ26" s="247"/>
      <c r="AK26" s="247"/>
    </row>
    <row r="27" spans="1:37" s="248" customFormat="1" ht="17.7">
      <c r="A27" s="247"/>
      <c r="B27" s="266"/>
      <c r="C27" s="265"/>
      <c r="D27" s="282"/>
      <c r="E27" s="247"/>
      <c r="F27" s="247"/>
      <c r="G27" s="247"/>
      <c r="H27" s="247"/>
      <c r="I27" s="247"/>
      <c r="J27" s="247"/>
      <c r="K27" s="247"/>
      <c r="L27" s="247"/>
      <c r="M27" s="247"/>
      <c r="N27" s="247"/>
      <c r="O27" s="247"/>
      <c r="P27" s="247"/>
      <c r="Q27" s="247"/>
      <c r="R27" s="247"/>
      <c r="S27" s="247"/>
      <c r="T27" s="247"/>
      <c r="U27" s="247"/>
      <c r="V27" s="247"/>
      <c r="W27" s="247"/>
      <c r="X27" s="247"/>
      <c r="Y27" s="247"/>
      <c r="Z27" s="247"/>
      <c r="AA27" s="247"/>
      <c r="AB27" s="247"/>
      <c r="AC27" s="247"/>
      <c r="AD27" s="247"/>
      <c r="AE27" s="247"/>
      <c r="AF27" s="247"/>
      <c r="AG27" s="247"/>
      <c r="AH27" s="247"/>
      <c r="AI27" s="247"/>
      <c r="AJ27" s="247"/>
      <c r="AK27" s="247"/>
    </row>
    <row r="28" spans="1:37" s="248" customFormat="1" ht="17.7">
      <c r="A28" s="247"/>
      <c r="B28" s="268" t="s">
        <v>136</v>
      </c>
      <c r="C28" s="269"/>
      <c r="D28" s="284">
        <f>D26*D7/1000</f>
        <v>8</v>
      </c>
      <c r="E28" s="247"/>
      <c r="F28" s="247"/>
      <c r="G28" s="247"/>
      <c r="H28" s="247"/>
      <c r="I28" s="247"/>
      <c r="J28" s="247"/>
      <c r="K28" s="247"/>
      <c r="L28" s="247"/>
      <c r="M28" s="247"/>
      <c r="N28" s="247"/>
      <c r="O28" s="247"/>
      <c r="P28" s="247"/>
      <c r="Q28" s="247"/>
      <c r="R28" s="247"/>
      <c r="S28" s="247"/>
      <c r="T28" s="247"/>
      <c r="U28" s="247"/>
      <c r="V28" s="247"/>
      <c r="W28" s="247"/>
      <c r="X28" s="247"/>
      <c r="Y28" s="247"/>
      <c r="Z28" s="247"/>
      <c r="AA28" s="247"/>
      <c r="AB28" s="247"/>
      <c r="AC28" s="247"/>
      <c r="AD28" s="247"/>
      <c r="AE28" s="247"/>
      <c r="AF28" s="247"/>
      <c r="AG28" s="247"/>
      <c r="AH28" s="247"/>
      <c r="AI28" s="247"/>
      <c r="AJ28" s="247"/>
      <c r="AK28" s="247"/>
    </row>
    <row r="29" spans="1:37" s="248" customFormat="1" ht="17.7">
      <c r="A29" s="247"/>
      <c r="B29" s="268" t="s">
        <v>137</v>
      </c>
      <c r="C29" s="269"/>
      <c r="D29" s="284">
        <f>D28/12</f>
        <v>0.66666666666666663</v>
      </c>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row>
    <row r="30" spans="1:37" ht="17.7">
      <c r="B30" s="249"/>
      <c r="C30" s="250"/>
      <c r="D30" s="251"/>
    </row>
    <row r="31" spans="1:37">
      <c r="B31" s="252"/>
      <c r="C31" s="253"/>
      <c r="D31" s="254"/>
    </row>
    <row r="32" spans="1:37" ht="15">
      <c r="B32" s="252" t="s">
        <v>138</v>
      </c>
      <c r="C32" s="238"/>
      <c r="D32" s="239"/>
    </row>
    <row r="33" spans="2:4" ht="5.25" customHeight="1" thickBot="1">
      <c r="B33" s="255"/>
      <c r="C33" s="256"/>
      <c r="D33" s="257"/>
    </row>
  </sheetData>
  <sheetProtection sheet="1" objects="1" scenarios="1"/>
  <dataValidations count="1">
    <dataValidation type="whole" operator="greaterThan" allowBlank="1" showInputMessage="1" showErrorMessage="1" errorTitle="Invalid Number" error="Must enter a value greater than zero" sqref="D7">
      <formula1>0</formula1>
    </dataValidation>
  </dataValidations>
  <printOptions horizontalCentered="1"/>
  <pageMargins left="0.7" right="0.7" top="0.75" bottom="0.75" header="0.3" footer="0.3"/>
  <pageSetup scale="74" orientation="landscape" r:id="rId1"/>
  <headerFooter>
    <oddFooter>&amp;C&amp;"Verdana,Italic"&amp;8Prepared by Robert W. Baird &amp;&amp; Co. Incorporated S:\Public Finance\school district\hudson sd WI\debt service\2015\tax impact calculator - hudson sd.xlsx /jaf &amp;d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C5:G38"/>
  <sheetViews>
    <sheetView showGridLines="0" view="pageBreakPreview" topLeftCell="A4" zoomScaleNormal="100" zoomScaleSheetLayoutView="100" workbookViewId="0">
      <selection activeCell="G39" sqref="G39"/>
    </sheetView>
  </sheetViews>
  <sheetFormatPr defaultColWidth="8.86328125" defaultRowHeight="15"/>
  <cols>
    <col min="1" max="1" width="8.86328125" style="197"/>
    <col min="2" max="2" width="8" style="197" customWidth="1"/>
    <col min="3" max="3" width="22.76953125" style="197" customWidth="1"/>
    <col min="4" max="4" width="0.6796875" style="219" customWidth="1"/>
    <col min="5" max="5" width="45.76953125" style="197" customWidth="1"/>
    <col min="6" max="6" width="17" style="197" bestFit="1" customWidth="1"/>
    <col min="7" max="16384" width="8.86328125" style="197"/>
  </cols>
  <sheetData>
    <row r="5" spans="3:6" hidden="1">
      <c r="C5" s="195"/>
      <c r="D5" s="214"/>
      <c r="E5" s="196"/>
    </row>
    <row r="6" spans="3:6" ht="25.2" hidden="1">
      <c r="C6" s="198" t="s">
        <v>70</v>
      </c>
      <c r="D6" s="212"/>
      <c r="E6" s="199"/>
    </row>
    <row r="7" spans="3:6" ht="17.7" hidden="1">
      <c r="C7" s="200" t="s">
        <v>121</v>
      </c>
      <c r="D7" s="213"/>
      <c r="E7" s="199"/>
    </row>
    <row r="8" spans="3:6" hidden="1">
      <c r="C8" s="201"/>
      <c r="D8" s="215"/>
      <c r="E8" s="202"/>
    </row>
    <row r="9" spans="3:6" hidden="1">
      <c r="C9" s="201"/>
      <c r="D9" s="215"/>
      <c r="E9" s="202"/>
    </row>
    <row r="10" spans="3:6" hidden="1">
      <c r="C10" s="204" t="s">
        <v>120</v>
      </c>
      <c r="D10" s="204"/>
      <c r="E10" s="205"/>
    </row>
    <row r="11" spans="3:6" ht="46.5" customHeight="1">
      <c r="C11" s="206" t="s">
        <v>122</v>
      </c>
      <c r="D11" s="216"/>
      <c r="E11" s="206" t="s">
        <v>129</v>
      </c>
    </row>
    <row r="12" spans="3:6" s="203" customFormat="1" ht="6" customHeight="1">
      <c r="C12" s="207"/>
      <c r="D12" s="216"/>
      <c r="E12" s="207"/>
    </row>
    <row r="13" spans="3:6" ht="29.25" customHeight="1">
      <c r="C13" s="208">
        <v>8000000</v>
      </c>
      <c r="D13" s="217"/>
      <c r="E13" s="209">
        <v>-42</v>
      </c>
    </row>
    <row r="14" spans="3:6" s="203" customFormat="1" ht="6" customHeight="1">
      <c r="C14" s="207"/>
      <c r="D14" s="216"/>
      <c r="E14" s="227"/>
    </row>
    <row r="15" spans="3:6" ht="30" customHeight="1">
      <c r="C15" s="210">
        <v>10000000</v>
      </c>
      <c r="D15" s="217"/>
      <c r="E15" s="228">
        <f>ROUND((((C15-$C$13)/($C$37-$C$13))*(($E$37-$E$13))+$E$13),2)</f>
        <v>-29.55</v>
      </c>
      <c r="F15" s="226">
        <f>E15-E13</f>
        <v>12.45</v>
      </c>
    </row>
    <row r="16" spans="3:6" s="203" customFormat="1" ht="6" customHeight="1">
      <c r="C16" s="207"/>
      <c r="D16" s="216"/>
      <c r="E16" s="227"/>
    </row>
    <row r="17" spans="3:6" ht="29.25" customHeight="1">
      <c r="C17" s="208">
        <v>12000000</v>
      </c>
      <c r="D17" s="217"/>
      <c r="E17" s="209">
        <f>ROUND((((C17-$C$13)/($C$37-$C$13))*(($E$37-$E$13))+$E$13),2)</f>
        <v>-17.09</v>
      </c>
      <c r="F17" s="226">
        <f t="shared" ref="F17" si="0">E17-E15</f>
        <v>12.46</v>
      </c>
    </row>
    <row r="18" spans="3:6" s="203" customFormat="1" ht="6" customHeight="1">
      <c r="C18" s="207"/>
      <c r="D18" s="216"/>
      <c r="E18" s="227"/>
    </row>
    <row r="19" spans="3:6" ht="30" customHeight="1">
      <c r="C19" s="210">
        <v>14000000</v>
      </c>
      <c r="D19" s="217"/>
      <c r="E19" s="228">
        <f>ROUND((((C19-$C$13)/($C$37-$C$13))*(($E$37-$E$13))+$E$13),2)</f>
        <v>-4.6399999999999997</v>
      </c>
      <c r="F19" s="226">
        <f t="shared" ref="F19" si="1">E19-E17</f>
        <v>12.45</v>
      </c>
    </row>
    <row r="20" spans="3:6" s="203" customFormat="1" ht="6" customHeight="1">
      <c r="C20" s="207"/>
      <c r="D20" s="216"/>
      <c r="E20" s="227"/>
    </row>
    <row r="21" spans="3:6" ht="29.25" customHeight="1">
      <c r="C21" s="211">
        <v>14700000</v>
      </c>
      <c r="D21" s="218"/>
      <c r="E21" s="209">
        <f>'Preliminary ($14,700,000)'!AK37*100</f>
        <v>0</v>
      </c>
      <c r="F21" s="226">
        <f t="shared" ref="F21" si="2">E21-E19</f>
        <v>4.6399999999999997</v>
      </c>
    </row>
    <row r="22" spans="3:6" s="203" customFormat="1" ht="6" customHeight="1">
      <c r="C22" s="207"/>
      <c r="D22" s="216"/>
      <c r="E22" s="227"/>
    </row>
    <row r="23" spans="3:6" ht="30" customHeight="1">
      <c r="C23" s="210">
        <v>16000000</v>
      </c>
      <c r="D23" s="217"/>
      <c r="E23" s="228">
        <f>ROUND((((C23-$C$13)/($C$37-$C$13))*(($E$37-$E$13))+$E$13),2)</f>
        <v>7.82</v>
      </c>
      <c r="F23" s="226">
        <f>E23-E19</f>
        <v>12.46</v>
      </c>
    </row>
    <row r="24" spans="3:6" s="203" customFormat="1" ht="6" customHeight="1">
      <c r="C24" s="207"/>
      <c r="D24" s="216"/>
      <c r="E24" s="227"/>
    </row>
    <row r="25" spans="3:6" ht="29.25" customHeight="1">
      <c r="C25" s="208">
        <v>18000000</v>
      </c>
      <c r="D25" s="217"/>
      <c r="E25" s="209">
        <f>ROUND((((C25-$C$13)/($C$37-$C$13))*(($E$37-$E$13))+$E$13),2)</f>
        <v>20.27</v>
      </c>
      <c r="F25" s="226">
        <f t="shared" ref="F25" si="3">E25-E23</f>
        <v>12.45</v>
      </c>
    </row>
    <row r="26" spans="3:6" s="203" customFormat="1" ht="6" customHeight="1">
      <c r="C26" s="207"/>
      <c r="D26" s="216"/>
      <c r="E26" s="227"/>
    </row>
    <row r="27" spans="3:6" ht="30" customHeight="1">
      <c r="C27" s="210">
        <v>20000000</v>
      </c>
      <c r="D27" s="217"/>
      <c r="E27" s="228">
        <f>ROUND((((C27-$C$13)/($C$37-$C$13))*(($E$37-$E$13))+$E$13),2)</f>
        <v>32.729999999999997</v>
      </c>
      <c r="F27" s="226">
        <f t="shared" ref="F27" si="4">E27-E25</f>
        <v>12.459999999999997</v>
      </c>
    </row>
    <row r="28" spans="3:6" s="203" customFormat="1" ht="6" customHeight="1">
      <c r="C28" s="207"/>
      <c r="D28" s="216"/>
      <c r="E28" s="227"/>
    </row>
    <row r="29" spans="3:6" ht="29.25" customHeight="1">
      <c r="C29" s="208">
        <v>22000000</v>
      </c>
      <c r="D29" s="217"/>
      <c r="E29" s="209">
        <f>ROUND((((C29-$C$13)/($C$37-$C$13))*(($E$37-$E$13))+$E$13),2)</f>
        <v>45.18</v>
      </c>
      <c r="F29" s="226">
        <f t="shared" ref="F29" si="5">E29-E27</f>
        <v>12.450000000000003</v>
      </c>
    </row>
    <row r="30" spans="3:6" s="203" customFormat="1" ht="6" customHeight="1">
      <c r="C30" s="207"/>
      <c r="D30" s="216"/>
      <c r="E30" s="227"/>
    </row>
    <row r="31" spans="3:6" ht="30" customHeight="1">
      <c r="C31" s="210">
        <v>24000000</v>
      </c>
      <c r="D31" s="217"/>
      <c r="E31" s="228">
        <f>ROUND((((C31-$C$13)/($C$37-$C$13))*(($E$37-$E$13))+$E$13),2)</f>
        <v>57.64</v>
      </c>
      <c r="F31" s="226">
        <f t="shared" ref="F31" si="6">E31-E29</f>
        <v>12.46</v>
      </c>
    </row>
    <row r="32" spans="3:6" s="203" customFormat="1" ht="6" customHeight="1">
      <c r="C32" s="207"/>
      <c r="D32" s="216"/>
      <c r="E32" s="227"/>
    </row>
    <row r="33" spans="3:7" ht="29.25" customHeight="1">
      <c r="C33" s="208">
        <v>26000000</v>
      </c>
      <c r="D33" s="217"/>
      <c r="E33" s="209">
        <f>ROUND((((C33-$C$13)/($C$37-$C$13))*(($E$37-$E$13))+$E$13),2)</f>
        <v>70.09</v>
      </c>
      <c r="F33" s="226">
        <f t="shared" ref="F33" si="7">E33-E31</f>
        <v>12.450000000000003</v>
      </c>
    </row>
    <row r="34" spans="3:7" s="203" customFormat="1" ht="6" customHeight="1">
      <c r="C34" s="207"/>
      <c r="D34" s="216"/>
      <c r="E34" s="227"/>
    </row>
    <row r="35" spans="3:7" ht="30" customHeight="1">
      <c r="C35" s="210">
        <v>28000000</v>
      </c>
      <c r="D35" s="217"/>
      <c r="E35" s="228">
        <f>ROUND((((C35-$C$13)/($C$37-$C$13))*(($E$37-$E$13))+$E$13),2)</f>
        <v>82.55</v>
      </c>
      <c r="F35" s="226">
        <f t="shared" ref="F35" si="8">E35-E33</f>
        <v>12.459999999999994</v>
      </c>
    </row>
    <row r="36" spans="3:7" s="203" customFormat="1" ht="6" customHeight="1">
      <c r="C36" s="207"/>
      <c r="D36" s="216"/>
      <c r="E36" s="227"/>
    </row>
    <row r="37" spans="3:7" ht="29.25" customHeight="1">
      <c r="C37" s="208">
        <v>30000000</v>
      </c>
      <c r="D37" s="217"/>
      <c r="E37" s="209">
        <v>95</v>
      </c>
      <c r="F37" s="226">
        <f t="shared" ref="F37" si="9">E37-E35</f>
        <v>12.450000000000003</v>
      </c>
    </row>
    <row r="38" spans="3:7">
      <c r="G38" s="197">
        <f>19650+12900</f>
        <v>32550</v>
      </c>
    </row>
  </sheetData>
  <printOptions horizontalCentered="1"/>
  <pageMargins left="0.7" right="0.7" top="0.75" bottom="0.75" header="0.3" footer="0.3"/>
  <pageSetup orientation="landscape" r:id="rId1"/>
  <headerFooter>
    <oddFooter>&amp;C&amp;"Verdana,Italic"&amp;8Prepared by Robert W. Baird &amp;&amp; Co. Incorporated S:\Public Finance\school district\ashland sd\debt service\2015\ds4 ashland sd.xlsx /jaf &amp;d</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tabColor rgb="FFFF0000"/>
    <pageSetUpPr fitToPage="1"/>
  </sheetPr>
  <dimension ref="A1:BB213"/>
  <sheetViews>
    <sheetView showGridLines="0" view="pageBreakPreview" zoomScale="85" zoomScaleNormal="75" zoomScaleSheetLayoutView="85" workbookViewId="0">
      <selection activeCell="P15" sqref="P15:P32"/>
    </sheetView>
  </sheetViews>
  <sheetFormatPr defaultColWidth="8.76953125" defaultRowHeight="14.7"/>
  <cols>
    <col min="1" max="1" width="7.54296875" style="3" bestFit="1" customWidth="1"/>
    <col min="2" max="2" width="7.6796875" style="3" hidden="1" customWidth="1"/>
    <col min="3" max="3" width="7.31640625" style="3" bestFit="1" customWidth="1"/>
    <col min="4" max="4" width="12.6796875" style="3" bestFit="1" customWidth="1"/>
    <col min="5" max="5" width="15.453125" style="3" bestFit="1" customWidth="1"/>
    <col min="6" max="6" width="2.76953125" style="3" customWidth="1"/>
    <col min="7" max="7" width="7" style="3" customWidth="1"/>
    <col min="8" max="8" width="6.76953125" style="3" customWidth="1"/>
    <col min="9" max="9" width="1.31640625" style="3" customWidth="1"/>
    <col min="10" max="10" width="14.31640625" style="3" hidden="1" customWidth="1"/>
    <col min="11" max="11" width="1.31640625" style="3" hidden="1" customWidth="1"/>
    <col min="12" max="12" width="10.54296875" style="3" hidden="1" customWidth="1"/>
    <col min="13" max="13" width="1.31640625" style="3" hidden="1" customWidth="1"/>
    <col min="14" max="14" width="24.6796875" style="3" hidden="1" customWidth="1"/>
    <col min="15" max="15" width="1.31640625" style="3" hidden="1" customWidth="1"/>
    <col min="16" max="17" width="14.31640625" style="3" customWidth="1"/>
    <col min="18" max="18" width="14.31640625" style="3" hidden="1" customWidth="1"/>
    <col min="19" max="19" width="14.31640625" style="3" customWidth="1"/>
    <col min="20" max="20" width="1.31640625" style="3" customWidth="1"/>
    <col min="21" max="21" width="14.31640625" style="3" hidden="1" customWidth="1"/>
    <col min="22" max="22" width="1.31640625" style="3" hidden="1" customWidth="1"/>
    <col min="23" max="23" width="14.31640625" style="3" hidden="1" customWidth="1"/>
    <col min="24" max="24" width="1.31640625" style="3" hidden="1" customWidth="1"/>
    <col min="25" max="25" width="14.31640625" style="3" hidden="1" customWidth="1"/>
    <col min="26" max="26" width="1.31640625" style="3" hidden="1" customWidth="1"/>
    <col min="27" max="27" width="10.54296875" style="3" hidden="1" customWidth="1"/>
    <col min="28" max="28" width="1.31640625" style="3" customWidth="1"/>
    <col min="29" max="29" width="14.31640625" style="3" hidden="1" customWidth="1"/>
    <col min="30" max="30" width="1.31640625" style="3" hidden="1" customWidth="1"/>
    <col min="31" max="31" width="14.31640625" style="3" customWidth="1"/>
    <col min="32" max="32" width="1.31640625" style="3" customWidth="1"/>
    <col min="33" max="33" width="14.31640625" style="3" customWidth="1"/>
    <col min="34" max="34" width="1.31640625" style="3" customWidth="1"/>
    <col min="35" max="35" width="11.6796875" style="3" bestFit="1" customWidth="1"/>
    <col min="36" max="36" width="10.31640625" style="3" customWidth="1"/>
    <col min="37" max="37" width="6.76953125" style="3" customWidth="1"/>
    <col min="38" max="38" width="2.76953125" style="3" customWidth="1"/>
    <col min="39" max="39" width="20.453125" style="3" bestFit="1" customWidth="1"/>
    <col min="40" max="40" width="10.76953125" style="13" customWidth="1"/>
    <col min="41" max="42" width="14.31640625" style="84" customWidth="1"/>
    <col min="43" max="43" width="14.31640625" style="84" hidden="1" customWidth="1"/>
    <col min="44" max="45" width="14.31640625" style="84" customWidth="1"/>
    <col min="46" max="46" width="2.76953125" style="3" customWidth="1"/>
    <col min="47" max="48" width="6.76953125" style="84" customWidth="1"/>
    <col min="49" max="49" width="2.76953125" style="3" customWidth="1"/>
    <col min="50" max="54" width="14.31640625" style="3" customWidth="1"/>
    <col min="55" max="16384" width="8.76953125" style="3"/>
  </cols>
  <sheetData>
    <row r="1" spans="1:54" ht="29.7">
      <c r="A1" s="9"/>
      <c r="B1" s="115"/>
      <c r="C1" s="10"/>
      <c r="D1" s="10"/>
      <c r="E1" s="15"/>
      <c r="F1" s="11" t="s">
        <v>0</v>
      </c>
      <c r="G1" s="4" t="s">
        <v>70</v>
      </c>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7"/>
      <c r="AK1" s="2"/>
    </row>
    <row r="2" spans="1:54" ht="20.100000000000001">
      <c r="A2" s="14"/>
      <c r="B2" s="115"/>
      <c r="C2" s="15"/>
      <c r="D2" s="15"/>
      <c r="E2" s="15"/>
      <c r="F2" s="11" t="s">
        <v>0</v>
      </c>
      <c r="G2" s="5" t="s">
        <v>69</v>
      </c>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7"/>
      <c r="AK2" s="2"/>
    </row>
    <row r="3" spans="1:54" ht="17.7">
      <c r="A3" s="14"/>
      <c r="B3" s="115"/>
      <c r="C3" s="15"/>
      <c r="D3" s="15"/>
      <c r="E3" s="15"/>
      <c r="F3" s="11" t="s">
        <v>0</v>
      </c>
      <c r="G3" s="16"/>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7"/>
      <c r="AK3" s="7"/>
      <c r="AM3" s="2"/>
    </row>
    <row r="4" spans="1:54">
      <c r="A4" s="2"/>
      <c r="B4" s="2"/>
      <c r="C4" s="2"/>
      <c r="D4" s="2"/>
      <c r="E4" s="2"/>
      <c r="F4" s="11" t="s">
        <v>0</v>
      </c>
      <c r="G4" s="1"/>
      <c r="H4" s="1"/>
      <c r="I4" s="1"/>
      <c r="J4" s="1"/>
      <c r="K4" s="1"/>
      <c r="L4" s="1"/>
      <c r="M4" s="1"/>
      <c r="N4" s="1"/>
      <c r="O4" s="1"/>
      <c r="P4" s="103"/>
      <c r="Q4" s="103"/>
      <c r="R4" s="103"/>
      <c r="S4" s="103"/>
      <c r="T4" s="1"/>
      <c r="U4" s="1"/>
      <c r="V4" s="1"/>
      <c r="W4" s="1"/>
      <c r="X4" s="1"/>
      <c r="Y4" s="1"/>
      <c r="Z4" s="1"/>
      <c r="AA4" s="1"/>
      <c r="AB4" s="1"/>
      <c r="AC4" s="1"/>
      <c r="AD4" s="1"/>
      <c r="AE4" s="1"/>
      <c r="AF4" s="1"/>
      <c r="AG4" s="1"/>
      <c r="AH4" s="1"/>
      <c r="AI4" s="1"/>
      <c r="AJ4" s="1"/>
      <c r="AK4" s="1"/>
      <c r="AM4" s="2"/>
    </row>
    <row r="5" spans="1:54" ht="20.100000000000001">
      <c r="A5" s="2"/>
      <c r="B5" s="2"/>
      <c r="C5" s="2"/>
      <c r="D5" s="2"/>
      <c r="E5" s="2"/>
      <c r="F5" s="11" t="s">
        <v>0</v>
      </c>
      <c r="G5" s="2"/>
      <c r="H5" s="2"/>
      <c r="I5" s="2" t="s">
        <v>109</v>
      </c>
      <c r="J5" s="2"/>
      <c r="K5" s="2"/>
      <c r="L5" s="2"/>
      <c r="M5" s="2"/>
      <c r="N5" s="17">
        <v>0</v>
      </c>
      <c r="O5" s="2"/>
      <c r="P5" s="135">
        <v>17000000</v>
      </c>
      <c r="Q5" s="136"/>
      <c r="R5" s="136"/>
      <c r="S5" s="137"/>
      <c r="T5" s="2"/>
      <c r="V5" s="2"/>
      <c r="W5" s="2"/>
      <c r="X5" s="2"/>
      <c r="Y5" s="2"/>
      <c r="Z5" s="2"/>
      <c r="AA5" s="2"/>
      <c r="AB5" s="2"/>
      <c r="AC5" s="167"/>
      <c r="AD5" s="2"/>
      <c r="AF5" s="2"/>
      <c r="AG5" s="2"/>
      <c r="AH5" s="2"/>
      <c r="AI5" s="2"/>
      <c r="AJ5" s="2"/>
      <c r="AK5" s="2"/>
      <c r="AM5" s="2"/>
    </row>
    <row r="6" spans="1:54" ht="15" customHeight="1">
      <c r="A6" s="118"/>
      <c r="B6" s="118"/>
      <c r="C6" s="118"/>
      <c r="D6" s="118"/>
      <c r="E6" s="118"/>
      <c r="F6" s="120" t="s">
        <v>0</v>
      </c>
      <c r="G6" s="118"/>
      <c r="H6" s="2"/>
      <c r="I6" s="2"/>
      <c r="J6" s="18" t="s">
        <v>9</v>
      </c>
      <c r="K6" s="2"/>
      <c r="L6" s="2"/>
      <c r="M6" s="2"/>
      <c r="N6" s="19" t="s">
        <v>35</v>
      </c>
      <c r="O6" s="2"/>
      <c r="P6" s="138" t="s">
        <v>41</v>
      </c>
      <c r="Q6" s="139"/>
      <c r="R6" s="139"/>
      <c r="S6" s="140"/>
      <c r="T6" s="2"/>
      <c r="V6" s="2"/>
      <c r="X6" s="2"/>
      <c r="Y6" s="2"/>
      <c r="Z6" s="2"/>
      <c r="AA6" s="2"/>
      <c r="AB6" s="2"/>
      <c r="AC6" s="166" t="str">
        <f>J7</f>
        <v>FUND 39</v>
      </c>
      <c r="AD6" s="2"/>
      <c r="AF6" s="2"/>
      <c r="AG6" s="2"/>
      <c r="AH6" s="2"/>
      <c r="AI6" s="2"/>
      <c r="AJ6" s="2"/>
      <c r="AK6" s="2"/>
      <c r="AM6" s="2"/>
    </row>
    <row r="7" spans="1:54" ht="15" customHeight="1" thickBot="1">
      <c r="A7" s="118"/>
      <c r="B7" s="118"/>
      <c r="C7" s="118"/>
      <c r="D7" s="118"/>
      <c r="E7" s="118"/>
      <c r="F7" s="120" t="s">
        <v>0</v>
      </c>
      <c r="G7" s="118"/>
      <c r="H7" s="2"/>
      <c r="I7" s="2"/>
      <c r="J7" s="18" t="s">
        <v>50</v>
      </c>
      <c r="K7" s="2"/>
      <c r="M7" s="2"/>
      <c r="N7" s="112">
        <v>41000</v>
      </c>
      <c r="O7" s="2"/>
      <c r="P7" s="141">
        <v>42644</v>
      </c>
      <c r="Q7" s="139"/>
      <c r="R7" s="139"/>
      <c r="S7" s="140"/>
      <c r="T7" s="20"/>
      <c r="U7" s="18" t="s">
        <v>51</v>
      </c>
      <c r="V7" s="20"/>
      <c r="W7" s="18" t="s">
        <v>12</v>
      </c>
      <c r="X7" s="20"/>
      <c r="Y7" s="20"/>
      <c r="Z7" s="20"/>
      <c r="AA7" s="20"/>
      <c r="AB7" s="20"/>
      <c r="AC7" s="166" t="s">
        <v>66</v>
      </c>
      <c r="AD7" s="20"/>
      <c r="AF7" s="20"/>
      <c r="AJ7" s="20"/>
      <c r="AK7" s="2"/>
      <c r="AM7" s="2"/>
    </row>
    <row r="8" spans="1:54" ht="15" customHeight="1">
      <c r="A8" s="116" t="s">
        <v>1</v>
      </c>
      <c r="B8" s="116" t="s">
        <v>43</v>
      </c>
      <c r="C8" s="116" t="s">
        <v>2</v>
      </c>
      <c r="D8" s="116" t="s">
        <v>3</v>
      </c>
      <c r="E8" s="116" t="s">
        <v>4</v>
      </c>
      <c r="F8" s="120" t="s">
        <v>0</v>
      </c>
      <c r="G8" s="119" t="s">
        <v>8</v>
      </c>
      <c r="H8" s="18" t="s">
        <v>2</v>
      </c>
      <c r="I8" s="2"/>
      <c r="J8" s="18" t="s">
        <v>33</v>
      </c>
      <c r="K8" s="2"/>
      <c r="L8" s="18" t="s">
        <v>9</v>
      </c>
      <c r="M8" s="2"/>
      <c r="N8" s="114">
        <v>41365</v>
      </c>
      <c r="O8" s="2"/>
      <c r="P8" s="142">
        <v>42795</v>
      </c>
      <c r="Q8" s="139"/>
      <c r="R8" s="139"/>
      <c r="S8" s="140"/>
      <c r="T8" s="2"/>
      <c r="U8" s="18" t="s">
        <v>53</v>
      </c>
      <c r="V8" s="2"/>
      <c r="W8" s="18" t="s">
        <v>18</v>
      </c>
      <c r="X8" s="2"/>
      <c r="Y8" s="18" t="s">
        <v>13</v>
      </c>
      <c r="Z8" s="2"/>
      <c r="AA8" s="18" t="s">
        <v>13</v>
      </c>
      <c r="AB8" s="2"/>
      <c r="AC8" s="166" t="s">
        <v>9</v>
      </c>
      <c r="AD8" s="2"/>
      <c r="AE8" s="18" t="s">
        <v>51</v>
      </c>
      <c r="AF8" s="2"/>
      <c r="AG8" s="18" t="s">
        <v>11</v>
      </c>
      <c r="AH8" s="18"/>
      <c r="AI8" s="18"/>
      <c r="AJ8" s="2"/>
      <c r="AK8" s="18" t="s">
        <v>2</v>
      </c>
      <c r="AL8" s="2"/>
      <c r="AM8" s="21" t="s">
        <v>71</v>
      </c>
      <c r="AN8" s="3"/>
      <c r="AO8" s="98" t="s">
        <v>5</v>
      </c>
      <c r="AP8" s="99"/>
      <c r="AQ8" s="99"/>
      <c r="AR8" s="99"/>
      <c r="AS8" s="100"/>
      <c r="AU8" s="128"/>
      <c r="AV8" s="128"/>
    </row>
    <row r="9" spans="1:54" ht="15" customHeight="1">
      <c r="A9" s="116"/>
      <c r="B9" s="116" t="s">
        <v>44</v>
      </c>
      <c r="C9" s="116"/>
      <c r="D9" s="116" t="s">
        <v>6</v>
      </c>
      <c r="E9" s="116" t="s">
        <v>7</v>
      </c>
      <c r="F9" s="120" t="s">
        <v>0</v>
      </c>
      <c r="G9" s="119" t="s">
        <v>2</v>
      </c>
      <c r="H9" s="18" t="s">
        <v>17</v>
      </c>
      <c r="I9" s="2"/>
      <c r="J9" s="18" t="s">
        <v>34</v>
      </c>
      <c r="K9" s="2"/>
      <c r="L9" s="6" t="s">
        <v>19</v>
      </c>
      <c r="M9" s="2"/>
      <c r="N9" s="23" t="s">
        <v>4</v>
      </c>
      <c r="O9" s="2"/>
      <c r="P9" s="143" t="s">
        <v>10</v>
      </c>
      <c r="Q9" s="23" t="s">
        <v>4</v>
      </c>
      <c r="R9" s="122" t="s">
        <v>12</v>
      </c>
      <c r="S9" s="144" t="s">
        <v>11</v>
      </c>
      <c r="T9" s="18"/>
      <c r="U9" s="127" t="s">
        <v>54</v>
      </c>
      <c r="V9" s="18"/>
      <c r="W9" s="18" t="s">
        <v>23</v>
      </c>
      <c r="X9" s="18"/>
      <c r="Y9" s="18" t="s">
        <v>32</v>
      </c>
      <c r="Z9" s="18"/>
      <c r="AA9" s="6" t="s">
        <v>19</v>
      </c>
      <c r="AB9" s="18"/>
      <c r="AC9" s="166" t="s">
        <v>42</v>
      </c>
      <c r="AD9" s="18"/>
      <c r="AE9" s="18" t="s">
        <v>31</v>
      </c>
      <c r="AF9" s="18"/>
      <c r="AG9" s="18" t="s">
        <v>32</v>
      </c>
      <c r="AH9" s="6"/>
      <c r="AI9" s="6" t="s">
        <v>19</v>
      </c>
      <c r="AJ9" s="18"/>
      <c r="AK9" s="18" t="s">
        <v>17</v>
      </c>
      <c r="AL9" s="2"/>
      <c r="AM9" s="25" t="s">
        <v>14</v>
      </c>
      <c r="AN9" s="26" t="s">
        <v>15</v>
      </c>
      <c r="AO9" s="85"/>
      <c r="AP9" s="86"/>
      <c r="AQ9" s="125" t="s">
        <v>47</v>
      </c>
      <c r="AR9" s="86"/>
      <c r="AS9" s="87"/>
      <c r="AU9" s="13"/>
      <c r="AV9" s="86"/>
      <c r="AX9" s="13" t="s">
        <v>55</v>
      </c>
      <c r="AZ9" s="13" t="s">
        <v>65</v>
      </c>
    </row>
    <row r="10" spans="1:54" ht="15" customHeight="1" thickBot="1">
      <c r="A10" s="116"/>
      <c r="B10" s="117">
        <v>0</v>
      </c>
      <c r="C10" s="116"/>
      <c r="D10" s="116"/>
      <c r="E10" s="116" t="s">
        <v>16</v>
      </c>
      <c r="F10" s="120" t="s">
        <v>0</v>
      </c>
      <c r="I10" s="2"/>
      <c r="L10" s="22" t="s">
        <v>26</v>
      </c>
      <c r="M10" s="2"/>
      <c r="N10" s="27"/>
      <c r="O10" s="2"/>
      <c r="P10" s="145" t="s">
        <v>67</v>
      </c>
      <c r="Q10" s="146" t="s">
        <v>68</v>
      </c>
      <c r="R10" s="147" t="s">
        <v>45</v>
      </c>
      <c r="S10" s="148"/>
      <c r="T10" s="6"/>
      <c r="U10" s="113" t="s">
        <v>26</v>
      </c>
      <c r="V10" s="6"/>
      <c r="X10" s="6"/>
      <c r="Y10" s="113" t="s">
        <v>52</v>
      </c>
      <c r="Z10" s="6"/>
      <c r="AA10" s="22" t="s">
        <v>36</v>
      </c>
      <c r="AB10" s="6"/>
      <c r="AC10" s="158"/>
      <c r="AD10" s="6"/>
      <c r="AE10" s="113" t="s">
        <v>26</v>
      </c>
      <c r="AF10" s="6"/>
      <c r="AG10" s="113" t="s">
        <v>52</v>
      </c>
      <c r="AH10" s="24"/>
      <c r="AI10" s="22" t="s">
        <v>36</v>
      </c>
      <c r="AJ10" s="6"/>
      <c r="AL10" s="2"/>
      <c r="AM10" s="28" t="s">
        <v>20</v>
      </c>
      <c r="AN10" s="3"/>
      <c r="AO10" s="88" t="s">
        <v>21</v>
      </c>
      <c r="AP10" s="89" t="s">
        <v>22</v>
      </c>
      <c r="AQ10" s="125" t="s">
        <v>48</v>
      </c>
      <c r="AR10" s="89" t="s">
        <v>37</v>
      </c>
      <c r="AS10" s="90" t="s">
        <v>24</v>
      </c>
      <c r="AU10" s="13"/>
      <c r="AV10" s="89"/>
      <c r="AX10" s="13" t="s">
        <v>56</v>
      </c>
      <c r="AY10" s="13" t="s">
        <v>65</v>
      </c>
      <c r="AZ10" s="129" t="s">
        <v>57</v>
      </c>
      <c r="BB10" s="129" t="s">
        <v>58</v>
      </c>
    </row>
    <row r="11" spans="1:54" ht="15" customHeight="1" thickBot="1">
      <c r="A11" s="119"/>
      <c r="B11" s="119"/>
      <c r="C11" s="118"/>
      <c r="D11" s="118"/>
      <c r="E11" s="118"/>
      <c r="F11" s="120" t="s">
        <v>0</v>
      </c>
      <c r="G11" s="121"/>
      <c r="I11" s="2"/>
      <c r="M11" s="2"/>
      <c r="N11" s="29" t="s">
        <v>25</v>
      </c>
      <c r="O11" s="2"/>
      <c r="P11" s="149"/>
      <c r="Q11" s="150" t="s">
        <v>25</v>
      </c>
      <c r="R11" s="151" t="s">
        <v>44</v>
      </c>
      <c r="S11" s="152"/>
      <c r="T11" s="31"/>
      <c r="U11" s="32"/>
      <c r="V11" s="2"/>
      <c r="W11" s="32"/>
      <c r="X11" s="2"/>
      <c r="Y11" s="2"/>
      <c r="Z11" s="2"/>
      <c r="AB11" s="24"/>
      <c r="AC11" s="167"/>
      <c r="AD11" s="31"/>
      <c r="AE11" s="32"/>
      <c r="AF11" s="2"/>
      <c r="AG11" s="3">
        <v>629868</v>
      </c>
      <c r="AJ11" s="31"/>
      <c r="AL11" s="1"/>
      <c r="AM11" s="33"/>
      <c r="AO11" s="91"/>
      <c r="AP11" s="92"/>
      <c r="AQ11" s="126" t="s">
        <v>49</v>
      </c>
      <c r="AR11" s="92"/>
      <c r="AS11" s="93"/>
      <c r="AU11" s="133" t="s">
        <v>64</v>
      </c>
      <c r="AV11" s="134"/>
      <c r="AX11" s="130" t="s">
        <v>59</v>
      </c>
      <c r="AY11" s="130" t="s">
        <v>60</v>
      </c>
      <c r="AZ11" s="130" t="s">
        <v>61</v>
      </c>
      <c r="BA11" s="130" t="s">
        <v>62</v>
      </c>
      <c r="BB11" s="130" t="s">
        <v>63</v>
      </c>
    </row>
    <row r="12" spans="1:54" ht="15" customHeight="1">
      <c r="A12" s="119"/>
      <c r="B12" s="119"/>
      <c r="C12" s="118"/>
      <c r="D12" s="118"/>
      <c r="E12" s="118"/>
      <c r="F12" s="120" t="s">
        <v>0</v>
      </c>
      <c r="G12" s="118"/>
      <c r="H12" s="2"/>
      <c r="I12" s="2"/>
      <c r="M12" s="2"/>
      <c r="N12" s="34">
        <v>4.4999999999999998E-2</v>
      </c>
      <c r="O12" s="2"/>
      <c r="P12" s="153"/>
      <c r="Q12" s="154">
        <f>+E39</f>
        <v>4.2500000000000003E-2</v>
      </c>
      <c r="R12" s="154"/>
      <c r="S12" s="152"/>
      <c r="T12" s="2"/>
      <c r="U12" s="35"/>
      <c r="V12" s="35"/>
      <c r="W12" s="35"/>
      <c r="X12" s="35"/>
      <c r="Y12" s="35"/>
      <c r="Z12" s="35"/>
      <c r="AA12" s="35"/>
      <c r="AB12" s="2"/>
      <c r="AC12" s="169"/>
      <c r="AD12" s="2"/>
      <c r="AE12" s="35"/>
      <c r="AF12" s="35"/>
      <c r="AG12" s="2">
        <f>AVERAGE(AG14:AG33)</f>
        <v>1245810.7875000001</v>
      </c>
      <c r="AH12" s="2"/>
      <c r="AJ12" s="2"/>
      <c r="AK12" s="2"/>
      <c r="AL12" s="36"/>
      <c r="AM12" s="2"/>
    </row>
    <row r="13" spans="1:54" ht="15" customHeight="1">
      <c r="A13" s="37"/>
      <c r="B13" s="37"/>
      <c r="C13" s="38"/>
      <c r="D13" s="39"/>
      <c r="E13" s="39"/>
      <c r="F13" s="11" t="s">
        <v>0</v>
      </c>
      <c r="G13" s="40"/>
      <c r="H13" s="40"/>
      <c r="I13" s="2"/>
      <c r="J13" s="41"/>
      <c r="K13" s="2"/>
      <c r="L13" s="18">
        <f t="shared" ref="L13:L32" si="0">+J13/$AM13*1000</f>
        <v>0</v>
      </c>
      <c r="M13" s="2"/>
      <c r="N13" s="41"/>
      <c r="O13" s="2"/>
      <c r="P13" s="155"/>
      <c r="Q13" s="48"/>
      <c r="R13" s="48"/>
      <c r="S13" s="156"/>
      <c r="T13" s="42"/>
      <c r="U13" s="43"/>
      <c r="V13" s="42"/>
      <c r="W13" s="43"/>
      <c r="X13" s="42"/>
      <c r="Y13" s="41"/>
      <c r="Z13" s="18"/>
      <c r="AA13" s="18"/>
      <c r="AB13" s="18"/>
      <c r="AC13" s="48"/>
      <c r="AD13" s="42"/>
      <c r="AE13" s="43"/>
      <c r="AF13" s="42"/>
      <c r="AG13" s="41"/>
      <c r="AH13" s="18"/>
      <c r="AI13" s="18"/>
      <c r="AK13" s="40"/>
      <c r="AL13" s="2"/>
      <c r="AM13" s="44">
        <v>671505395</v>
      </c>
      <c r="AO13" s="94"/>
      <c r="AP13" s="94"/>
      <c r="AQ13" s="94"/>
      <c r="AR13" s="94"/>
      <c r="AS13" s="94">
        <f>SUM(AO13:AR13)</f>
        <v>0</v>
      </c>
      <c r="AU13" s="40">
        <f>G13</f>
        <v>0</v>
      </c>
      <c r="AV13" s="40">
        <f>H13</f>
        <v>0</v>
      </c>
      <c r="AX13" s="131"/>
      <c r="AY13" s="131">
        <f>$AX$13</f>
        <v>0</v>
      </c>
      <c r="AZ13" s="131">
        <f>AS13+AX13</f>
        <v>0</v>
      </c>
      <c r="BA13" s="131">
        <f>AZ13-AY13</f>
        <v>0</v>
      </c>
      <c r="BB13" s="131">
        <f t="shared" ref="BB13:BB33" si="1">IF(BA13&lt;0,0,BA13)</f>
        <v>0</v>
      </c>
    </row>
    <row r="14" spans="1:54">
      <c r="A14" s="37">
        <v>4.2500000000000003E-2</v>
      </c>
      <c r="B14" s="37">
        <f t="shared" ref="B14:B33" si="2">-B$10*A14</f>
        <v>0</v>
      </c>
      <c r="C14" s="38">
        <f>6/12</f>
        <v>0.5</v>
      </c>
      <c r="D14" s="39">
        <f t="shared" ref="D14:D33" si="3">+P14*C14/1000</f>
        <v>0</v>
      </c>
      <c r="E14" s="39">
        <f>+D14*(A14+B14)*1000</f>
        <v>0</v>
      </c>
      <c r="F14" s="11" t="s">
        <v>0</v>
      </c>
      <c r="G14" s="40">
        <v>2016</v>
      </c>
      <c r="H14" s="40">
        <v>2017</v>
      </c>
      <c r="I14" s="2"/>
      <c r="J14" s="41"/>
      <c r="K14" s="2"/>
      <c r="L14" s="18">
        <f t="shared" si="0"/>
        <v>0</v>
      </c>
      <c r="M14" s="2"/>
      <c r="N14" s="101">
        <f>N5*N12*12/12</f>
        <v>0</v>
      </c>
      <c r="O14" s="2"/>
      <c r="P14" s="155"/>
      <c r="Q14" s="48">
        <f>(P14*A14/2)*6/6+(P15*A15/2+Q15)*12/12</f>
        <v>722500</v>
      </c>
      <c r="R14" s="48">
        <f t="shared" ref="R14:R33" si="4">-B$10*Q14</f>
        <v>0</v>
      </c>
      <c r="S14" s="156">
        <f>+P14+Q14+R14</f>
        <v>722500</v>
      </c>
      <c r="T14" s="42"/>
      <c r="U14" s="43"/>
      <c r="V14" s="42"/>
      <c r="W14" s="43"/>
      <c r="X14" s="42"/>
      <c r="Y14" s="41">
        <f t="shared" ref="Y14:Y34" si="5">+S14+U14+W14</f>
        <v>722500</v>
      </c>
      <c r="Z14" s="18"/>
      <c r="AA14" s="18">
        <f t="shared" ref="AA14:AA33" si="6">+Y14/$AM14*1000</f>
        <v>1.0759407227100535</v>
      </c>
      <c r="AB14" s="18"/>
      <c r="AC14" s="48">
        <f t="shared" ref="AC14:AC33" si="7">J14+S14</f>
        <v>722500</v>
      </c>
      <c r="AD14" s="42"/>
      <c r="AE14" s="43">
        <f>IF(BB13&lt;0,-BB13*$Q$43,(IF($Q$41&gt;BB13,-BB13*$Q$42,-$Q$41*$Q$42+(BB13-$Q$41)*-$Q$43)))</f>
        <v>0</v>
      </c>
      <c r="AF14" s="42"/>
      <c r="AG14" s="41">
        <f t="shared" ref="AG14:AG16" si="8">J14+S14+AE14</f>
        <v>722500</v>
      </c>
      <c r="AH14" s="18"/>
      <c r="AI14" s="18">
        <f t="shared" ref="AI14:AI33" si="9">+AG14/$AM14*1000</f>
        <v>1.0759407227100535</v>
      </c>
      <c r="AK14" s="40">
        <f t="shared" ref="AK14:AK34" si="10">H14</f>
        <v>2017</v>
      </c>
      <c r="AL14" s="2"/>
      <c r="AM14" s="39">
        <f t="shared" ref="AM14:AM33" si="11">AM13*(1+AN14)</f>
        <v>671505395</v>
      </c>
      <c r="AN14" s="45">
        <v>0</v>
      </c>
      <c r="AO14" s="94">
        <f t="shared" ref="AO14:AO33" si="12">P14</f>
        <v>0</v>
      </c>
      <c r="AP14" s="94">
        <f>(AP15+AO14*A14)*6/12</f>
        <v>361250</v>
      </c>
      <c r="AQ14" s="41">
        <f t="shared" ref="AQ14:AQ33" si="13">-B$10*AP14</f>
        <v>0</v>
      </c>
      <c r="AR14" s="94"/>
      <c r="AS14" s="94">
        <f t="shared" ref="AS14:AS33" si="14">SUM(AO14:AR14)</f>
        <v>361250</v>
      </c>
      <c r="AU14" s="40">
        <f t="shared" ref="AU14:AV34" si="15">G14</f>
        <v>2016</v>
      </c>
      <c r="AV14" s="40">
        <f t="shared" si="15"/>
        <v>2017</v>
      </c>
      <c r="AX14" s="131"/>
      <c r="AY14" s="131">
        <f t="shared" ref="AY14:AY33" si="16">$AX$13</f>
        <v>0</v>
      </c>
      <c r="AZ14" s="131">
        <f>AS14+AX14</f>
        <v>361250</v>
      </c>
      <c r="BA14" s="131">
        <f t="shared" ref="BA14:BA33" si="17">AZ14-AY14</f>
        <v>361250</v>
      </c>
      <c r="BB14" s="131">
        <f t="shared" si="1"/>
        <v>361250</v>
      </c>
    </row>
    <row r="15" spans="1:54">
      <c r="A15" s="37">
        <f>A14</f>
        <v>4.2500000000000003E-2</v>
      </c>
      <c r="B15" s="37">
        <f t="shared" si="2"/>
        <v>0</v>
      </c>
      <c r="C15" s="38">
        <f>+C14+1</f>
        <v>1.5</v>
      </c>
      <c r="D15" s="39">
        <f t="shared" si="3"/>
        <v>0</v>
      </c>
      <c r="E15" s="39">
        <f t="shared" ref="E15:E33" si="18">+D15*(A15+B15)*1000</f>
        <v>0</v>
      </c>
      <c r="F15" s="11" t="s">
        <v>0</v>
      </c>
      <c r="G15" s="40">
        <f t="shared" ref="G15:G33" si="19">+G14+1</f>
        <v>2017</v>
      </c>
      <c r="H15" s="40">
        <f t="shared" ref="H15:H33" si="20">H14+1</f>
        <v>2018</v>
      </c>
      <c r="I15" s="2"/>
      <c r="J15" s="41"/>
      <c r="K15" s="2"/>
      <c r="L15" s="18">
        <f t="shared" si="0"/>
        <v>0</v>
      </c>
      <c r="M15" s="2"/>
      <c r="N15" s="46"/>
      <c r="O15" s="2"/>
      <c r="P15" s="155"/>
      <c r="Q15" s="48">
        <f t="shared" ref="Q15:Q32" si="21">(P15*A15/2)+(P16*A16/2+Q16)</f>
        <v>722500</v>
      </c>
      <c r="R15" s="48">
        <f t="shared" si="4"/>
        <v>0</v>
      </c>
      <c r="S15" s="156">
        <f t="shared" ref="S15:S33" si="22">+P15+Q15+R15</f>
        <v>722500</v>
      </c>
      <c r="T15" s="42"/>
      <c r="U15" s="43"/>
      <c r="V15" s="42"/>
      <c r="W15" s="43"/>
      <c r="X15" s="42"/>
      <c r="Y15" s="41">
        <f t="shared" si="5"/>
        <v>722500</v>
      </c>
      <c r="Z15" s="18"/>
      <c r="AA15" s="18">
        <f t="shared" si="6"/>
        <v>1.0759407227100535</v>
      </c>
      <c r="AB15" s="18"/>
      <c r="AC15" s="48">
        <f t="shared" si="7"/>
        <v>722500</v>
      </c>
      <c r="AD15" s="42"/>
      <c r="AE15" s="43">
        <f t="shared" ref="AE15:AE34" si="23">IF(BB14&lt;0,-BB14*$Q$43,(IF($Q$41&gt;BB14,-BB14*$Q$42,-$Q$41*$Q$42+(BB14-$Q$41)*-$Q$43)))</f>
        <v>-166825.25</v>
      </c>
      <c r="AF15" s="42"/>
      <c r="AG15" s="41">
        <f t="shared" si="8"/>
        <v>555674.75</v>
      </c>
      <c r="AH15" s="18"/>
      <c r="AI15" s="18">
        <f t="shared" si="9"/>
        <v>0.82750600983630218</v>
      </c>
      <c r="AJ15" s="18"/>
      <c r="AK15" s="40">
        <f t="shared" si="10"/>
        <v>2018</v>
      </c>
      <c r="AL15" s="2"/>
      <c r="AM15" s="39">
        <f t="shared" si="11"/>
        <v>671505395</v>
      </c>
      <c r="AN15" s="47">
        <v>0</v>
      </c>
      <c r="AO15" s="94">
        <f t="shared" si="12"/>
        <v>0</v>
      </c>
      <c r="AP15" s="94">
        <f t="shared" ref="AP15:AP33" si="24">(AP16+AO15*A15)</f>
        <v>722500</v>
      </c>
      <c r="AQ15" s="41">
        <f t="shared" si="13"/>
        <v>0</v>
      </c>
      <c r="AR15" s="94"/>
      <c r="AS15" s="94">
        <f t="shared" si="14"/>
        <v>722500</v>
      </c>
      <c r="AU15" s="40">
        <f t="shared" si="15"/>
        <v>2017</v>
      </c>
      <c r="AV15" s="40">
        <f t="shared" si="15"/>
        <v>2018</v>
      </c>
      <c r="AX15" s="131"/>
      <c r="AY15" s="131">
        <f t="shared" si="16"/>
        <v>0</v>
      </c>
      <c r="AZ15" s="131">
        <f t="shared" ref="AZ15:AZ33" si="25">AS15+AX15</f>
        <v>722500</v>
      </c>
      <c r="BA15" s="131">
        <f t="shared" si="17"/>
        <v>722500</v>
      </c>
      <c r="BB15" s="131">
        <f t="shared" si="1"/>
        <v>722500</v>
      </c>
    </row>
    <row r="16" spans="1:54">
      <c r="A16" s="37">
        <f>A15</f>
        <v>4.2500000000000003E-2</v>
      </c>
      <c r="B16" s="37">
        <f t="shared" si="2"/>
        <v>0</v>
      </c>
      <c r="C16" s="38">
        <f>+C15+1</f>
        <v>2.5</v>
      </c>
      <c r="D16" s="39">
        <f t="shared" si="3"/>
        <v>0</v>
      </c>
      <c r="E16" s="39">
        <f t="shared" si="18"/>
        <v>0</v>
      </c>
      <c r="F16" s="11" t="s">
        <v>0</v>
      </c>
      <c r="G16" s="40">
        <f t="shared" si="19"/>
        <v>2018</v>
      </c>
      <c r="H16" s="40">
        <f t="shared" si="20"/>
        <v>2019</v>
      </c>
      <c r="I16" s="2"/>
      <c r="J16" s="41"/>
      <c r="K16" s="2"/>
      <c r="L16" s="18">
        <f t="shared" si="0"/>
        <v>0</v>
      </c>
      <c r="M16" s="2"/>
      <c r="N16" s="49"/>
      <c r="O16" s="2"/>
      <c r="P16" s="189"/>
      <c r="Q16" s="48">
        <f t="shared" si="21"/>
        <v>722500</v>
      </c>
      <c r="R16" s="48">
        <f t="shared" si="4"/>
        <v>0</v>
      </c>
      <c r="S16" s="156">
        <f t="shared" si="22"/>
        <v>722500</v>
      </c>
      <c r="T16" s="42"/>
      <c r="U16" s="43"/>
      <c r="V16" s="42"/>
      <c r="W16" s="43"/>
      <c r="X16" s="42"/>
      <c r="Y16" s="41">
        <f t="shared" si="5"/>
        <v>722500</v>
      </c>
      <c r="Z16" s="18"/>
      <c r="AA16" s="18">
        <f t="shared" si="6"/>
        <v>1.0759407227100535</v>
      </c>
      <c r="AB16" s="18"/>
      <c r="AC16" s="48">
        <f t="shared" si="7"/>
        <v>722500</v>
      </c>
      <c r="AD16" s="42"/>
      <c r="AE16" s="43">
        <f t="shared" si="23"/>
        <v>-333650.5</v>
      </c>
      <c r="AF16" s="42"/>
      <c r="AG16" s="41">
        <f t="shared" si="8"/>
        <v>388849.5</v>
      </c>
      <c r="AH16" s="18"/>
      <c r="AI16" s="18">
        <f t="shared" si="9"/>
        <v>0.57907129696255077</v>
      </c>
      <c r="AJ16" s="18"/>
      <c r="AK16" s="40">
        <f t="shared" si="10"/>
        <v>2019</v>
      </c>
      <c r="AL16" s="2"/>
      <c r="AM16" s="39">
        <f t="shared" si="11"/>
        <v>671505395</v>
      </c>
      <c r="AN16" s="47">
        <f>AN15</f>
        <v>0</v>
      </c>
      <c r="AO16" s="94">
        <f t="shared" si="12"/>
        <v>0</v>
      </c>
      <c r="AP16" s="94">
        <f t="shared" si="24"/>
        <v>722500</v>
      </c>
      <c r="AQ16" s="41">
        <f t="shared" si="13"/>
        <v>0</v>
      </c>
      <c r="AR16" s="94"/>
      <c r="AS16" s="94">
        <f t="shared" si="14"/>
        <v>722500</v>
      </c>
      <c r="AU16" s="40">
        <f t="shared" si="15"/>
        <v>2018</v>
      </c>
      <c r="AV16" s="40">
        <f t="shared" si="15"/>
        <v>2019</v>
      </c>
      <c r="AX16" s="131"/>
      <c r="AY16" s="131">
        <f t="shared" si="16"/>
        <v>0</v>
      </c>
      <c r="AZ16" s="131">
        <f t="shared" si="25"/>
        <v>722500</v>
      </c>
      <c r="BA16" s="131">
        <f t="shared" si="17"/>
        <v>722500</v>
      </c>
      <c r="BB16" s="131">
        <f t="shared" si="1"/>
        <v>722500</v>
      </c>
    </row>
    <row r="17" spans="1:54">
      <c r="A17" s="37">
        <f t="shared" ref="A17:A33" si="26">A16</f>
        <v>4.2500000000000003E-2</v>
      </c>
      <c r="B17" s="37">
        <f t="shared" si="2"/>
        <v>0</v>
      </c>
      <c r="C17" s="38">
        <f>+C16+1</f>
        <v>3.5</v>
      </c>
      <c r="D17" s="39">
        <f t="shared" si="3"/>
        <v>0</v>
      </c>
      <c r="E17" s="39">
        <f t="shared" si="18"/>
        <v>0</v>
      </c>
      <c r="F17" s="11" t="s">
        <v>0</v>
      </c>
      <c r="G17" s="40">
        <f t="shared" si="19"/>
        <v>2019</v>
      </c>
      <c r="H17" s="40">
        <f t="shared" si="20"/>
        <v>2020</v>
      </c>
      <c r="I17" s="2"/>
      <c r="J17" s="41"/>
      <c r="K17" s="2"/>
      <c r="L17" s="18">
        <f t="shared" si="0"/>
        <v>0</v>
      </c>
      <c r="M17" s="2"/>
      <c r="N17" s="49"/>
      <c r="O17" s="2"/>
      <c r="P17" s="189"/>
      <c r="Q17" s="48">
        <f t="shared" si="21"/>
        <v>722500</v>
      </c>
      <c r="R17" s="48">
        <f t="shared" si="4"/>
        <v>0</v>
      </c>
      <c r="S17" s="156">
        <f t="shared" si="22"/>
        <v>722500</v>
      </c>
      <c r="T17" s="42"/>
      <c r="U17" s="43"/>
      <c r="V17" s="42"/>
      <c r="W17" s="43"/>
      <c r="X17" s="42"/>
      <c r="Y17" s="41">
        <f t="shared" si="5"/>
        <v>722500</v>
      </c>
      <c r="Z17" s="18"/>
      <c r="AA17" s="18">
        <f t="shared" si="6"/>
        <v>1.0759407227100535</v>
      </c>
      <c r="AB17" s="18"/>
      <c r="AC17" s="48">
        <f t="shared" si="7"/>
        <v>722500</v>
      </c>
      <c r="AD17" s="42"/>
      <c r="AE17" s="43">
        <f t="shared" si="23"/>
        <v>-333650.5</v>
      </c>
      <c r="AF17" s="42"/>
      <c r="AG17" s="41">
        <f>J17+S17+AE17</f>
        <v>388849.5</v>
      </c>
      <c r="AH17" s="18"/>
      <c r="AI17" s="18">
        <f t="shared" si="9"/>
        <v>0.57907129696255077</v>
      </c>
      <c r="AJ17" s="18"/>
      <c r="AK17" s="40">
        <f t="shared" si="10"/>
        <v>2020</v>
      </c>
      <c r="AL17" s="2"/>
      <c r="AM17" s="39">
        <f t="shared" si="11"/>
        <v>671505395</v>
      </c>
      <c r="AN17" s="47">
        <f t="shared" ref="AN17:AN33" si="27">+AN16</f>
        <v>0</v>
      </c>
      <c r="AO17" s="94">
        <f t="shared" si="12"/>
        <v>0</v>
      </c>
      <c r="AP17" s="94">
        <f t="shared" si="24"/>
        <v>722500</v>
      </c>
      <c r="AQ17" s="41">
        <f t="shared" si="13"/>
        <v>0</v>
      </c>
      <c r="AR17" s="94"/>
      <c r="AS17" s="94">
        <f t="shared" si="14"/>
        <v>722500</v>
      </c>
      <c r="AU17" s="40">
        <f t="shared" si="15"/>
        <v>2019</v>
      </c>
      <c r="AV17" s="40">
        <f t="shared" si="15"/>
        <v>2020</v>
      </c>
      <c r="AX17" s="131"/>
      <c r="AY17" s="131">
        <f t="shared" si="16"/>
        <v>0</v>
      </c>
      <c r="AZ17" s="131">
        <f t="shared" si="25"/>
        <v>722500</v>
      </c>
      <c r="BA17" s="131">
        <f t="shared" si="17"/>
        <v>722500</v>
      </c>
      <c r="BB17" s="131">
        <f t="shared" si="1"/>
        <v>722500</v>
      </c>
    </row>
    <row r="18" spans="1:54">
      <c r="A18" s="37">
        <f t="shared" si="26"/>
        <v>4.2500000000000003E-2</v>
      </c>
      <c r="B18" s="37">
        <f t="shared" si="2"/>
        <v>0</v>
      </c>
      <c r="C18" s="38">
        <f>+C17+1</f>
        <v>4.5</v>
      </c>
      <c r="D18" s="39">
        <f t="shared" si="3"/>
        <v>0</v>
      </c>
      <c r="E18" s="39">
        <f t="shared" si="18"/>
        <v>0</v>
      </c>
      <c r="F18" s="11" t="s">
        <v>0</v>
      </c>
      <c r="G18" s="40">
        <f t="shared" si="19"/>
        <v>2020</v>
      </c>
      <c r="H18" s="40">
        <f t="shared" si="20"/>
        <v>2021</v>
      </c>
      <c r="I18" s="2"/>
      <c r="J18" s="41"/>
      <c r="K18" s="2"/>
      <c r="L18" s="18">
        <f t="shared" si="0"/>
        <v>0</v>
      </c>
      <c r="M18" s="2"/>
      <c r="N18" s="49"/>
      <c r="O18" s="2"/>
      <c r="P18" s="189"/>
      <c r="Q18" s="48">
        <f t="shared" si="21"/>
        <v>722500</v>
      </c>
      <c r="R18" s="48">
        <f t="shared" si="4"/>
        <v>0</v>
      </c>
      <c r="S18" s="156">
        <f t="shared" si="22"/>
        <v>722500</v>
      </c>
      <c r="T18" s="42"/>
      <c r="U18" s="43"/>
      <c r="V18" s="42"/>
      <c r="W18" s="43"/>
      <c r="X18" s="42"/>
      <c r="Y18" s="41">
        <f t="shared" si="5"/>
        <v>722500</v>
      </c>
      <c r="Z18" s="18"/>
      <c r="AA18" s="18">
        <f t="shared" si="6"/>
        <v>1.0759407227100535</v>
      </c>
      <c r="AB18" s="18"/>
      <c r="AC18" s="48">
        <f t="shared" si="7"/>
        <v>722500</v>
      </c>
      <c r="AD18" s="42"/>
      <c r="AE18" s="43">
        <f t="shared" si="23"/>
        <v>-333650.5</v>
      </c>
      <c r="AF18" s="42"/>
      <c r="AG18" s="41">
        <f t="shared" ref="AG18:AG34" si="28">J18+S18+AE18</f>
        <v>388849.5</v>
      </c>
      <c r="AH18" s="18"/>
      <c r="AI18" s="18">
        <f t="shared" si="9"/>
        <v>0.57907129696255077</v>
      </c>
      <c r="AJ18" s="18"/>
      <c r="AK18" s="40">
        <f t="shared" si="10"/>
        <v>2021</v>
      </c>
      <c r="AL18" s="2"/>
      <c r="AM18" s="39">
        <f t="shared" si="11"/>
        <v>671505395</v>
      </c>
      <c r="AN18" s="47">
        <f t="shared" si="27"/>
        <v>0</v>
      </c>
      <c r="AO18" s="94">
        <f t="shared" si="12"/>
        <v>0</v>
      </c>
      <c r="AP18" s="94">
        <f t="shared" si="24"/>
        <v>722500</v>
      </c>
      <c r="AQ18" s="41">
        <f t="shared" si="13"/>
        <v>0</v>
      </c>
      <c r="AR18" s="94"/>
      <c r="AS18" s="94">
        <f t="shared" si="14"/>
        <v>722500</v>
      </c>
      <c r="AU18" s="40">
        <f t="shared" si="15"/>
        <v>2020</v>
      </c>
      <c r="AV18" s="40">
        <f t="shared" si="15"/>
        <v>2021</v>
      </c>
      <c r="AX18" s="131"/>
      <c r="AY18" s="131">
        <f t="shared" si="16"/>
        <v>0</v>
      </c>
      <c r="AZ18" s="131">
        <f t="shared" si="25"/>
        <v>722500</v>
      </c>
      <c r="BA18" s="131">
        <f t="shared" si="17"/>
        <v>722500</v>
      </c>
      <c r="BB18" s="131">
        <f t="shared" si="1"/>
        <v>722500</v>
      </c>
    </row>
    <row r="19" spans="1:54">
      <c r="A19" s="37">
        <f t="shared" si="26"/>
        <v>4.2500000000000003E-2</v>
      </c>
      <c r="B19" s="37">
        <f t="shared" si="2"/>
        <v>0</v>
      </c>
      <c r="C19" s="38">
        <f t="shared" ref="C19:C33" si="29">+C18+1</f>
        <v>5.5</v>
      </c>
      <c r="D19" s="39">
        <f t="shared" si="3"/>
        <v>0</v>
      </c>
      <c r="E19" s="39">
        <f t="shared" si="18"/>
        <v>0</v>
      </c>
      <c r="F19" s="11" t="s">
        <v>0</v>
      </c>
      <c r="G19" s="40">
        <f t="shared" si="19"/>
        <v>2021</v>
      </c>
      <c r="H19" s="40">
        <f t="shared" si="20"/>
        <v>2022</v>
      </c>
      <c r="I19" s="2"/>
      <c r="J19" s="41"/>
      <c r="K19" s="2"/>
      <c r="L19" s="18">
        <f t="shared" si="0"/>
        <v>0</v>
      </c>
      <c r="M19" s="2"/>
      <c r="N19" s="49"/>
      <c r="O19" s="2"/>
      <c r="P19" s="189"/>
      <c r="Q19" s="48">
        <f t="shared" si="21"/>
        <v>722500</v>
      </c>
      <c r="R19" s="48">
        <f t="shared" si="4"/>
        <v>0</v>
      </c>
      <c r="S19" s="156">
        <f t="shared" si="22"/>
        <v>722500</v>
      </c>
      <c r="T19" s="42"/>
      <c r="U19" s="43"/>
      <c r="V19" s="42"/>
      <c r="W19" s="43"/>
      <c r="X19" s="42"/>
      <c r="Y19" s="41">
        <f t="shared" si="5"/>
        <v>722500</v>
      </c>
      <c r="Z19" s="18"/>
      <c r="AA19" s="18">
        <f t="shared" si="6"/>
        <v>1.0759407227100535</v>
      </c>
      <c r="AB19" s="18"/>
      <c r="AC19" s="48">
        <f t="shared" si="7"/>
        <v>722500</v>
      </c>
      <c r="AD19" s="42"/>
      <c r="AE19" s="43">
        <f t="shared" si="23"/>
        <v>-333650.5</v>
      </c>
      <c r="AF19" s="42"/>
      <c r="AG19" s="41">
        <f t="shared" si="28"/>
        <v>388849.5</v>
      </c>
      <c r="AH19" s="18"/>
      <c r="AI19" s="18">
        <f t="shared" si="9"/>
        <v>0.57907129696255077</v>
      </c>
      <c r="AJ19" s="18"/>
      <c r="AK19" s="40">
        <f t="shared" si="10"/>
        <v>2022</v>
      </c>
      <c r="AL19" s="2"/>
      <c r="AM19" s="39">
        <f t="shared" si="11"/>
        <v>671505395</v>
      </c>
      <c r="AN19" s="47">
        <f t="shared" si="27"/>
        <v>0</v>
      </c>
      <c r="AO19" s="94">
        <f t="shared" si="12"/>
        <v>0</v>
      </c>
      <c r="AP19" s="94">
        <f t="shared" si="24"/>
        <v>722500</v>
      </c>
      <c r="AQ19" s="41">
        <f t="shared" si="13"/>
        <v>0</v>
      </c>
      <c r="AR19" s="94"/>
      <c r="AS19" s="94">
        <f t="shared" si="14"/>
        <v>722500</v>
      </c>
      <c r="AU19" s="40">
        <f t="shared" si="15"/>
        <v>2021</v>
      </c>
      <c r="AV19" s="40">
        <f t="shared" si="15"/>
        <v>2022</v>
      </c>
      <c r="AX19" s="131"/>
      <c r="AY19" s="131">
        <f t="shared" si="16"/>
        <v>0</v>
      </c>
      <c r="AZ19" s="131">
        <f t="shared" si="25"/>
        <v>722500</v>
      </c>
      <c r="BA19" s="131">
        <f t="shared" si="17"/>
        <v>722500</v>
      </c>
      <c r="BB19" s="131">
        <f t="shared" si="1"/>
        <v>722500</v>
      </c>
    </row>
    <row r="20" spans="1:54">
      <c r="A20" s="37">
        <f t="shared" si="26"/>
        <v>4.2500000000000003E-2</v>
      </c>
      <c r="B20" s="37">
        <f t="shared" si="2"/>
        <v>0</v>
      </c>
      <c r="C20" s="38">
        <f t="shared" si="29"/>
        <v>6.5</v>
      </c>
      <c r="D20" s="39">
        <f t="shared" si="3"/>
        <v>0</v>
      </c>
      <c r="E20" s="39">
        <f t="shared" si="18"/>
        <v>0</v>
      </c>
      <c r="F20" s="11" t="s">
        <v>0</v>
      </c>
      <c r="G20" s="40">
        <f t="shared" si="19"/>
        <v>2022</v>
      </c>
      <c r="H20" s="40">
        <f t="shared" si="20"/>
        <v>2023</v>
      </c>
      <c r="I20" s="2"/>
      <c r="J20" s="41"/>
      <c r="K20" s="2"/>
      <c r="L20" s="18">
        <f t="shared" si="0"/>
        <v>0</v>
      </c>
      <c r="M20" s="2"/>
      <c r="N20" s="49"/>
      <c r="O20" s="2"/>
      <c r="P20" s="189"/>
      <c r="Q20" s="48">
        <f t="shared" si="21"/>
        <v>722500</v>
      </c>
      <c r="R20" s="48">
        <f t="shared" si="4"/>
        <v>0</v>
      </c>
      <c r="S20" s="156">
        <f t="shared" si="22"/>
        <v>722500</v>
      </c>
      <c r="T20" s="42"/>
      <c r="U20" s="43"/>
      <c r="V20" s="42"/>
      <c r="W20" s="43"/>
      <c r="X20" s="42"/>
      <c r="Y20" s="41">
        <f t="shared" si="5"/>
        <v>722500</v>
      </c>
      <c r="Z20" s="18"/>
      <c r="AA20" s="18">
        <f t="shared" si="6"/>
        <v>1.0759407227100535</v>
      </c>
      <c r="AB20" s="18"/>
      <c r="AC20" s="48">
        <f t="shared" si="7"/>
        <v>722500</v>
      </c>
      <c r="AD20" s="42"/>
      <c r="AE20" s="43">
        <f t="shared" si="23"/>
        <v>-333650.5</v>
      </c>
      <c r="AF20" s="42"/>
      <c r="AG20" s="41">
        <f t="shared" si="28"/>
        <v>388849.5</v>
      </c>
      <c r="AH20" s="18"/>
      <c r="AI20" s="18">
        <f t="shared" si="9"/>
        <v>0.57907129696255077</v>
      </c>
      <c r="AJ20" s="18"/>
      <c r="AK20" s="40">
        <f t="shared" si="10"/>
        <v>2023</v>
      </c>
      <c r="AL20" s="2"/>
      <c r="AM20" s="39">
        <f t="shared" si="11"/>
        <v>671505395</v>
      </c>
      <c r="AN20" s="47">
        <f t="shared" si="27"/>
        <v>0</v>
      </c>
      <c r="AO20" s="94">
        <f t="shared" si="12"/>
        <v>0</v>
      </c>
      <c r="AP20" s="94">
        <f t="shared" si="24"/>
        <v>722500</v>
      </c>
      <c r="AQ20" s="41">
        <f t="shared" si="13"/>
        <v>0</v>
      </c>
      <c r="AR20" s="94"/>
      <c r="AS20" s="94">
        <f t="shared" si="14"/>
        <v>722500</v>
      </c>
      <c r="AU20" s="40">
        <f t="shared" si="15"/>
        <v>2022</v>
      </c>
      <c r="AV20" s="40">
        <f t="shared" si="15"/>
        <v>2023</v>
      </c>
      <c r="AX20" s="131"/>
      <c r="AY20" s="131">
        <f t="shared" si="16"/>
        <v>0</v>
      </c>
      <c r="AZ20" s="131">
        <f t="shared" si="25"/>
        <v>722500</v>
      </c>
      <c r="BA20" s="131">
        <f t="shared" si="17"/>
        <v>722500</v>
      </c>
      <c r="BB20" s="131">
        <f t="shared" si="1"/>
        <v>722500</v>
      </c>
    </row>
    <row r="21" spans="1:54">
      <c r="A21" s="37">
        <f t="shared" si="26"/>
        <v>4.2500000000000003E-2</v>
      </c>
      <c r="B21" s="37">
        <f t="shared" si="2"/>
        <v>0</v>
      </c>
      <c r="C21" s="38">
        <f t="shared" si="29"/>
        <v>7.5</v>
      </c>
      <c r="D21" s="39">
        <f t="shared" si="3"/>
        <v>0</v>
      </c>
      <c r="E21" s="39">
        <f t="shared" si="18"/>
        <v>0</v>
      </c>
      <c r="F21" s="11" t="s">
        <v>0</v>
      </c>
      <c r="G21" s="40">
        <f t="shared" si="19"/>
        <v>2023</v>
      </c>
      <c r="H21" s="40">
        <f t="shared" si="20"/>
        <v>2024</v>
      </c>
      <c r="I21" s="2"/>
      <c r="J21" s="41"/>
      <c r="K21" s="2"/>
      <c r="L21" s="18">
        <f t="shared" si="0"/>
        <v>0</v>
      </c>
      <c r="M21" s="2"/>
      <c r="N21" s="49"/>
      <c r="O21" s="2"/>
      <c r="P21" s="189"/>
      <c r="Q21" s="48">
        <f t="shared" si="21"/>
        <v>722500</v>
      </c>
      <c r="R21" s="48">
        <f t="shared" si="4"/>
        <v>0</v>
      </c>
      <c r="S21" s="156">
        <f t="shared" si="22"/>
        <v>722500</v>
      </c>
      <c r="T21" s="42"/>
      <c r="U21" s="43"/>
      <c r="V21" s="42"/>
      <c r="W21" s="43"/>
      <c r="X21" s="42"/>
      <c r="Y21" s="41">
        <f t="shared" si="5"/>
        <v>722500</v>
      </c>
      <c r="Z21" s="18"/>
      <c r="AA21" s="18">
        <f t="shared" si="6"/>
        <v>1.0759407227100535</v>
      </c>
      <c r="AB21" s="18"/>
      <c r="AC21" s="48">
        <f t="shared" si="7"/>
        <v>722500</v>
      </c>
      <c r="AD21" s="42"/>
      <c r="AE21" s="43">
        <f t="shared" si="23"/>
        <v>-333650.5</v>
      </c>
      <c r="AF21" s="42"/>
      <c r="AG21" s="41">
        <f t="shared" si="28"/>
        <v>388849.5</v>
      </c>
      <c r="AH21" s="18"/>
      <c r="AI21" s="18">
        <f t="shared" si="9"/>
        <v>0.57907129696255077</v>
      </c>
      <c r="AJ21" s="18"/>
      <c r="AK21" s="40">
        <f t="shared" si="10"/>
        <v>2024</v>
      </c>
      <c r="AL21" s="2"/>
      <c r="AM21" s="39">
        <f t="shared" si="11"/>
        <v>671505395</v>
      </c>
      <c r="AN21" s="47">
        <f t="shared" si="27"/>
        <v>0</v>
      </c>
      <c r="AO21" s="94">
        <f t="shared" si="12"/>
        <v>0</v>
      </c>
      <c r="AP21" s="94">
        <f t="shared" si="24"/>
        <v>722500</v>
      </c>
      <c r="AQ21" s="41">
        <f t="shared" si="13"/>
        <v>0</v>
      </c>
      <c r="AR21" s="94"/>
      <c r="AS21" s="94">
        <f t="shared" si="14"/>
        <v>722500</v>
      </c>
      <c r="AU21" s="40">
        <f t="shared" si="15"/>
        <v>2023</v>
      </c>
      <c r="AV21" s="40">
        <f t="shared" si="15"/>
        <v>2024</v>
      </c>
      <c r="AX21" s="131"/>
      <c r="AY21" s="131">
        <f t="shared" si="16"/>
        <v>0</v>
      </c>
      <c r="AZ21" s="131">
        <f t="shared" si="25"/>
        <v>722500</v>
      </c>
      <c r="BA21" s="131">
        <f t="shared" si="17"/>
        <v>722500</v>
      </c>
      <c r="BB21" s="131">
        <f t="shared" si="1"/>
        <v>722500</v>
      </c>
    </row>
    <row r="22" spans="1:54">
      <c r="A22" s="37">
        <f t="shared" si="26"/>
        <v>4.2500000000000003E-2</v>
      </c>
      <c r="B22" s="37">
        <f t="shared" si="2"/>
        <v>0</v>
      </c>
      <c r="C22" s="38">
        <f t="shared" si="29"/>
        <v>8.5</v>
      </c>
      <c r="D22" s="39">
        <f t="shared" si="3"/>
        <v>0</v>
      </c>
      <c r="E22" s="39">
        <f t="shared" si="18"/>
        <v>0</v>
      </c>
      <c r="F22" s="11" t="s">
        <v>0</v>
      </c>
      <c r="G22" s="40">
        <f t="shared" si="19"/>
        <v>2024</v>
      </c>
      <c r="H22" s="40">
        <f t="shared" si="20"/>
        <v>2025</v>
      </c>
      <c r="I22" s="2"/>
      <c r="J22" s="41"/>
      <c r="K22" s="2"/>
      <c r="L22" s="18">
        <f t="shared" si="0"/>
        <v>0</v>
      </c>
      <c r="M22" s="2"/>
      <c r="N22" s="49"/>
      <c r="O22" s="2"/>
      <c r="P22" s="189"/>
      <c r="Q22" s="48">
        <f t="shared" si="21"/>
        <v>722500</v>
      </c>
      <c r="R22" s="48">
        <f t="shared" si="4"/>
        <v>0</v>
      </c>
      <c r="S22" s="156">
        <f t="shared" si="22"/>
        <v>722500</v>
      </c>
      <c r="T22" s="42"/>
      <c r="U22" s="43"/>
      <c r="V22" s="42"/>
      <c r="W22" s="43"/>
      <c r="X22" s="42"/>
      <c r="Y22" s="41">
        <f t="shared" si="5"/>
        <v>722500</v>
      </c>
      <c r="Z22" s="18"/>
      <c r="AA22" s="18">
        <f t="shared" si="6"/>
        <v>1.0759407227100535</v>
      </c>
      <c r="AB22" s="18"/>
      <c r="AC22" s="48">
        <f t="shared" si="7"/>
        <v>722500</v>
      </c>
      <c r="AD22" s="42"/>
      <c r="AE22" s="43">
        <f t="shared" si="23"/>
        <v>-333650.5</v>
      </c>
      <c r="AF22" s="42"/>
      <c r="AG22" s="41">
        <f t="shared" si="28"/>
        <v>388849.5</v>
      </c>
      <c r="AH22" s="18"/>
      <c r="AI22" s="18">
        <f t="shared" si="9"/>
        <v>0.57907129696255077</v>
      </c>
      <c r="AJ22" s="18"/>
      <c r="AK22" s="40">
        <f t="shared" si="10"/>
        <v>2025</v>
      </c>
      <c r="AL22" s="2"/>
      <c r="AM22" s="39">
        <f t="shared" si="11"/>
        <v>671505395</v>
      </c>
      <c r="AN22" s="47">
        <f t="shared" si="27"/>
        <v>0</v>
      </c>
      <c r="AO22" s="94">
        <f t="shared" si="12"/>
        <v>0</v>
      </c>
      <c r="AP22" s="94">
        <f t="shared" si="24"/>
        <v>722500</v>
      </c>
      <c r="AQ22" s="41">
        <f t="shared" si="13"/>
        <v>0</v>
      </c>
      <c r="AR22" s="94"/>
      <c r="AS22" s="94">
        <f t="shared" si="14"/>
        <v>722500</v>
      </c>
      <c r="AU22" s="40">
        <f t="shared" si="15"/>
        <v>2024</v>
      </c>
      <c r="AV22" s="40">
        <f t="shared" si="15"/>
        <v>2025</v>
      </c>
      <c r="AX22" s="131"/>
      <c r="AY22" s="131">
        <f t="shared" si="16"/>
        <v>0</v>
      </c>
      <c r="AZ22" s="131">
        <f t="shared" si="25"/>
        <v>722500</v>
      </c>
      <c r="BA22" s="131">
        <f t="shared" si="17"/>
        <v>722500</v>
      </c>
      <c r="BB22" s="131">
        <f t="shared" si="1"/>
        <v>722500</v>
      </c>
    </row>
    <row r="23" spans="1:54">
      <c r="A23" s="37">
        <f t="shared" si="26"/>
        <v>4.2500000000000003E-2</v>
      </c>
      <c r="B23" s="37">
        <f t="shared" si="2"/>
        <v>0</v>
      </c>
      <c r="C23" s="38">
        <f t="shared" si="29"/>
        <v>9.5</v>
      </c>
      <c r="D23" s="39">
        <f t="shared" si="3"/>
        <v>0</v>
      </c>
      <c r="E23" s="39">
        <f t="shared" si="18"/>
        <v>0</v>
      </c>
      <c r="F23" s="11" t="s">
        <v>0</v>
      </c>
      <c r="G23" s="40">
        <f t="shared" si="19"/>
        <v>2025</v>
      </c>
      <c r="H23" s="40">
        <f t="shared" si="20"/>
        <v>2026</v>
      </c>
      <c r="I23" s="2"/>
      <c r="J23" s="41"/>
      <c r="K23" s="2"/>
      <c r="L23" s="18">
        <f t="shared" si="0"/>
        <v>0</v>
      </c>
      <c r="M23" s="2"/>
      <c r="N23" s="41"/>
      <c r="O23" s="2"/>
      <c r="P23" s="189"/>
      <c r="Q23" s="48">
        <f t="shared" si="21"/>
        <v>722500</v>
      </c>
      <c r="R23" s="48">
        <f t="shared" si="4"/>
        <v>0</v>
      </c>
      <c r="S23" s="156">
        <f t="shared" si="22"/>
        <v>722500</v>
      </c>
      <c r="T23" s="42"/>
      <c r="U23" s="43"/>
      <c r="V23" s="42"/>
      <c r="W23" s="43"/>
      <c r="X23" s="42"/>
      <c r="Y23" s="41">
        <f t="shared" si="5"/>
        <v>722500</v>
      </c>
      <c r="Z23" s="18"/>
      <c r="AA23" s="18">
        <f t="shared" si="6"/>
        <v>1.0759407227100535</v>
      </c>
      <c r="AB23" s="18"/>
      <c r="AC23" s="48">
        <f t="shared" si="7"/>
        <v>722500</v>
      </c>
      <c r="AD23" s="42"/>
      <c r="AE23" s="43">
        <f t="shared" si="23"/>
        <v>-333650.5</v>
      </c>
      <c r="AF23" s="42"/>
      <c r="AG23" s="41">
        <f t="shared" si="28"/>
        <v>388849.5</v>
      </c>
      <c r="AH23" s="18"/>
      <c r="AI23" s="18">
        <f t="shared" si="9"/>
        <v>0.57907129696255077</v>
      </c>
      <c r="AJ23" s="18"/>
      <c r="AK23" s="40">
        <f t="shared" si="10"/>
        <v>2026</v>
      </c>
      <c r="AL23" s="2"/>
      <c r="AM23" s="39">
        <f t="shared" si="11"/>
        <v>671505395</v>
      </c>
      <c r="AN23" s="47">
        <f t="shared" si="27"/>
        <v>0</v>
      </c>
      <c r="AO23" s="94">
        <f t="shared" si="12"/>
        <v>0</v>
      </c>
      <c r="AP23" s="94">
        <f t="shared" si="24"/>
        <v>722500</v>
      </c>
      <c r="AQ23" s="41">
        <f t="shared" si="13"/>
        <v>0</v>
      </c>
      <c r="AR23" s="94"/>
      <c r="AS23" s="94">
        <f t="shared" si="14"/>
        <v>722500</v>
      </c>
      <c r="AU23" s="40">
        <f t="shared" si="15"/>
        <v>2025</v>
      </c>
      <c r="AV23" s="40">
        <f t="shared" si="15"/>
        <v>2026</v>
      </c>
      <c r="AX23" s="131"/>
      <c r="AY23" s="131">
        <f t="shared" si="16"/>
        <v>0</v>
      </c>
      <c r="AZ23" s="131">
        <f t="shared" si="25"/>
        <v>722500</v>
      </c>
      <c r="BA23" s="131">
        <f t="shared" si="17"/>
        <v>722500</v>
      </c>
      <c r="BB23" s="131">
        <f t="shared" si="1"/>
        <v>722500</v>
      </c>
    </row>
    <row r="24" spans="1:54">
      <c r="A24" s="37">
        <f t="shared" si="26"/>
        <v>4.2500000000000003E-2</v>
      </c>
      <c r="B24" s="37">
        <f t="shared" si="2"/>
        <v>0</v>
      </c>
      <c r="C24" s="38">
        <f t="shared" si="29"/>
        <v>10.5</v>
      </c>
      <c r="D24" s="39">
        <f t="shared" si="3"/>
        <v>0</v>
      </c>
      <c r="E24" s="39">
        <f t="shared" si="18"/>
        <v>0</v>
      </c>
      <c r="F24" s="11" t="s">
        <v>0</v>
      </c>
      <c r="G24" s="40">
        <f t="shared" si="19"/>
        <v>2026</v>
      </c>
      <c r="H24" s="40">
        <f t="shared" si="20"/>
        <v>2027</v>
      </c>
      <c r="I24" s="2"/>
      <c r="J24" s="41"/>
      <c r="K24" s="2"/>
      <c r="L24" s="18">
        <f t="shared" si="0"/>
        <v>0</v>
      </c>
      <c r="M24" s="2"/>
      <c r="N24" s="41"/>
      <c r="O24" s="2"/>
      <c r="P24" s="189"/>
      <c r="Q24" s="48">
        <f t="shared" si="21"/>
        <v>722500</v>
      </c>
      <c r="R24" s="48">
        <f t="shared" si="4"/>
        <v>0</v>
      </c>
      <c r="S24" s="156">
        <f t="shared" si="22"/>
        <v>722500</v>
      </c>
      <c r="T24" s="42"/>
      <c r="U24" s="43"/>
      <c r="V24" s="42"/>
      <c r="W24" s="43"/>
      <c r="X24" s="42"/>
      <c r="Y24" s="41">
        <f t="shared" si="5"/>
        <v>722500</v>
      </c>
      <c r="Z24" s="18"/>
      <c r="AA24" s="18">
        <f t="shared" si="6"/>
        <v>1.0759407227100535</v>
      </c>
      <c r="AB24" s="18"/>
      <c r="AC24" s="48">
        <f t="shared" si="7"/>
        <v>722500</v>
      </c>
      <c r="AD24" s="42"/>
      <c r="AE24" s="43">
        <f t="shared" si="23"/>
        <v>-333650.5</v>
      </c>
      <c r="AF24" s="42"/>
      <c r="AG24" s="41">
        <f t="shared" si="28"/>
        <v>388849.5</v>
      </c>
      <c r="AH24" s="18"/>
      <c r="AI24" s="18">
        <f t="shared" si="9"/>
        <v>0.57907129696255077</v>
      </c>
      <c r="AJ24" s="18"/>
      <c r="AK24" s="40">
        <f t="shared" si="10"/>
        <v>2027</v>
      </c>
      <c r="AL24" s="2"/>
      <c r="AM24" s="39">
        <f t="shared" si="11"/>
        <v>671505395</v>
      </c>
      <c r="AN24" s="47">
        <f t="shared" si="27"/>
        <v>0</v>
      </c>
      <c r="AO24" s="94">
        <f t="shared" si="12"/>
        <v>0</v>
      </c>
      <c r="AP24" s="94">
        <f t="shared" si="24"/>
        <v>722500</v>
      </c>
      <c r="AQ24" s="41">
        <f t="shared" si="13"/>
        <v>0</v>
      </c>
      <c r="AR24" s="94"/>
      <c r="AS24" s="94">
        <f t="shared" si="14"/>
        <v>722500</v>
      </c>
      <c r="AU24" s="40">
        <f t="shared" si="15"/>
        <v>2026</v>
      </c>
      <c r="AV24" s="40">
        <f t="shared" si="15"/>
        <v>2027</v>
      </c>
      <c r="AX24" s="131"/>
      <c r="AY24" s="131">
        <f t="shared" si="16"/>
        <v>0</v>
      </c>
      <c r="AZ24" s="131">
        <f t="shared" si="25"/>
        <v>722500</v>
      </c>
      <c r="BA24" s="131">
        <f t="shared" si="17"/>
        <v>722500</v>
      </c>
      <c r="BB24" s="131">
        <f t="shared" si="1"/>
        <v>722500</v>
      </c>
    </row>
    <row r="25" spans="1:54">
      <c r="A25" s="37">
        <f t="shared" si="26"/>
        <v>4.2500000000000003E-2</v>
      </c>
      <c r="B25" s="37">
        <f t="shared" si="2"/>
        <v>0</v>
      </c>
      <c r="C25" s="38">
        <f t="shared" si="29"/>
        <v>11.5</v>
      </c>
      <c r="D25" s="39">
        <f t="shared" si="3"/>
        <v>0</v>
      </c>
      <c r="E25" s="39">
        <f t="shared" si="18"/>
        <v>0</v>
      </c>
      <c r="F25" s="11" t="s">
        <v>0</v>
      </c>
      <c r="G25" s="40">
        <f t="shared" si="19"/>
        <v>2027</v>
      </c>
      <c r="H25" s="40">
        <f t="shared" si="20"/>
        <v>2028</v>
      </c>
      <c r="I25" s="2"/>
      <c r="J25" s="41"/>
      <c r="K25" s="2"/>
      <c r="L25" s="18">
        <f t="shared" si="0"/>
        <v>0</v>
      </c>
      <c r="M25" s="2"/>
      <c r="N25" s="41"/>
      <c r="O25" s="2"/>
      <c r="P25" s="189"/>
      <c r="Q25" s="48">
        <f t="shared" si="21"/>
        <v>722500</v>
      </c>
      <c r="R25" s="48">
        <f t="shared" si="4"/>
        <v>0</v>
      </c>
      <c r="S25" s="156">
        <f t="shared" si="22"/>
        <v>722500</v>
      </c>
      <c r="T25" s="42"/>
      <c r="U25" s="43"/>
      <c r="V25" s="42"/>
      <c r="W25" s="43"/>
      <c r="X25" s="42"/>
      <c r="Y25" s="41">
        <f t="shared" si="5"/>
        <v>722500</v>
      </c>
      <c r="Z25" s="18"/>
      <c r="AA25" s="18">
        <f t="shared" si="6"/>
        <v>1.0759407227100535</v>
      </c>
      <c r="AB25" s="18"/>
      <c r="AC25" s="48">
        <f t="shared" si="7"/>
        <v>722500</v>
      </c>
      <c r="AD25" s="42"/>
      <c r="AE25" s="43">
        <f t="shared" si="23"/>
        <v>-333650.5</v>
      </c>
      <c r="AF25" s="42"/>
      <c r="AG25" s="41">
        <f t="shared" si="28"/>
        <v>388849.5</v>
      </c>
      <c r="AH25" s="18"/>
      <c r="AI25" s="18">
        <f t="shared" si="9"/>
        <v>0.57907129696255077</v>
      </c>
      <c r="AJ25" s="18"/>
      <c r="AK25" s="40">
        <f t="shared" si="10"/>
        <v>2028</v>
      </c>
      <c r="AL25" s="2"/>
      <c r="AM25" s="39">
        <f t="shared" si="11"/>
        <v>671505395</v>
      </c>
      <c r="AN25" s="47">
        <f t="shared" si="27"/>
        <v>0</v>
      </c>
      <c r="AO25" s="94">
        <f t="shared" si="12"/>
        <v>0</v>
      </c>
      <c r="AP25" s="94">
        <f t="shared" si="24"/>
        <v>722500</v>
      </c>
      <c r="AQ25" s="41">
        <f t="shared" si="13"/>
        <v>0</v>
      </c>
      <c r="AR25" s="94"/>
      <c r="AS25" s="94">
        <f t="shared" si="14"/>
        <v>722500</v>
      </c>
      <c r="AU25" s="40">
        <f t="shared" si="15"/>
        <v>2027</v>
      </c>
      <c r="AV25" s="40">
        <f t="shared" si="15"/>
        <v>2028</v>
      </c>
      <c r="AX25" s="131"/>
      <c r="AY25" s="131">
        <f t="shared" si="16"/>
        <v>0</v>
      </c>
      <c r="AZ25" s="131">
        <f t="shared" si="25"/>
        <v>722500</v>
      </c>
      <c r="BA25" s="131">
        <f t="shared" si="17"/>
        <v>722500</v>
      </c>
      <c r="BB25" s="131">
        <f t="shared" si="1"/>
        <v>722500</v>
      </c>
    </row>
    <row r="26" spans="1:54">
      <c r="A26" s="37">
        <f t="shared" si="26"/>
        <v>4.2500000000000003E-2</v>
      </c>
      <c r="B26" s="37">
        <f t="shared" si="2"/>
        <v>0</v>
      </c>
      <c r="C26" s="38">
        <f t="shared" si="29"/>
        <v>12.5</v>
      </c>
      <c r="D26" s="39">
        <f t="shared" si="3"/>
        <v>0</v>
      </c>
      <c r="E26" s="39">
        <f t="shared" si="18"/>
        <v>0</v>
      </c>
      <c r="F26" s="11" t="s">
        <v>0</v>
      </c>
      <c r="G26" s="40">
        <f t="shared" si="19"/>
        <v>2028</v>
      </c>
      <c r="H26" s="40">
        <f t="shared" si="20"/>
        <v>2029</v>
      </c>
      <c r="I26" s="2"/>
      <c r="J26" s="41"/>
      <c r="K26" s="2"/>
      <c r="L26" s="18">
        <f t="shared" si="0"/>
        <v>0</v>
      </c>
      <c r="M26" s="2"/>
      <c r="N26" s="41"/>
      <c r="O26" s="2"/>
      <c r="P26" s="189"/>
      <c r="Q26" s="48">
        <f t="shared" si="21"/>
        <v>722500</v>
      </c>
      <c r="R26" s="48">
        <f t="shared" si="4"/>
        <v>0</v>
      </c>
      <c r="S26" s="156">
        <f t="shared" si="22"/>
        <v>722500</v>
      </c>
      <c r="T26" s="42"/>
      <c r="U26" s="43"/>
      <c r="V26" s="42"/>
      <c r="W26" s="43"/>
      <c r="X26" s="42"/>
      <c r="Y26" s="41">
        <f t="shared" si="5"/>
        <v>722500</v>
      </c>
      <c r="Z26" s="18"/>
      <c r="AA26" s="18">
        <f t="shared" si="6"/>
        <v>1.0759407227100535</v>
      </c>
      <c r="AB26" s="18"/>
      <c r="AC26" s="48">
        <f t="shared" si="7"/>
        <v>722500</v>
      </c>
      <c r="AD26" s="42"/>
      <c r="AE26" s="43">
        <f t="shared" si="23"/>
        <v>-333650.5</v>
      </c>
      <c r="AF26" s="42"/>
      <c r="AG26" s="41">
        <f t="shared" si="28"/>
        <v>388849.5</v>
      </c>
      <c r="AH26" s="18"/>
      <c r="AI26" s="18">
        <f t="shared" si="9"/>
        <v>0.57907129696255077</v>
      </c>
      <c r="AJ26" s="18"/>
      <c r="AK26" s="40">
        <f t="shared" si="10"/>
        <v>2029</v>
      </c>
      <c r="AL26" s="2"/>
      <c r="AM26" s="39">
        <f t="shared" si="11"/>
        <v>671505395</v>
      </c>
      <c r="AN26" s="47">
        <f t="shared" si="27"/>
        <v>0</v>
      </c>
      <c r="AO26" s="94">
        <f t="shared" si="12"/>
        <v>0</v>
      </c>
      <c r="AP26" s="94">
        <f t="shared" si="24"/>
        <v>722500</v>
      </c>
      <c r="AQ26" s="41">
        <f t="shared" si="13"/>
        <v>0</v>
      </c>
      <c r="AR26" s="94"/>
      <c r="AS26" s="94">
        <f t="shared" si="14"/>
        <v>722500</v>
      </c>
      <c r="AU26" s="40">
        <f t="shared" si="15"/>
        <v>2028</v>
      </c>
      <c r="AV26" s="40">
        <f t="shared" si="15"/>
        <v>2029</v>
      </c>
      <c r="AX26" s="131"/>
      <c r="AY26" s="131">
        <f t="shared" si="16"/>
        <v>0</v>
      </c>
      <c r="AZ26" s="131">
        <f t="shared" si="25"/>
        <v>722500</v>
      </c>
      <c r="BA26" s="131">
        <f t="shared" si="17"/>
        <v>722500</v>
      </c>
      <c r="BB26" s="131">
        <f t="shared" si="1"/>
        <v>722500</v>
      </c>
    </row>
    <row r="27" spans="1:54">
      <c r="A27" s="37">
        <f t="shared" si="26"/>
        <v>4.2500000000000003E-2</v>
      </c>
      <c r="B27" s="37">
        <f t="shared" si="2"/>
        <v>0</v>
      </c>
      <c r="C27" s="38">
        <f t="shared" si="29"/>
        <v>13.5</v>
      </c>
      <c r="D27" s="39">
        <f t="shared" si="3"/>
        <v>0</v>
      </c>
      <c r="E27" s="39">
        <f t="shared" si="18"/>
        <v>0</v>
      </c>
      <c r="F27" s="11" t="s">
        <v>0</v>
      </c>
      <c r="G27" s="40">
        <f t="shared" si="19"/>
        <v>2029</v>
      </c>
      <c r="H27" s="40">
        <f t="shared" si="20"/>
        <v>2030</v>
      </c>
      <c r="I27" s="2"/>
      <c r="J27" s="41"/>
      <c r="K27" s="2"/>
      <c r="L27" s="18">
        <f t="shared" si="0"/>
        <v>0</v>
      </c>
      <c r="M27" s="2"/>
      <c r="N27" s="41"/>
      <c r="O27" s="2"/>
      <c r="P27" s="189"/>
      <c r="Q27" s="48">
        <f t="shared" si="21"/>
        <v>722500</v>
      </c>
      <c r="R27" s="48">
        <f t="shared" si="4"/>
        <v>0</v>
      </c>
      <c r="S27" s="156">
        <f t="shared" si="22"/>
        <v>722500</v>
      </c>
      <c r="T27" s="42"/>
      <c r="U27" s="43"/>
      <c r="V27" s="42"/>
      <c r="W27" s="43"/>
      <c r="X27" s="42"/>
      <c r="Y27" s="41">
        <f t="shared" si="5"/>
        <v>722500</v>
      </c>
      <c r="Z27" s="18"/>
      <c r="AA27" s="18">
        <f t="shared" si="6"/>
        <v>1.0759407227100535</v>
      </c>
      <c r="AB27" s="18"/>
      <c r="AC27" s="48">
        <f t="shared" si="7"/>
        <v>722500</v>
      </c>
      <c r="AD27" s="42"/>
      <c r="AE27" s="43">
        <f t="shared" si="23"/>
        <v>-333650.5</v>
      </c>
      <c r="AF27" s="42"/>
      <c r="AG27" s="41">
        <f t="shared" si="28"/>
        <v>388849.5</v>
      </c>
      <c r="AH27" s="18"/>
      <c r="AI27" s="18">
        <f t="shared" si="9"/>
        <v>0.57907129696255077</v>
      </c>
      <c r="AJ27" s="18"/>
      <c r="AK27" s="40">
        <f t="shared" si="10"/>
        <v>2030</v>
      </c>
      <c r="AL27" s="2"/>
      <c r="AM27" s="39">
        <f t="shared" si="11"/>
        <v>671505395</v>
      </c>
      <c r="AN27" s="47">
        <f t="shared" si="27"/>
        <v>0</v>
      </c>
      <c r="AO27" s="94">
        <f t="shared" si="12"/>
        <v>0</v>
      </c>
      <c r="AP27" s="94">
        <f t="shared" si="24"/>
        <v>722500</v>
      </c>
      <c r="AQ27" s="41">
        <f t="shared" si="13"/>
        <v>0</v>
      </c>
      <c r="AR27" s="94"/>
      <c r="AS27" s="94">
        <f t="shared" si="14"/>
        <v>722500</v>
      </c>
      <c r="AU27" s="40">
        <f t="shared" si="15"/>
        <v>2029</v>
      </c>
      <c r="AV27" s="40">
        <f t="shared" si="15"/>
        <v>2030</v>
      </c>
      <c r="AX27" s="131"/>
      <c r="AY27" s="131">
        <f t="shared" si="16"/>
        <v>0</v>
      </c>
      <c r="AZ27" s="131">
        <f t="shared" si="25"/>
        <v>722500</v>
      </c>
      <c r="BA27" s="131">
        <f t="shared" si="17"/>
        <v>722500</v>
      </c>
      <c r="BB27" s="131">
        <f t="shared" si="1"/>
        <v>722500</v>
      </c>
    </row>
    <row r="28" spans="1:54">
      <c r="A28" s="37">
        <f t="shared" si="26"/>
        <v>4.2500000000000003E-2</v>
      </c>
      <c r="B28" s="37">
        <f t="shared" si="2"/>
        <v>0</v>
      </c>
      <c r="C28" s="38">
        <f t="shared" si="29"/>
        <v>14.5</v>
      </c>
      <c r="D28" s="39">
        <f t="shared" si="3"/>
        <v>0</v>
      </c>
      <c r="E28" s="39">
        <f t="shared" si="18"/>
        <v>0</v>
      </c>
      <c r="F28" s="11" t="s">
        <v>0</v>
      </c>
      <c r="G28" s="40">
        <f t="shared" si="19"/>
        <v>2030</v>
      </c>
      <c r="H28" s="40">
        <f t="shared" si="20"/>
        <v>2031</v>
      </c>
      <c r="I28" s="2"/>
      <c r="J28" s="41"/>
      <c r="K28" s="2"/>
      <c r="L28" s="18">
        <f t="shared" si="0"/>
        <v>0</v>
      </c>
      <c r="M28" s="2"/>
      <c r="N28" s="41"/>
      <c r="O28" s="2"/>
      <c r="P28" s="189"/>
      <c r="Q28" s="48">
        <f t="shared" si="21"/>
        <v>722500</v>
      </c>
      <c r="R28" s="48">
        <f t="shared" si="4"/>
        <v>0</v>
      </c>
      <c r="S28" s="156">
        <f t="shared" si="22"/>
        <v>722500</v>
      </c>
      <c r="T28" s="42"/>
      <c r="U28" s="43"/>
      <c r="V28" s="42"/>
      <c r="W28" s="43"/>
      <c r="X28" s="42"/>
      <c r="Y28" s="41">
        <f t="shared" si="5"/>
        <v>722500</v>
      </c>
      <c r="Z28" s="18"/>
      <c r="AA28" s="18">
        <f t="shared" si="6"/>
        <v>1.0759407227100535</v>
      </c>
      <c r="AB28" s="18"/>
      <c r="AC28" s="48">
        <f t="shared" si="7"/>
        <v>722500</v>
      </c>
      <c r="AD28" s="42"/>
      <c r="AE28" s="43">
        <f t="shared" si="23"/>
        <v>-333650.5</v>
      </c>
      <c r="AF28" s="42"/>
      <c r="AG28" s="41">
        <f t="shared" si="28"/>
        <v>388849.5</v>
      </c>
      <c r="AH28" s="18"/>
      <c r="AI28" s="18">
        <f t="shared" si="9"/>
        <v>0.57907129696255077</v>
      </c>
      <c r="AJ28" s="18"/>
      <c r="AK28" s="40">
        <f t="shared" si="10"/>
        <v>2031</v>
      </c>
      <c r="AL28" s="2"/>
      <c r="AM28" s="39">
        <f t="shared" si="11"/>
        <v>671505395</v>
      </c>
      <c r="AN28" s="47">
        <f t="shared" si="27"/>
        <v>0</v>
      </c>
      <c r="AO28" s="94">
        <f t="shared" si="12"/>
        <v>0</v>
      </c>
      <c r="AP28" s="94">
        <f t="shared" si="24"/>
        <v>722500</v>
      </c>
      <c r="AQ28" s="41">
        <f t="shared" si="13"/>
        <v>0</v>
      </c>
      <c r="AR28" s="94"/>
      <c r="AS28" s="94">
        <f t="shared" si="14"/>
        <v>722500</v>
      </c>
      <c r="AU28" s="40">
        <f t="shared" si="15"/>
        <v>2030</v>
      </c>
      <c r="AV28" s="40">
        <f t="shared" si="15"/>
        <v>2031</v>
      </c>
      <c r="AX28" s="131"/>
      <c r="AY28" s="131">
        <f t="shared" si="16"/>
        <v>0</v>
      </c>
      <c r="AZ28" s="131">
        <f t="shared" si="25"/>
        <v>722500</v>
      </c>
      <c r="BA28" s="131">
        <f t="shared" si="17"/>
        <v>722500</v>
      </c>
      <c r="BB28" s="131">
        <f t="shared" si="1"/>
        <v>722500</v>
      </c>
    </row>
    <row r="29" spans="1:54">
      <c r="A29" s="37">
        <f t="shared" si="26"/>
        <v>4.2500000000000003E-2</v>
      </c>
      <c r="B29" s="37">
        <f t="shared" si="2"/>
        <v>0</v>
      </c>
      <c r="C29" s="38">
        <f t="shared" si="29"/>
        <v>15.5</v>
      </c>
      <c r="D29" s="39">
        <f t="shared" si="3"/>
        <v>0</v>
      </c>
      <c r="E29" s="39">
        <f t="shared" si="18"/>
        <v>0</v>
      </c>
      <c r="F29" s="11" t="s">
        <v>0</v>
      </c>
      <c r="G29" s="40">
        <f t="shared" si="19"/>
        <v>2031</v>
      </c>
      <c r="H29" s="40">
        <f t="shared" si="20"/>
        <v>2032</v>
      </c>
      <c r="I29" s="2"/>
      <c r="J29" s="41"/>
      <c r="K29" s="2"/>
      <c r="L29" s="18">
        <f t="shared" si="0"/>
        <v>0</v>
      </c>
      <c r="M29" s="2"/>
      <c r="N29" s="41"/>
      <c r="O29" s="2"/>
      <c r="P29" s="189"/>
      <c r="Q29" s="48">
        <f t="shared" si="21"/>
        <v>722500</v>
      </c>
      <c r="R29" s="48">
        <f t="shared" si="4"/>
        <v>0</v>
      </c>
      <c r="S29" s="156">
        <f t="shared" si="22"/>
        <v>722500</v>
      </c>
      <c r="T29" s="42"/>
      <c r="U29" s="43"/>
      <c r="V29" s="42"/>
      <c r="W29" s="43"/>
      <c r="X29" s="42"/>
      <c r="Y29" s="41">
        <f t="shared" si="5"/>
        <v>722500</v>
      </c>
      <c r="Z29" s="18"/>
      <c r="AA29" s="18">
        <f t="shared" si="6"/>
        <v>1.0759407227100535</v>
      </c>
      <c r="AB29" s="18"/>
      <c r="AC29" s="48">
        <f t="shared" si="7"/>
        <v>722500</v>
      </c>
      <c r="AD29" s="42"/>
      <c r="AE29" s="43">
        <f t="shared" si="23"/>
        <v>-333650.5</v>
      </c>
      <c r="AF29" s="42"/>
      <c r="AG29" s="41">
        <f t="shared" si="28"/>
        <v>388849.5</v>
      </c>
      <c r="AH29" s="18"/>
      <c r="AI29" s="18">
        <f t="shared" si="9"/>
        <v>0.57907129696255077</v>
      </c>
      <c r="AJ29" s="50"/>
      <c r="AK29" s="40">
        <f t="shared" si="10"/>
        <v>2032</v>
      </c>
      <c r="AL29" s="2"/>
      <c r="AM29" s="39">
        <f t="shared" si="11"/>
        <v>671505395</v>
      </c>
      <c r="AN29" s="47">
        <f t="shared" si="27"/>
        <v>0</v>
      </c>
      <c r="AO29" s="94">
        <f t="shared" si="12"/>
        <v>0</v>
      </c>
      <c r="AP29" s="94">
        <f t="shared" si="24"/>
        <v>722500</v>
      </c>
      <c r="AQ29" s="41">
        <f t="shared" si="13"/>
        <v>0</v>
      </c>
      <c r="AR29" s="94"/>
      <c r="AS29" s="94">
        <f t="shared" si="14"/>
        <v>722500</v>
      </c>
      <c r="AU29" s="40">
        <f t="shared" si="15"/>
        <v>2031</v>
      </c>
      <c r="AV29" s="40">
        <f t="shared" si="15"/>
        <v>2032</v>
      </c>
      <c r="AX29" s="131"/>
      <c r="AY29" s="131">
        <f t="shared" si="16"/>
        <v>0</v>
      </c>
      <c r="AZ29" s="131">
        <f t="shared" si="25"/>
        <v>722500</v>
      </c>
      <c r="BA29" s="131">
        <f t="shared" si="17"/>
        <v>722500</v>
      </c>
      <c r="BB29" s="131">
        <f t="shared" si="1"/>
        <v>722500</v>
      </c>
    </row>
    <row r="30" spans="1:54">
      <c r="A30" s="37">
        <f t="shared" si="26"/>
        <v>4.2500000000000003E-2</v>
      </c>
      <c r="B30" s="37">
        <f t="shared" si="2"/>
        <v>0</v>
      </c>
      <c r="C30" s="38">
        <f t="shared" si="29"/>
        <v>16.5</v>
      </c>
      <c r="D30" s="39">
        <f t="shared" si="3"/>
        <v>0</v>
      </c>
      <c r="E30" s="39">
        <f t="shared" si="18"/>
        <v>0</v>
      </c>
      <c r="F30" s="11" t="s">
        <v>0</v>
      </c>
      <c r="G30" s="40">
        <f t="shared" si="19"/>
        <v>2032</v>
      </c>
      <c r="H30" s="40">
        <f t="shared" si="20"/>
        <v>2033</v>
      </c>
      <c r="I30" s="2"/>
      <c r="J30" s="41"/>
      <c r="K30" s="2"/>
      <c r="L30" s="18">
        <f t="shared" si="0"/>
        <v>0</v>
      </c>
      <c r="M30" s="2"/>
      <c r="N30" s="41"/>
      <c r="O30" s="2"/>
      <c r="P30" s="189"/>
      <c r="Q30" s="48">
        <f t="shared" si="21"/>
        <v>722500</v>
      </c>
      <c r="R30" s="48">
        <f t="shared" si="4"/>
        <v>0</v>
      </c>
      <c r="S30" s="156">
        <f t="shared" si="22"/>
        <v>722500</v>
      </c>
      <c r="T30" s="51"/>
      <c r="U30" s="43"/>
      <c r="V30" s="51"/>
      <c r="W30" s="43"/>
      <c r="X30" s="51"/>
      <c r="Y30" s="41">
        <f t="shared" si="5"/>
        <v>722500</v>
      </c>
      <c r="Z30" s="50"/>
      <c r="AA30" s="18">
        <f t="shared" si="6"/>
        <v>1.0759407227100535</v>
      </c>
      <c r="AB30" s="18"/>
      <c r="AC30" s="48">
        <f t="shared" si="7"/>
        <v>722500</v>
      </c>
      <c r="AD30" s="51"/>
      <c r="AE30" s="43">
        <f t="shared" si="23"/>
        <v>-333650.5</v>
      </c>
      <c r="AF30" s="51"/>
      <c r="AG30" s="41">
        <f t="shared" si="28"/>
        <v>388849.5</v>
      </c>
      <c r="AH30" s="18"/>
      <c r="AI30" s="18">
        <f t="shared" si="9"/>
        <v>0.57907129696255077</v>
      </c>
      <c r="AJ30" s="52"/>
      <c r="AK30" s="40">
        <f t="shared" si="10"/>
        <v>2033</v>
      </c>
      <c r="AL30" s="2"/>
      <c r="AM30" s="39">
        <f t="shared" si="11"/>
        <v>671505395</v>
      </c>
      <c r="AN30" s="47">
        <f t="shared" si="27"/>
        <v>0</v>
      </c>
      <c r="AO30" s="94">
        <f t="shared" si="12"/>
        <v>0</v>
      </c>
      <c r="AP30" s="94">
        <f t="shared" si="24"/>
        <v>722500</v>
      </c>
      <c r="AQ30" s="41">
        <f t="shared" si="13"/>
        <v>0</v>
      </c>
      <c r="AR30" s="94"/>
      <c r="AS30" s="94">
        <f t="shared" si="14"/>
        <v>722500</v>
      </c>
      <c r="AU30" s="40">
        <f t="shared" si="15"/>
        <v>2032</v>
      </c>
      <c r="AV30" s="40">
        <f t="shared" si="15"/>
        <v>2033</v>
      </c>
      <c r="AX30" s="131"/>
      <c r="AY30" s="131">
        <f t="shared" si="16"/>
        <v>0</v>
      </c>
      <c r="AZ30" s="131">
        <f t="shared" si="25"/>
        <v>722500</v>
      </c>
      <c r="BA30" s="131">
        <f t="shared" si="17"/>
        <v>722500</v>
      </c>
      <c r="BB30" s="131">
        <f t="shared" si="1"/>
        <v>722500</v>
      </c>
    </row>
    <row r="31" spans="1:54">
      <c r="A31" s="37">
        <f t="shared" si="26"/>
        <v>4.2500000000000003E-2</v>
      </c>
      <c r="B31" s="37">
        <f t="shared" si="2"/>
        <v>0</v>
      </c>
      <c r="C31" s="38">
        <f t="shared" si="29"/>
        <v>17.5</v>
      </c>
      <c r="D31" s="39">
        <f t="shared" si="3"/>
        <v>0</v>
      </c>
      <c r="E31" s="39">
        <f t="shared" si="18"/>
        <v>0</v>
      </c>
      <c r="F31" s="11" t="s">
        <v>0</v>
      </c>
      <c r="G31" s="40">
        <f t="shared" si="19"/>
        <v>2033</v>
      </c>
      <c r="H31" s="40">
        <f t="shared" si="20"/>
        <v>2034</v>
      </c>
      <c r="I31" s="2"/>
      <c r="J31" s="41"/>
      <c r="K31" s="2"/>
      <c r="L31" s="18">
        <f t="shared" si="0"/>
        <v>0</v>
      </c>
      <c r="M31" s="2"/>
      <c r="N31" s="41"/>
      <c r="O31" s="2"/>
      <c r="P31" s="189"/>
      <c r="Q31" s="48">
        <f t="shared" si="21"/>
        <v>722500</v>
      </c>
      <c r="R31" s="48">
        <f t="shared" si="4"/>
        <v>0</v>
      </c>
      <c r="S31" s="156">
        <f t="shared" si="22"/>
        <v>722500</v>
      </c>
      <c r="T31" s="53"/>
      <c r="U31" s="43"/>
      <c r="V31" s="53"/>
      <c r="W31" s="43"/>
      <c r="X31" s="53"/>
      <c r="Y31" s="41">
        <f t="shared" si="5"/>
        <v>722500</v>
      </c>
      <c r="Z31" s="52"/>
      <c r="AA31" s="18">
        <f t="shared" si="6"/>
        <v>1.0759407227100535</v>
      </c>
      <c r="AB31" s="54"/>
      <c r="AC31" s="48">
        <f t="shared" si="7"/>
        <v>722500</v>
      </c>
      <c r="AD31" s="53"/>
      <c r="AE31" s="43">
        <f t="shared" si="23"/>
        <v>-333650.5</v>
      </c>
      <c r="AF31" s="53"/>
      <c r="AG31" s="41">
        <f t="shared" si="28"/>
        <v>388849.5</v>
      </c>
      <c r="AH31" s="54"/>
      <c r="AI31" s="18">
        <f t="shared" si="9"/>
        <v>0.57907129696255077</v>
      </c>
      <c r="AJ31" s="52"/>
      <c r="AK31" s="40">
        <f t="shared" si="10"/>
        <v>2034</v>
      </c>
      <c r="AL31" s="2"/>
      <c r="AM31" s="39">
        <f t="shared" si="11"/>
        <v>671505395</v>
      </c>
      <c r="AN31" s="47">
        <f t="shared" si="27"/>
        <v>0</v>
      </c>
      <c r="AO31" s="94">
        <f t="shared" si="12"/>
        <v>0</v>
      </c>
      <c r="AP31" s="94">
        <f t="shared" si="24"/>
        <v>722500</v>
      </c>
      <c r="AQ31" s="41">
        <f t="shared" si="13"/>
        <v>0</v>
      </c>
      <c r="AR31" s="94"/>
      <c r="AS31" s="94">
        <f t="shared" si="14"/>
        <v>722500</v>
      </c>
      <c r="AU31" s="40">
        <f t="shared" si="15"/>
        <v>2033</v>
      </c>
      <c r="AV31" s="40">
        <f t="shared" si="15"/>
        <v>2034</v>
      </c>
      <c r="AX31" s="131"/>
      <c r="AY31" s="131">
        <f t="shared" si="16"/>
        <v>0</v>
      </c>
      <c r="AZ31" s="131">
        <f t="shared" si="25"/>
        <v>722500</v>
      </c>
      <c r="BA31" s="131">
        <f t="shared" si="17"/>
        <v>722500</v>
      </c>
      <c r="BB31" s="131">
        <f t="shared" si="1"/>
        <v>722500</v>
      </c>
    </row>
    <row r="32" spans="1:54">
      <c r="A32" s="37">
        <f t="shared" si="26"/>
        <v>4.2500000000000003E-2</v>
      </c>
      <c r="B32" s="37">
        <f t="shared" si="2"/>
        <v>0</v>
      </c>
      <c r="C32" s="38">
        <f t="shared" si="29"/>
        <v>18.5</v>
      </c>
      <c r="D32" s="39">
        <f t="shared" si="3"/>
        <v>0</v>
      </c>
      <c r="E32" s="39">
        <f t="shared" si="18"/>
        <v>0</v>
      </c>
      <c r="F32" s="11" t="s">
        <v>0</v>
      </c>
      <c r="G32" s="40">
        <f t="shared" si="19"/>
        <v>2034</v>
      </c>
      <c r="H32" s="40">
        <f t="shared" si="20"/>
        <v>2035</v>
      </c>
      <c r="I32" s="2"/>
      <c r="J32" s="41"/>
      <c r="K32" s="2"/>
      <c r="L32" s="18">
        <f t="shared" si="0"/>
        <v>0</v>
      </c>
      <c r="M32" s="2"/>
      <c r="N32" s="41"/>
      <c r="O32" s="2"/>
      <c r="P32" s="189"/>
      <c r="Q32" s="48">
        <f t="shared" si="21"/>
        <v>722500</v>
      </c>
      <c r="R32" s="48">
        <f t="shared" si="4"/>
        <v>0</v>
      </c>
      <c r="S32" s="156">
        <f t="shared" si="22"/>
        <v>722500</v>
      </c>
      <c r="T32" s="53"/>
      <c r="U32" s="43"/>
      <c r="V32" s="53"/>
      <c r="W32" s="43"/>
      <c r="X32" s="53"/>
      <c r="Y32" s="41">
        <f t="shared" si="5"/>
        <v>722500</v>
      </c>
      <c r="Z32" s="52"/>
      <c r="AA32" s="18">
        <f t="shared" si="6"/>
        <v>1.0759407227100535</v>
      </c>
      <c r="AB32" s="54"/>
      <c r="AC32" s="48">
        <f t="shared" si="7"/>
        <v>722500</v>
      </c>
      <c r="AD32" s="53"/>
      <c r="AE32" s="43">
        <f t="shared" si="23"/>
        <v>-333650.5</v>
      </c>
      <c r="AF32" s="53"/>
      <c r="AG32" s="41">
        <f t="shared" si="28"/>
        <v>388849.5</v>
      </c>
      <c r="AH32" s="54"/>
      <c r="AI32" s="18">
        <f t="shared" si="9"/>
        <v>0.57907129696255077</v>
      </c>
      <c r="AJ32" s="52"/>
      <c r="AK32" s="40">
        <f t="shared" si="10"/>
        <v>2035</v>
      </c>
      <c r="AL32" s="2"/>
      <c r="AM32" s="39">
        <f t="shared" si="11"/>
        <v>671505395</v>
      </c>
      <c r="AN32" s="47">
        <f t="shared" si="27"/>
        <v>0</v>
      </c>
      <c r="AO32" s="94">
        <f t="shared" si="12"/>
        <v>0</v>
      </c>
      <c r="AP32" s="94">
        <f t="shared" si="24"/>
        <v>722500</v>
      </c>
      <c r="AQ32" s="41">
        <f t="shared" si="13"/>
        <v>0</v>
      </c>
      <c r="AR32" s="94"/>
      <c r="AS32" s="94">
        <f t="shared" si="14"/>
        <v>722500</v>
      </c>
      <c r="AU32" s="40">
        <f t="shared" si="15"/>
        <v>2034</v>
      </c>
      <c r="AV32" s="40">
        <f t="shared" si="15"/>
        <v>2035</v>
      </c>
      <c r="AX32" s="131"/>
      <c r="AY32" s="131">
        <f t="shared" si="16"/>
        <v>0</v>
      </c>
      <c r="AZ32" s="131">
        <f t="shared" si="25"/>
        <v>722500</v>
      </c>
      <c r="BA32" s="131">
        <f t="shared" si="17"/>
        <v>722500</v>
      </c>
      <c r="BB32" s="131">
        <f t="shared" si="1"/>
        <v>722500</v>
      </c>
    </row>
    <row r="33" spans="1:54">
      <c r="A33" s="37">
        <f t="shared" si="26"/>
        <v>4.2500000000000003E-2</v>
      </c>
      <c r="B33" s="37">
        <f t="shared" si="2"/>
        <v>0</v>
      </c>
      <c r="C33" s="38">
        <f t="shared" si="29"/>
        <v>19.5</v>
      </c>
      <c r="D33" s="39">
        <f t="shared" si="3"/>
        <v>331500</v>
      </c>
      <c r="E33" s="39">
        <f t="shared" si="18"/>
        <v>14088750.000000002</v>
      </c>
      <c r="F33" s="11" t="s">
        <v>0</v>
      </c>
      <c r="G33" s="40">
        <f t="shared" si="19"/>
        <v>2035</v>
      </c>
      <c r="H33" s="40">
        <f t="shared" si="20"/>
        <v>2036</v>
      </c>
      <c r="I33" s="2"/>
      <c r="J33" s="2"/>
      <c r="K33" s="2"/>
      <c r="L33" s="18"/>
      <c r="M33" s="2"/>
      <c r="N33" s="41"/>
      <c r="O33" s="2"/>
      <c r="P33" s="189">
        <f>P$5-SUM(P$14:P32)</f>
        <v>17000000</v>
      </c>
      <c r="Q33" s="48">
        <f>(P33*A33/2)+(P34*A34/2+Q34)</f>
        <v>361250</v>
      </c>
      <c r="R33" s="48">
        <f t="shared" si="4"/>
        <v>0</v>
      </c>
      <c r="S33" s="156">
        <f t="shared" si="22"/>
        <v>17361250</v>
      </c>
      <c r="T33" s="53"/>
      <c r="U33" s="43"/>
      <c r="V33" s="53"/>
      <c r="W33" s="43"/>
      <c r="X33" s="53"/>
      <c r="Y33" s="41">
        <f t="shared" si="5"/>
        <v>17361250</v>
      </c>
      <c r="Z33" s="52"/>
      <c r="AA33" s="18">
        <f t="shared" si="6"/>
        <v>25.854222660415111</v>
      </c>
      <c r="AB33" s="54"/>
      <c r="AC33" s="48">
        <f t="shared" si="7"/>
        <v>17361250</v>
      </c>
      <c r="AD33" s="53"/>
      <c r="AE33" s="43">
        <f t="shared" si="23"/>
        <v>-333650.5</v>
      </c>
      <c r="AF33" s="53"/>
      <c r="AG33" s="41">
        <f t="shared" si="28"/>
        <v>17027599.5</v>
      </c>
      <c r="AH33" s="54"/>
      <c r="AI33" s="18">
        <f t="shared" si="9"/>
        <v>25.357353234667606</v>
      </c>
      <c r="AJ33" s="52"/>
      <c r="AK33" s="40">
        <f t="shared" si="10"/>
        <v>2036</v>
      </c>
      <c r="AL33" s="2"/>
      <c r="AM33" s="39">
        <f t="shared" si="11"/>
        <v>671505395</v>
      </c>
      <c r="AN33" s="47">
        <f t="shared" si="27"/>
        <v>0</v>
      </c>
      <c r="AO33" s="94">
        <f t="shared" si="12"/>
        <v>17000000</v>
      </c>
      <c r="AP33" s="94">
        <f t="shared" si="24"/>
        <v>722500</v>
      </c>
      <c r="AQ33" s="41">
        <f t="shared" si="13"/>
        <v>0</v>
      </c>
      <c r="AR33" s="94"/>
      <c r="AS33" s="94">
        <f t="shared" si="14"/>
        <v>17722500</v>
      </c>
      <c r="AU33" s="40">
        <f t="shared" si="15"/>
        <v>2035</v>
      </c>
      <c r="AV33" s="40">
        <f t="shared" si="15"/>
        <v>2036</v>
      </c>
      <c r="AX33" s="131"/>
      <c r="AY33" s="131">
        <f t="shared" si="16"/>
        <v>0</v>
      </c>
      <c r="AZ33" s="131">
        <f t="shared" si="25"/>
        <v>17722500</v>
      </c>
      <c r="BA33" s="131">
        <f t="shared" si="17"/>
        <v>17722500</v>
      </c>
      <c r="BB33" s="131">
        <f t="shared" si="1"/>
        <v>17722500</v>
      </c>
    </row>
    <row r="34" spans="1:54" ht="15" customHeight="1">
      <c r="A34" s="37"/>
      <c r="B34" s="37"/>
      <c r="C34" s="38"/>
      <c r="D34" s="39"/>
      <c r="E34" s="39"/>
      <c r="F34" s="11" t="s">
        <v>0</v>
      </c>
      <c r="G34" s="40">
        <f>+G33+1</f>
        <v>2036</v>
      </c>
      <c r="H34" s="40">
        <f>H33+1</f>
        <v>2037</v>
      </c>
      <c r="I34" s="2"/>
      <c r="J34" s="2"/>
      <c r="K34" s="2"/>
      <c r="L34" s="18"/>
      <c r="M34" s="2"/>
      <c r="N34" s="41"/>
      <c r="O34" s="2"/>
      <c r="P34" s="155"/>
      <c r="Q34" s="48"/>
      <c r="R34" s="53"/>
      <c r="S34" s="156"/>
      <c r="T34" s="53"/>
      <c r="U34" s="43"/>
      <c r="V34" s="53"/>
      <c r="W34" s="43"/>
      <c r="X34" s="53"/>
      <c r="Y34" s="41">
        <f t="shared" si="5"/>
        <v>0</v>
      </c>
      <c r="Z34" s="52"/>
      <c r="AA34" s="18"/>
      <c r="AB34" s="54"/>
      <c r="AC34" s="48"/>
      <c r="AD34" s="53"/>
      <c r="AE34" s="43">
        <f t="shared" si="23"/>
        <v>-8184250.5</v>
      </c>
      <c r="AF34" s="53"/>
      <c r="AG34" s="41">
        <f t="shared" si="28"/>
        <v>-8184250.5</v>
      </c>
      <c r="AH34" s="54"/>
      <c r="AI34" s="18"/>
      <c r="AJ34" s="52"/>
      <c r="AK34" s="40">
        <f t="shared" si="10"/>
        <v>2037</v>
      </c>
      <c r="AL34" s="2"/>
      <c r="AM34" s="39"/>
      <c r="AN34" s="47"/>
      <c r="AO34" s="94"/>
      <c r="AP34" s="94"/>
      <c r="AQ34" s="94"/>
      <c r="AR34" s="94"/>
      <c r="AS34" s="94"/>
      <c r="AU34" s="40">
        <f t="shared" si="15"/>
        <v>2036</v>
      </c>
      <c r="AV34" s="40">
        <f t="shared" si="15"/>
        <v>2037</v>
      </c>
      <c r="AX34" s="131"/>
    </row>
    <row r="35" spans="1:54" ht="15" customHeight="1" thickBot="1">
      <c r="A35" s="37"/>
      <c r="B35" s="37"/>
      <c r="C35" s="38"/>
      <c r="F35" s="11" t="s">
        <v>0</v>
      </c>
      <c r="G35" s="40"/>
      <c r="H35" s="40"/>
      <c r="I35" s="2"/>
      <c r="J35" s="2"/>
      <c r="K35" s="2"/>
      <c r="L35" s="55"/>
      <c r="M35" s="2"/>
      <c r="N35" s="53"/>
      <c r="O35" s="2"/>
      <c r="P35" s="157"/>
      <c r="Q35" s="53"/>
      <c r="R35" s="158"/>
      <c r="S35" s="159"/>
      <c r="T35" s="53"/>
      <c r="U35" s="41"/>
      <c r="V35" s="53"/>
      <c r="W35" s="41"/>
      <c r="X35" s="53"/>
      <c r="Y35" s="53"/>
      <c r="Z35" s="52"/>
      <c r="AA35" s="123" t="s">
        <v>46</v>
      </c>
      <c r="AB35" s="54"/>
      <c r="AC35" s="53"/>
      <c r="AD35" s="53"/>
      <c r="AE35" s="41"/>
      <c r="AF35" s="53"/>
      <c r="AG35" s="41"/>
      <c r="AH35" s="54"/>
      <c r="AI35" s="123" t="s">
        <v>46</v>
      </c>
      <c r="AJ35" s="52"/>
      <c r="AK35" s="40"/>
      <c r="AL35" s="2"/>
      <c r="AO35" s="94"/>
      <c r="AP35" s="94"/>
      <c r="AQ35" s="94"/>
      <c r="AR35" s="94"/>
      <c r="AS35" s="94"/>
      <c r="AU35" s="40"/>
      <c r="AV35" s="40"/>
    </row>
    <row r="36" spans="1:54" ht="15" customHeight="1" thickBot="1">
      <c r="A36" s="37"/>
      <c r="B36" s="37"/>
      <c r="C36" s="38"/>
      <c r="D36" s="56">
        <f>SUM(D13:D35)</f>
        <v>331500</v>
      </c>
      <c r="E36" s="57">
        <f>SUM(E13:E35)</f>
        <v>14088750.000000002</v>
      </c>
      <c r="F36" s="11" t="s">
        <v>0</v>
      </c>
      <c r="G36" s="2"/>
      <c r="H36" s="2"/>
      <c r="I36" s="2"/>
      <c r="J36" s="58">
        <f>SUM(J13:J35)</f>
        <v>0</v>
      </c>
      <c r="K36" s="2"/>
      <c r="L36" s="55"/>
      <c r="M36" s="2"/>
      <c r="N36" s="102">
        <f>SUM(N13:N35)</f>
        <v>0</v>
      </c>
      <c r="O36" s="2"/>
      <c r="P36" s="160">
        <f>SUM(P13:P35)</f>
        <v>17000000</v>
      </c>
      <c r="Q36" s="58">
        <f>SUM(Q13:Q35)</f>
        <v>14088750</v>
      </c>
      <c r="R36" s="58">
        <f>SUM(R13:R35)</f>
        <v>0</v>
      </c>
      <c r="S36" s="161">
        <f>SUM(S13:S35)</f>
        <v>31088750</v>
      </c>
      <c r="T36" s="53"/>
      <c r="U36" s="58">
        <f>SUM(U13:U35)</f>
        <v>0</v>
      </c>
      <c r="V36" s="53"/>
      <c r="W36" s="58">
        <f>SUM(W13:W33)</f>
        <v>0</v>
      </c>
      <c r="X36" s="53"/>
      <c r="Y36" s="58">
        <f>SUM(Y13:Y35)</f>
        <v>31088750</v>
      </c>
      <c r="Z36" s="52"/>
      <c r="AA36" s="124">
        <f>ROUND(AVERAGE(AA14:AA34),2)</f>
        <v>2.31</v>
      </c>
      <c r="AB36" s="54"/>
      <c r="AC36" s="58">
        <f>SUM(AC13:AC35)</f>
        <v>31088750</v>
      </c>
      <c r="AD36" s="53"/>
      <c r="AE36" s="58">
        <f>SUM(AE13:AE35)</f>
        <v>-14356784.75</v>
      </c>
      <c r="AF36" s="53"/>
      <c r="AG36" s="58">
        <f>SUM(AG13:AG35)</f>
        <v>16731965.25</v>
      </c>
      <c r="AH36" s="54"/>
      <c r="AI36" s="124">
        <f>ROUND(AVERAGE(AI14:AI33),2)</f>
        <v>1.86</v>
      </c>
      <c r="AJ36" s="59"/>
      <c r="AK36" s="2"/>
      <c r="AL36" s="59"/>
      <c r="AO36" s="95">
        <f>SUM(AO13:AO35)</f>
        <v>17000000</v>
      </c>
      <c r="AP36" s="95">
        <f>SUM(AP13:AP35)</f>
        <v>14088750</v>
      </c>
      <c r="AQ36" s="95">
        <f>SUM(AQ13:AQ35)</f>
        <v>0</v>
      </c>
      <c r="AR36" s="95">
        <f>SUM(AR13:AR35)</f>
        <v>0</v>
      </c>
      <c r="AS36" s="95">
        <f>SUM(AS13:AS35)</f>
        <v>31088750</v>
      </c>
      <c r="AU36" s="132"/>
      <c r="AV36" s="132"/>
      <c r="AX36" s="95">
        <f>SUM(AX13:AX35)</f>
        <v>0</v>
      </c>
      <c r="AZ36" s="95">
        <f>SUM(AZ13:AZ35)</f>
        <v>31088750</v>
      </c>
      <c r="BA36" s="95">
        <f>SUM(BA13:BA35)</f>
        <v>31088750</v>
      </c>
      <c r="BB36" s="95">
        <f>SUM(BB13:BB35)</f>
        <v>31088750</v>
      </c>
    </row>
    <row r="37" spans="1:54" ht="15" customHeight="1" thickTop="1">
      <c r="A37" s="37"/>
      <c r="B37" s="37"/>
      <c r="C37" s="38"/>
      <c r="D37" s="61" t="s">
        <v>27</v>
      </c>
      <c r="E37" s="62">
        <f>+Q36+R36</f>
        <v>14088750</v>
      </c>
      <c r="F37" s="11" t="s">
        <v>0</v>
      </c>
      <c r="G37" s="2"/>
      <c r="H37" s="2"/>
      <c r="I37" s="2"/>
      <c r="J37" s="2"/>
      <c r="K37" s="2"/>
      <c r="L37" s="59"/>
      <c r="M37" s="2"/>
      <c r="N37" s="59"/>
      <c r="O37" s="2"/>
      <c r="P37" s="162"/>
      <c r="Q37" s="163"/>
      <c r="R37" s="164"/>
      <c r="S37" s="165"/>
      <c r="T37" s="59"/>
      <c r="U37" s="59"/>
      <c r="V37" s="59"/>
      <c r="W37" s="59"/>
      <c r="X37" s="59"/>
      <c r="Y37" s="59"/>
      <c r="Z37" s="59"/>
      <c r="AA37" s="59"/>
      <c r="AB37" s="59"/>
      <c r="AC37" s="168"/>
      <c r="AD37" s="59"/>
      <c r="AE37" s="59"/>
      <c r="AF37" s="59"/>
      <c r="AG37" s="59"/>
      <c r="AH37" s="59"/>
      <c r="AI37" s="59"/>
      <c r="AJ37" s="59"/>
      <c r="AK37" s="2"/>
      <c r="AL37" s="59"/>
      <c r="AO37" s="94"/>
    </row>
    <row r="38" spans="1:54" ht="15" customHeight="1">
      <c r="A38" s="37"/>
      <c r="B38" s="37"/>
      <c r="C38" s="38"/>
      <c r="D38" s="61" t="s">
        <v>28</v>
      </c>
      <c r="E38" s="62">
        <f>AP36+AQ36</f>
        <v>14088750</v>
      </c>
      <c r="F38" s="11" t="s">
        <v>0</v>
      </c>
      <c r="G38" s="2"/>
      <c r="H38" s="2"/>
      <c r="I38" s="2"/>
      <c r="J38" s="2"/>
      <c r="K38" s="2"/>
      <c r="L38" s="59"/>
      <c r="M38" s="2"/>
      <c r="N38" s="59"/>
      <c r="O38" s="2"/>
      <c r="P38" s="59"/>
      <c r="Q38" s="59"/>
      <c r="R38" s="104"/>
      <c r="S38" s="59"/>
      <c r="T38" s="59"/>
      <c r="U38" s="59"/>
      <c r="V38" s="59"/>
      <c r="W38" s="59"/>
      <c r="X38" s="59"/>
      <c r="Y38" s="59"/>
      <c r="Z38" s="59"/>
      <c r="AA38" s="59"/>
      <c r="AB38" s="59"/>
      <c r="AC38" s="59"/>
      <c r="AD38" s="59"/>
      <c r="AE38" s="59"/>
      <c r="AF38" s="59"/>
      <c r="AG38" s="59"/>
      <c r="AH38" s="59"/>
      <c r="AI38" s="59"/>
      <c r="AJ38" s="59"/>
      <c r="AK38" s="2"/>
      <c r="AL38" s="59"/>
      <c r="AO38" s="94"/>
    </row>
    <row r="39" spans="1:54" ht="15" customHeight="1" thickBot="1">
      <c r="A39" s="37"/>
      <c r="B39" s="37"/>
      <c r="D39" s="70" t="s">
        <v>29</v>
      </c>
      <c r="E39" s="71">
        <f>E37/D36/1000</f>
        <v>4.2500000000000003E-2</v>
      </c>
      <c r="F39" s="11" t="s">
        <v>0</v>
      </c>
      <c r="R39" s="73"/>
      <c r="S39" s="64"/>
      <c r="T39" s="64"/>
      <c r="U39" s="64"/>
      <c r="V39" s="64"/>
      <c r="W39" s="64"/>
      <c r="X39" s="64"/>
      <c r="Y39" s="64"/>
      <c r="Z39" s="64"/>
      <c r="AA39" s="67"/>
      <c r="AB39" s="67"/>
      <c r="AC39" s="64"/>
      <c r="AD39" s="64"/>
      <c r="AE39" s="64"/>
      <c r="AF39" s="64"/>
      <c r="AG39" s="67"/>
      <c r="AH39" s="67"/>
      <c r="AI39" s="67"/>
      <c r="AJ39" s="64"/>
      <c r="AL39" s="68"/>
      <c r="AM39" s="68"/>
      <c r="AN39" s="69"/>
      <c r="AO39" s="96"/>
      <c r="AP39" s="97"/>
      <c r="AQ39" s="97"/>
      <c r="AR39" s="97"/>
    </row>
    <row r="40" spans="1:54" ht="15" customHeight="1">
      <c r="A40" s="37"/>
      <c r="B40" s="37"/>
      <c r="F40" s="11" t="s">
        <v>0</v>
      </c>
      <c r="G40" s="105" t="s">
        <v>72</v>
      </c>
      <c r="H40" s="35"/>
      <c r="I40" s="106"/>
      <c r="J40" s="106"/>
      <c r="K40" s="106"/>
      <c r="L40" s="107"/>
      <c r="M40" s="106"/>
      <c r="N40" s="108"/>
      <c r="O40" s="109"/>
      <c r="P40" s="110"/>
      <c r="Q40" s="110"/>
      <c r="R40" s="73"/>
      <c r="S40" s="72"/>
      <c r="T40" s="64"/>
      <c r="V40" s="64"/>
      <c r="X40" s="64"/>
      <c r="Y40" s="64"/>
      <c r="Z40" s="64"/>
      <c r="AA40" s="67"/>
      <c r="AB40" s="67"/>
      <c r="AC40" s="64"/>
      <c r="AD40" s="64"/>
      <c r="AF40" s="64"/>
      <c r="AG40" s="67"/>
      <c r="AH40" s="67"/>
      <c r="AI40" s="67"/>
      <c r="AJ40" s="64"/>
      <c r="AK40" s="35"/>
      <c r="AL40" s="68"/>
      <c r="AM40" s="68"/>
      <c r="AN40" s="69"/>
      <c r="AO40" s="96"/>
      <c r="AP40" s="97"/>
      <c r="AQ40" s="97"/>
      <c r="AR40" s="97"/>
    </row>
    <row r="41" spans="1:54" ht="15" hidden="1" customHeight="1">
      <c r="A41" s="37"/>
      <c r="B41" s="37"/>
      <c r="D41" s="11"/>
      <c r="E41" s="33"/>
      <c r="F41" s="11" t="s">
        <v>0</v>
      </c>
      <c r="H41" s="105" t="s">
        <v>38</v>
      </c>
      <c r="I41" s="106"/>
      <c r="K41" s="106"/>
      <c r="M41" s="106"/>
      <c r="O41" s="109"/>
      <c r="Q41" s="111">
        <v>0</v>
      </c>
      <c r="R41" s="73"/>
      <c r="S41" s="64"/>
      <c r="T41" s="64"/>
      <c r="V41" s="64"/>
      <c r="X41" s="64"/>
      <c r="Y41" s="64"/>
      <c r="Z41" s="64"/>
      <c r="AA41" s="67"/>
      <c r="AB41" s="67"/>
      <c r="AC41" s="64"/>
      <c r="AD41" s="64"/>
      <c r="AF41" s="64"/>
      <c r="AG41" s="67"/>
      <c r="AH41" s="67"/>
      <c r="AI41" s="67"/>
      <c r="AJ41" s="64"/>
      <c r="AK41" s="105"/>
      <c r="AL41" s="68"/>
      <c r="AM41" s="68"/>
      <c r="AN41" s="69"/>
      <c r="AO41" s="96"/>
      <c r="AP41" s="97"/>
      <c r="AQ41" s="97"/>
      <c r="AR41" s="97"/>
    </row>
    <row r="42" spans="1:54" ht="15" hidden="1" customHeight="1">
      <c r="A42" s="37"/>
      <c r="B42" s="37"/>
      <c r="D42" s="11"/>
      <c r="E42" s="33"/>
      <c r="F42" s="11" t="s">
        <v>0</v>
      </c>
      <c r="H42" s="105" t="s">
        <v>39</v>
      </c>
      <c r="I42" s="106"/>
      <c r="K42" s="106"/>
      <c r="M42" s="106"/>
      <c r="O42" s="109"/>
      <c r="Q42" s="108">
        <v>0.72870000000000001</v>
      </c>
      <c r="R42" s="73"/>
      <c r="S42" s="64"/>
      <c r="T42" s="64"/>
      <c r="V42" s="64"/>
      <c r="X42" s="64"/>
      <c r="Y42" s="64"/>
      <c r="Z42" s="64"/>
      <c r="AA42" s="67"/>
      <c r="AB42" s="67"/>
      <c r="AC42" s="64"/>
      <c r="AD42" s="64"/>
      <c r="AF42" s="64"/>
      <c r="AG42" s="67"/>
      <c r="AH42" s="67"/>
      <c r="AI42" s="67"/>
      <c r="AJ42" s="73"/>
      <c r="AK42" s="105"/>
      <c r="AL42" s="68"/>
      <c r="AM42" s="68"/>
      <c r="AN42" s="69"/>
      <c r="AO42" s="96"/>
      <c r="AP42" s="97"/>
      <c r="AQ42" s="97"/>
      <c r="AR42" s="97"/>
    </row>
    <row r="43" spans="1:54" ht="15" customHeight="1">
      <c r="A43" s="37"/>
      <c r="B43" s="1"/>
      <c r="C43" s="38"/>
      <c r="F43" s="11" t="s">
        <v>0</v>
      </c>
      <c r="H43" s="105" t="s">
        <v>40</v>
      </c>
      <c r="I43" s="65"/>
      <c r="K43" s="65"/>
      <c r="M43" s="65"/>
      <c r="O43" s="66"/>
      <c r="Q43" s="108">
        <v>0.46179999999999999</v>
      </c>
      <c r="R43" s="68"/>
      <c r="S43" s="59"/>
      <c r="T43" s="59"/>
      <c r="U43" s="59"/>
      <c r="V43" s="59"/>
      <c r="W43" s="59"/>
      <c r="X43" s="59"/>
      <c r="Y43" s="59"/>
      <c r="Z43" s="59"/>
      <c r="AA43" s="59"/>
      <c r="AB43" s="59"/>
      <c r="AC43" s="59"/>
      <c r="AD43" s="59"/>
      <c r="AE43" s="59"/>
      <c r="AF43" s="59"/>
      <c r="AG43" s="59"/>
      <c r="AH43" s="59"/>
      <c r="AI43" s="59"/>
      <c r="AJ43" s="2"/>
      <c r="AK43" s="105"/>
      <c r="AL43" s="59"/>
      <c r="AO43" s="94"/>
    </row>
    <row r="44" spans="1:54" ht="15" customHeight="1">
      <c r="A44" s="37"/>
      <c r="B44" s="1"/>
      <c r="C44" s="38"/>
      <c r="F44" s="11" t="s">
        <v>0</v>
      </c>
      <c r="G44" s="8" t="str">
        <f>"(B) Mill rate based on "&amp;TEXT(AM8,"0000")&amp;" "&amp;TEXT(AM9,"")&amp;" Valuation (TID-OUT) of "&amp;DOLLAR((AM13),0)&amp;" with annual growth of "&amp;TEXT(AN14,"0.00%")&amp;"."</f>
        <v>(B) Mill rate based on 2015 Estimated Equalized Valuation (TID-OUT) of $671,505,395 with annual growth of 0.00%.</v>
      </c>
      <c r="H44" s="2"/>
      <c r="I44" s="2"/>
      <c r="J44" s="2"/>
      <c r="K44" s="2"/>
      <c r="L44" s="104"/>
      <c r="M44" s="2"/>
      <c r="N44" s="104"/>
      <c r="O44" s="2"/>
      <c r="P44" s="104"/>
      <c r="Q44" s="104"/>
      <c r="R44" s="80"/>
      <c r="S44" s="2"/>
      <c r="T44" s="2"/>
      <c r="U44" s="2"/>
      <c r="V44" s="2"/>
      <c r="W44" s="2"/>
      <c r="X44" s="2"/>
      <c r="Y44" s="2"/>
      <c r="Z44" s="2"/>
      <c r="AA44" s="2"/>
      <c r="AB44" s="2"/>
      <c r="AC44" s="2"/>
      <c r="AD44" s="2"/>
      <c r="AE44" s="2"/>
      <c r="AF44" s="2"/>
      <c r="AG44" s="2"/>
      <c r="AH44" s="2"/>
      <c r="AI44" s="2"/>
      <c r="AJ44" s="64"/>
      <c r="AK44" s="2"/>
      <c r="AL44" s="2"/>
      <c r="AO44" s="94"/>
    </row>
    <row r="45" spans="1:54" ht="15" customHeight="1">
      <c r="A45" s="37"/>
      <c r="B45" s="2"/>
      <c r="D45" s="11"/>
      <c r="E45" s="33"/>
      <c r="F45" s="11" t="s">
        <v>0</v>
      </c>
      <c r="H45" s="74"/>
      <c r="I45" s="75"/>
      <c r="J45" s="75"/>
      <c r="K45" s="75"/>
      <c r="L45" s="76"/>
      <c r="M45" s="75"/>
      <c r="N45" s="73"/>
      <c r="O45" s="75"/>
      <c r="P45" s="73"/>
      <c r="Q45" s="73"/>
      <c r="R45" s="2"/>
      <c r="S45" s="73"/>
      <c r="T45" s="73"/>
      <c r="U45" s="73"/>
      <c r="V45" s="73"/>
      <c r="W45" s="73"/>
      <c r="X45" s="73"/>
      <c r="Y45" s="73"/>
      <c r="Z45" s="73"/>
      <c r="AA45" s="76"/>
      <c r="AB45" s="76"/>
      <c r="AC45" s="73"/>
      <c r="AD45" s="73"/>
      <c r="AE45" s="73"/>
      <c r="AF45" s="73"/>
      <c r="AG45" s="76"/>
      <c r="AH45" s="76"/>
      <c r="AI45" s="76"/>
      <c r="AJ45" s="73"/>
      <c r="AK45" s="74"/>
      <c r="AL45" s="68"/>
      <c r="AM45" s="68"/>
      <c r="AN45" s="69"/>
      <c r="AO45" s="96"/>
      <c r="AP45" s="97"/>
      <c r="AQ45" s="97"/>
      <c r="AR45" s="97"/>
    </row>
    <row r="46" spans="1:54" ht="15" customHeight="1">
      <c r="A46" s="37"/>
      <c r="B46" s="2"/>
      <c r="D46" s="11"/>
      <c r="E46" s="33"/>
      <c r="F46" s="11" t="s">
        <v>0</v>
      </c>
      <c r="H46" s="74"/>
      <c r="I46" s="75"/>
      <c r="J46" s="75"/>
      <c r="K46" s="75"/>
      <c r="L46" s="76"/>
      <c r="M46" s="75"/>
      <c r="N46" s="73"/>
      <c r="O46" s="75"/>
      <c r="P46" s="73"/>
      <c r="Q46" s="73"/>
      <c r="R46" s="2"/>
      <c r="S46" s="73"/>
      <c r="T46" s="73"/>
      <c r="U46" s="73"/>
      <c r="V46" s="73"/>
      <c r="W46" s="73"/>
      <c r="X46" s="73"/>
      <c r="Y46" s="73"/>
      <c r="Z46" s="73"/>
      <c r="AA46" s="76"/>
      <c r="AB46" s="76"/>
      <c r="AC46" s="73"/>
      <c r="AD46" s="73"/>
      <c r="AE46" s="73"/>
      <c r="AF46" s="73"/>
      <c r="AG46" s="76"/>
      <c r="AH46" s="76"/>
      <c r="AI46" s="76"/>
      <c r="AJ46" s="73"/>
      <c r="AK46" s="74"/>
      <c r="AL46" s="68"/>
      <c r="AM46" s="68"/>
      <c r="AN46" s="69"/>
      <c r="AO46" s="96"/>
      <c r="AP46" s="97"/>
      <c r="AQ46" s="97"/>
      <c r="AR46" s="97"/>
    </row>
    <row r="47" spans="1:54" ht="15" customHeight="1">
      <c r="A47" s="37"/>
      <c r="B47" s="2"/>
      <c r="D47" s="11"/>
      <c r="E47" s="33"/>
      <c r="F47" s="11" t="s">
        <v>0</v>
      </c>
      <c r="H47" s="60"/>
      <c r="I47" s="75"/>
      <c r="J47" s="75"/>
      <c r="K47" s="75"/>
      <c r="L47" s="76"/>
      <c r="M47" s="75"/>
      <c r="N47" s="73"/>
      <c r="O47" s="75"/>
      <c r="P47" s="73"/>
      <c r="Q47" s="73"/>
      <c r="R47" s="2"/>
      <c r="S47" s="73"/>
      <c r="T47" s="73"/>
      <c r="U47" s="73"/>
      <c r="V47" s="73"/>
      <c r="W47" s="73"/>
      <c r="X47" s="73"/>
      <c r="Y47" s="73"/>
      <c r="Z47" s="73"/>
      <c r="AA47" s="76"/>
      <c r="AB47" s="76"/>
      <c r="AC47" s="73"/>
      <c r="AD47" s="73"/>
      <c r="AE47" s="73"/>
      <c r="AF47" s="73"/>
      <c r="AG47" s="76"/>
      <c r="AH47" s="76"/>
      <c r="AI47" s="76"/>
      <c r="AJ47" s="73"/>
      <c r="AK47" s="60"/>
      <c r="AL47" s="68"/>
      <c r="AM47" s="68"/>
      <c r="AN47" s="69"/>
      <c r="AO47" s="96"/>
      <c r="AP47" s="97"/>
      <c r="AQ47" s="97"/>
      <c r="AR47" s="97"/>
    </row>
    <row r="48" spans="1:54" ht="15" customHeight="1">
      <c r="A48" s="37"/>
      <c r="B48" s="2"/>
      <c r="D48" s="11"/>
      <c r="E48" s="33"/>
      <c r="F48" s="11" t="s">
        <v>0</v>
      </c>
      <c r="I48" s="75"/>
      <c r="J48" s="75"/>
      <c r="K48" s="75"/>
      <c r="L48" s="76"/>
      <c r="M48" s="75"/>
      <c r="N48" s="73"/>
      <c r="O48" s="75"/>
      <c r="P48" s="73"/>
      <c r="Q48" s="73"/>
      <c r="R48" s="2"/>
      <c r="S48" s="73"/>
      <c r="T48" s="73"/>
      <c r="U48" s="73"/>
      <c r="V48" s="73"/>
      <c r="W48" s="73"/>
      <c r="X48" s="73"/>
      <c r="Y48" s="73"/>
      <c r="Z48" s="73"/>
      <c r="AA48" s="76"/>
      <c r="AB48" s="76"/>
      <c r="AC48" s="73"/>
      <c r="AD48" s="73"/>
      <c r="AE48" s="73"/>
      <c r="AF48" s="73"/>
      <c r="AG48" s="76"/>
      <c r="AH48" s="76"/>
      <c r="AI48" s="76"/>
      <c r="AJ48" s="68"/>
      <c r="AL48" s="68"/>
      <c r="AM48" s="68"/>
      <c r="AN48" s="69"/>
      <c r="AO48" s="96"/>
      <c r="AP48" s="97"/>
      <c r="AQ48" s="97"/>
      <c r="AR48" s="97"/>
    </row>
    <row r="49" spans="1:44" ht="15" customHeight="1">
      <c r="A49" s="1"/>
      <c r="B49" s="2"/>
      <c r="D49" s="2"/>
      <c r="E49" s="77" t="s">
        <v>30</v>
      </c>
      <c r="F49" s="11" t="s">
        <v>0</v>
      </c>
      <c r="H49" s="60"/>
      <c r="I49" s="75"/>
      <c r="J49" s="75"/>
      <c r="K49" s="75"/>
      <c r="L49" s="78"/>
      <c r="M49" s="75"/>
      <c r="N49" s="68"/>
      <c r="O49" s="75"/>
      <c r="P49" s="68"/>
      <c r="Q49" s="68"/>
      <c r="R49" s="2"/>
      <c r="S49" s="68"/>
      <c r="T49" s="68"/>
      <c r="U49" s="68"/>
      <c r="V49" s="68"/>
      <c r="W49" s="68"/>
      <c r="X49" s="68"/>
      <c r="Y49" s="68"/>
      <c r="Z49" s="68"/>
      <c r="AA49" s="78"/>
      <c r="AB49" s="78"/>
      <c r="AC49" s="68"/>
      <c r="AD49" s="68"/>
      <c r="AE49" s="68"/>
      <c r="AF49" s="68"/>
      <c r="AG49" s="78"/>
      <c r="AH49" s="78"/>
      <c r="AI49" s="78"/>
      <c r="AJ49" s="1"/>
      <c r="AK49" s="60"/>
      <c r="AL49" s="68"/>
      <c r="AM49" s="68"/>
      <c r="AN49" s="69"/>
      <c r="AO49" s="97"/>
      <c r="AP49" s="97"/>
      <c r="AQ49" s="97"/>
      <c r="AR49" s="97"/>
    </row>
    <row r="50" spans="1:44" ht="15" customHeight="1">
      <c r="A50" s="1"/>
      <c r="B50" s="2"/>
      <c r="F50" s="11" t="s">
        <v>0</v>
      </c>
      <c r="H50" s="79"/>
      <c r="I50" s="30"/>
      <c r="J50" s="30"/>
      <c r="K50" s="30"/>
      <c r="L50" s="1"/>
      <c r="M50" s="30"/>
      <c r="N50" s="80"/>
      <c r="O50" s="30"/>
      <c r="P50" s="80"/>
      <c r="Q50" s="80"/>
      <c r="R50" s="2"/>
      <c r="S50" s="80"/>
      <c r="T50" s="80"/>
      <c r="U50" s="81"/>
      <c r="W50" s="81"/>
      <c r="Z50" s="1"/>
      <c r="AA50" s="1"/>
      <c r="AB50" s="1"/>
      <c r="AD50" s="80"/>
      <c r="AE50" s="81"/>
      <c r="AG50" s="1"/>
      <c r="AH50" s="1"/>
      <c r="AI50" s="1"/>
      <c r="AJ50" s="2"/>
      <c r="AK50" s="79"/>
    </row>
    <row r="51" spans="1:44" ht="15" customHeight="1">
      <c r="A51" s="2"/>
      <c r="B51" s="2"/>
      <c r="C51" s="38"/>
      <c r="F51" s="11" t="s">
        <v>0</v>
      </c>
      <c r="G51" s="2"/>
      <c r="I51" s="63"/>
      <c r="J51" s="63"/>
      <c r="K51" s="63"/>
      <c r="L51" s="2"/>
      <c r="M51" s="63"/>
      <c r="N51" s="2"/>
      <c r="O51" s="63"/>
      <c r="P51" s="2"/>
      <c r="Q51" s="2"/>
      <c r="R51" s="2"/>
      <c r="S51" s="2"/>
      <c r="T51" s="2"/>
      <c r="U51" s="82"/>
      <c r="V51" s="2"/>
      <c r="W51" s="82"/>
      <c r="X51" s="2"/>
      <c r="Z51" s="2"/>
      <c r="AA51" s="2"/>
      <c r="AB51" s="2"/>
      <c r="AD51" s="2"/>
      <c r="AE51" s="82"/>
      <c r="AF51" s="2"/>
      <c r="AG51" s="2"/>
      <c r="AH51" s="2"/>
      <c r="AI51" s="2"/>
      <c r="AJ51" s="2"/>
      <c r="AL51" s="2"/>
    </row>
    <row r="52" spans="1:44" ht="15" customHeight="1">
      <c r="A52" s="2"/>
      <c r="B52" s="2"/>
      <c r="C52" s="38"/>
      <c r="F52" s="11" t="s">
        <v>0</v>
      </c>
      <c r="G52" s="2"/>
      <c r="I52" s="63"/>
      <c r="J52" s="63"/>
      <c r="K52" s="63"/>
      <c r="L52" s="2"/>
      <c r="M52" s="63"/>
      <c r="N52" s="2"/>
      <c r="O52" s="63"/>
      <c r="P52" s="2"/>
      <c r="Q52" s="2"/>
      <c r="R52" s="2"/>
      <c r="S52" s="2"/>
      <c r="T52" s="2"/>
      <c r="U52" s="82"/>
      <c r="V52" s="2"/>
      <c r="W52" s="82"/>
      <c r="X52" s="2"/>
      <c r="Z52" s="2"/>
      <c r="AA52" s="2"/>
      <c r="AB52" s="2"/>
      <c r="AD52" s="2"/>
      <c r="AE52" s="82"/>
      <c r="AF52" s="2"/>
      <c r="AG52" s="2"/>
      <c r="AH52" s="2"/>
      <c r="AI52" s="2"/>
      <c r="AJ52" s="2"/>
      <c r="AL52" s="2"/>
    </row>
    <row r="53" spans="1:44" ht="15" customHeight="1">
      <c r="A53" s="2"/>
      <c r="B53" s="2"/>
      <c r="C53" s="38"/>
      <c r="F53" s="11" t="s">
        <v>0</v>
      </c>
      <c r="G53" s="2"/>
      <c r="H53" s="83"/>
      <c r="I53" s="83"/>
      <c r="J53" s="83"/>
      <c r="K53" s="83"/>
      <c r="L53" s="2"/>
      <c r="M53" s="83"/>
      <c r="N53" s="2"/>
      <c r="O53" s="83"/>
      <c r="P53" s="2"/>
      <c r="Q53" s="2"/>
      <c r="R53" s="2"/>
      <c r="S53" s="2"/>
      <c r="T53" s="2"/>
      <c r="U53" s="2"/>
      <c r="V53" s="2"/>
      <c r="W53" s="2"/>
      <c r="X53" s="2"/>
      <c r="Z53" s="2"/>
      <c r="AA53" s="2"/>
      <c r="AB53" s="2"/>
      <c r="AD53" s="2"/>
      <c r="AE53" s="2"/>
      <c r="AF53" s="2"/>
      <c r="AG53" s="2"/>
      <c r="AH53" s="2"/>
      <c r="AI53" s="2"/>
      <c r="AJ53" s="2"/>
      <c r="AK53" s="83"/>
      <c r="AL53" s="2"/>
    </row>
    <row r="54" spans="1:44" ht="15" customHeight="1">
      <c r="A54" s="2"/>
      <c r="B54" s="2"/>
      <c r="C54" s="2"/>
      <c r="F54" s="11" t="s">
        <v>0</v>
      </c>
      <c r="G54" s="2"/>
      <c r="I54" s="83"/>
      <c r="J54" s="83"/>
      <c r="K54" s="83"/>
      <c r="L54" s="2"/>
      <c r="M54" s="83"/>
      <c r="N54" s="2"/>
      <c r="O54" s="83"/>
      <c r="P54" s="2"/>
      <c r="Q54" s="2"/>
      <c r="R54" s="2"/>
      <c r="S54" s="2"/>
      <c r="T54" s="2"/>
      <c r="U54" s="2"/>
      <c r="V54" s="2"/>
      <c r="W54" s="2"/>
      <c r="X54" s="2"/>
      <c r="Z54" s="2"/>
      <c r="AA54" s="2"/>
      <c r="AB54" s="2"/>
      <c r="AD54" s="2"/>
      <c r="AE54" s="2"/>
      <c r="AF54" s="2"/>
      <c r="AG54" s="2"/>
      <c r="AH54" s="2"/>
      <c r="AI54" s="2"/>
      <c r="AJ54" s="2"/>
      <c r="AL54" s="2"/>
    </row>
    <row r="55" spans="1:44" ht="15" customHeight="1">
      <c r="A55" s="2"/>
      <c r="B55" s="2"/>
      <c r="C55" s="2"/>
      <c r="F55" s="11" t="s">
        <v>0</v>
      </c>
      <c r="G55" s="2"/>
      <c r="I55" s="83"/>
      <c r="J55" s="83"/>
      <c r="K55" s="83"/>
      <c r="L55" s="2"/>
      <c r="M55" s="83"/>
      <c r="N55" s="2"/>
      <c r="O55" s="83"/>
      <c r="P55" s="2"/>
      <c r="Q55" s="2"/>
      <c r="R55" s="2"/>
      <c r="S55" s="2"/>
      <c r="T55" s="2"/>
      <c r="U55" s="2"/>
      <c r="V55" s="2"/>
      <c r="W55" s="2"/>
      <c r="X55" s="2"/>
      <c r="Y55" s="2"/>
      <c r="Z55" s="2"/>
      <c r="AA55" s="2"/>
      <c r="AB55" s="2"/>
      <c r="AC55" s="2"/>
      <c r="AD55" s="2"/>
      <c r="AE55" s="2"/>
      <c r="AF55" s="2"/>
      <c r="AG55" s="2"/>
      <c r="AH55" s="2"/>
      <c r="AI55" s="2"/>
      <c r="AJ55" s="2"/>
      <c r="AL55" s="2"/>
    </row>
    <row r="56" spans="1:44" ht="15" customHeight="1">
      <c r="A56" s="2"/>
      <c r="B56" s="2"/>
      <c r="C56" s="2"/>
      <c r="F56" s="11" t="s">
        <v>0</v>
      </c>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row>
    <row r="57" spans="1:44" ht="15" customHeight="1">
      <c r="A57" s="2"/>
      <c r="B57" s="2"/>
      <c r="C57" s="2"/>
      <c r="F57" s="11" t="s">
        <v>0</v>
      </c>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row>
    <row r="58" spans="1:44" ht="15" customHeight="1">
      <c r="A58" s="2"/>
      <c r="B58" s="2"/>
      <c r="C58" s="2"/>
      <c r="F58" s="11" t="s">
        <v>0</v>
      </c>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row>
    <row r="59" spans="1:44">
      <c r="A59" s="2"/>
      <c r="B59" s="2"/>
      <c r="C59" s="2"/>
      <c r="D59" s="2"/>
      <c r="E59" s="77" t="s">
        <v>30</v>
      </c>
      <c r="F59" s="11" t="s">
        <v>0</v>
      </c>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row>
    <row r="60" spans="1:44">
      <c r="A60" s="2"/>
      <c r="B60" s="2"/>
      <c r="C60" s="2"/>
      <c r="D60" s="2"/>
      <c r="E60" s="2"/>
      <c r="F60" s="11" t="s">
        <v>0</v>
      </c>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row>
    <row r="61" spans="1:44">
      <c r="A61" s="2"/>
      <c r="B61" s="2"/>
      <c r="C61" s="2"/>
      <c r="D61" s="2"/>
      <c r="E61" s="2"/>
      <c r="F61" s="11" t="s">
        <v>0</v>
      </c>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row>
    <row r="62" spans="1:44">
      <c r="A62" s="2"/>
      <c r="B62" s="2"/>
      <c r="C62" s="2"/>
      <c r="D62" s="2"/>
      <c r="E62" s="2"/>
      <c r="F62" s="11" t="s">
        <v>0</v>
      </c>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row>
    <row r="63" spans="1:44">
      <c r="A63" s="2"/>
      <c r="B63" s="2"/>
      <c r="C63" s="2"/>
      <c r="D63" s="2"/>
      <c r="E63" s="2"/>
      <c r="F63" s="11" t="s">
        <v>0</v>
      </c>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row>
    <row r="64" spans="1:44">
      <c r="A64" s="2"/>
      <c r="B64" s="2"/>
      <c r="C64" s="2"/>
      <c r="D64" s="2"/>
      <c r="E64" s="2"/>
      <c r="F64" s="11" t="s">
        <v>0</v>
      </c>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row>
    <row r="65" spans="1:38">
      <c r="A65" s="2"/>
      <c r="B65" s="2"/>
      <c r="C65" s="2"/>
      <c r="D65" s="2"/>
      <c r="E65" s="2"/>
      <c r="F65" s="11" t="s">
        <v>0</v>
      </c>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row>
    <row r="66" spans="1:38">
      <c r="A66" s="2"/>
      <c r="B66" s="2"/>
      <c r="C66" s="2"/>
      <c r="D66" s="2"/>
      <c r="E66" s="2"/>
      <c r="F66" s="11" t="s">
        <v>0</v>
      </c>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row>
    <row r="67" spans="1:38">
      <c r="A67" s="2"/>
      <c r="B67" s="2"/>
      <c r="C67" s="2"/>
      <c r="D67" s="2"/>
      <c r="E67" s="2"/>
      <c r="F67" s="11" t="s">
        <v>0</v>
      </c>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row>
    <row r="68" spans="1:38">
      <c r="A68" s="2"/>
      <c r="B68" s="2"/>
      <c r="C68" s="2"/>
      <c r="D68" s="2"/>
      <c r="E68" s="2"/>
      <c r="F68" s="11" t="s">
        <v>0</v>
      </c>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row>
    <row r="69" spans="1:38">
      <c r="A69" s="2"/>
      <c r="B69" s="2"/>
      <c r="C69" s="2"/>
      <c r="D69" s="2"/>
      <c r="E69" s="2"/>
      <c r="F69" s="11" t="s">
        <v>0</v>
      </c>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row>
    <row r="70" spans="1:38">
      <c r="A70" s="2"/>
      <c r="B70" s="2"/>
      <c r="C70" s="2"/>
      <c r="D70" s="2"/>
      <c r="E70" s="2"/>
      <c r="F70" s="11" t="s">
        <v>0</v>
      </c>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row>
    <row r="71" spans="1:38">
      <c r="A71" s="2"/>
      <c r="B71" s="2"/>
      <c r="C71" s="2"/>
      <c r="D71" s="2"/>
      <c r="E71" s="2"/>
      <c r="F71" s="11" t="s">
        <v>0</v>
      </c>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row>
    <row r="72" spans="1:38">
      <c r="A72" s="2"/>
      <c r="B72" s="2"/>
      <c r="C72" s="2"/>
      <c r="D72" s="2"/>
      <c r="E72" s="2"/>
      <c r="F72" s="11" t="s">
        <v>0</v>
      </c>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row>
    <row r="73" spans="1:38">
      <c r="A73" s="2"/>
      <c r="B73" s="2"/>
      <c r="C73" s="2"/>
      <c r="D73" s="2"/>
      <c r="E73" s="2"/>
      <c r="F73" s="11" t="s">
        <v>0</v>
      </c>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row>
    <row r="74" spans="1:38">
      <c r="A74" s="2"/>
      <c r="B74" s="2"/>
      <c r="C74" s="2"/>
      <c r="D74" s="2"/>
      <c r="E74" s="2"/>
      <c r="F74" s="11" t="s">
        <v>0</v>
      </c>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row>
    <row r="75" spans="1:38">
      <c r="A75" s="2"/>
      <c r="B75" s="2"/>
      <c r="C75" s="2"/>
      <c r="D75" s="2"/>
      <c r="E75" s="2"/>
      <c r="F75" s="11" t="s">
        <v>0</v>
      </c>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row>
    <row r="76" spans="1:38">
      <c r="A76" s="2"/>
      <c r="B76" s="2"/>
      <c r="C76" s="2"/>
      <c r="D76" s="2"/>
      <c r="E76" s="2"/>
      <c r="F76" s="11" t="s">
        <v>0</v>
      </c>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row>
    <row r="77" spans="1:38">
      <c r="A77" s="2"/>
      <c r="B77" s="2"/>
      <c r="C77" s="2"/>
      <c r="D77" s="2"/>
      <c r="E77" s="2"/>
      <c r="F77" s="11" t="s">
        <v>0</v>
      </c>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row>
    <row r="78" spans="1:38">
      <c r="A78" s="2"/>
      <c r="B78" s="2"/>
      <c r="C78" s="2"/>
      <c r="D78" s="2"/>
      <c r="E78" s="2"/>
      <c r="F78" s="11" t="s">
        <v>0</v>
      </c>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row>
    <row r="79" spans="1:38">
      <c r="A79" s="2"/>
      <c r="B79" s="2"/>
      <c r="C79" s="2"/>
      <c r="D79" s="2"/>
      <c r="E79" s="2"/>
      <c r="F79" s="11" t="s">
        <v>0</v>
      </c>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row>
    <row r="80" spans="1:38">
      <c r="A80" s="2"/>
      <c r="B80" s="2"/>
      <c r="C80" s="2"/>
      <c r="D80" s="2"/>
      <c r="E80" s="2"/>
      <c r="F80" s="11" t="s">
        <v>0</v>
      </c>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row>
    <row r="81" spans="1:38">
      <c r="A81" s="2"/>
      <c r="B81" s="2"/>
      <c r="C81" s="2"/>
      <c r="D81" s="2"/>
      <c r="E81" s="2"/>
      <c r="F81" s="11" t="s">
        <v>0</v>
      </c>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row>
    <row r="82" spans="1:38">
      <c r="A82" s="2"/>
      <c r="B82" s="2"/>
      <c r="C82" s="2"/>
      <c r="D82" s="2"/>
      <c r="E82" s="2"/>
      <c r="F82" s="11" t="s">
        <v>0</v>
      </c>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row>
    <row r="83" spans="1:38">
      <c r="A83" s="2"/>
      <c r="B83" s="1"/>
      <c r="C83" s="2"/>
      <c r="D83" s="2"/>
      <c r="E83" s="2"/>
      <c r="F83" s="11" t="s">
        <v>0</v>
      </c>
      <c r="G83" s="2"/>
      <c r="H83" s="2"/>
      <c r="I83" s="2"/>
      <c r="J83" s="2"/>
      <c r="K83" s="2"/>
      <c r="L83" s="2"/>
      <c r="M83" s="2"/>
      <c r="N83" s="2"/>
      <c r="O83" s="2"/>
      <c r="P83" s="2"/>
      <c r="Q83" s="2"/>
      <c r="S83" s="2"/>
      <c r="T83" s="2"/>
      <c r="U83" s="2"/>
      <c r="V83" s="2"/>
      <c r="W83" s="2"/>
      <c r="X83" s="2"/>
      <c r="Y83" s="2"/>
      <c r="Z83" s="2"/>
      <c r="AA83" s="2"/>
      <c r="AB83" s="2"/>
      <c r="AC83" s="2"/>
      <c r="AD83" s="2"/>
      <c r="AE83" s="2"/>
      <c r="AF83" s="2"/>
      <c r="AG83" s="2"/>
      <c r="AH83" s="2"/>
      <c r="AI83" s="2"/>
      <c r="AJ83" s="2"/>
      <c r="AK83" s="2"/>
      <c r="AL83" s="2"/>
    </row>
    <row r="84" spans="1:38">
      <c r="A84" s="2"/>
      <c r="B84" s="1"/>
      <c r="C84" s="2"/>
      <c r="D84" s="2"/>
      <c r="E84" s="2"/>
      <c r="F84" s="11" t="s">
        <v>0</v>
      </c>
      <c r="G84" s="2"/>
      <c r="H84" s="2"/>
      <c r="I84" s="2"/>
      <c r="J84" s="2"/>
      <c r="K84" s="2"/>
      <c r="L84" s="2"/>
      <c r="M84" s="2"/>
      <c r="N84" s="2"/>
      <c r="O84" s="2"/>
      <c r="P84" s="2"/>
      <c r="Q84" s="2"/>
      <c r="S84" s="2"/>
      <c r="T84" s="2"/>
      <c r="U84" s="2"/>
      <c r="V84" s="2"/>
      <c r="W84" s="2"/>
      <c r="X84" s="2"/>
      <c r="Y84" s="2"/>
      <c r="Z84" s="2"/>
      <c r="AA84" s="2"/>
      <c r="AB84" s="2"/>
      <c r="AC84" s="2"/>
      <c r="AD84" s="2"/>
      <c r="AE84" s="2"/>
      <c r="AF84" s="2"/>
      <c r="AG84" s="2"/>
      <c r="AH84" s="2"/>
      <c r="AI84" s="2"/>
      <c r="AJ84" s="2"/>
      <c r="AK84" s="2"/>
      <c r="AL84" s="2"/>
    </row>
    <row r="85" spans="1:38">
      <c r="A85" s="2"/>
      <c r="B85" s="1"/>
      <c r="C85" s="2"/>
      <c r="D85" s="2"/>
      <c r="E85" s="2"/>
      <c r="F85" s="11" t="s">
        <v>0</v>
      </c>
      <c r="G85" s="2"/>
      <c r="H85" s="2"/>
      <c r="I85" s="2"/>
      <c r="J85" s="2"/>
      <c r="K85" s="2"/>
      <c r="L85" s="2"/>
      <c r="M85" s="2"/>
      <c r="N85" s="2"/>
      <c r="O85" s="2"/>
      <c r="P85" s="2"/>
      <c r="Q85" s="2"/>
      <c r="S85" s="2"/>
      <c r="T85" s="2"/>
      <c r="U85" s="2"/>
      <c r="V85" s="2"/>
      <c r="W85" s="2"/>
      <c r="X85" s="2"/>
      <c r="Y85" s="2"/>
      <c r="Z85" s="2"/>
      <c r="AA85" s="2"/>
      <c r="AB85" s="2"/>
      <c r="AC85" s="2"/>
      <c r="AD85" s="2"/>
      <c r="AE85" s="2"/>
      <c r="AF85" s="2"/>
      <c r="AG85" s="2"/>
      <c r="AH85" s="2"/>
      <c r="AI85" s="2"/>
      <c r="AJ85" s="2"/>
      <c r="AK85" s="2"/>
      <c r="AL85" s="2"/>
    </row>
    <row r="86" spans="1:38">
      <c r="A86" s="2"/>
      <c r="B86" s="1"/>
      <c r="C86" s="2"/>
      <c r="D86" s="2"/>
      <c r="E86" s="2"/>
      <c r="F86" s="11" t="s">
        <v>0</v>
      </c>
      <c r="G86" s="2"/>
      <c r="H86" s="2"/>
      <c r="I86" s="2"/>
      <c r="J86" s="2"/>
      <c r="K86" s="2"/>
      <c r="L86" s="2"/>
      <c r="M86" s="2"/>
      <c r="N86" s="2"/>
      <c r="O86" s="2"/>
      <c r="P86" s="2"/>
      <c r="Q86" s="2"/>
      <c r="S86" s="2"/>
      <c r="T86" s="2"/>
      <c r="U86" s="2"/>
      <c r="V86" s="2"/>
      <c r="W86" s="2"/>
      <c r="X86" s="2"/>
      <c r="Y86" s="2"/>
      <c r="Z86" s="2"/>
      <c r="AA86" s="2"/>
      <c r="AB86" s="2"/>
      <c r="AC86" s="2"/>
      <c r="AD86" s="2"/>
      <c r="AE86" s="2"/>
      <c r="AF86" s="2"/>
      <c r="AG86" s="2"/>
      <c r="AH86" s="2"/>
      <c r="AI86" s="2"/>
      <c r="AJ86" s="2"/>
      <c r="AK86" s="2"/>
      <c r="AL86" s="2"/>
    </row>
    <row r="87" spans="1:38">
      <c r="A87" s="2"/>
      <c r="B87" s="1"/>
      <c r="C87" s="2"/>
      <c r="D87" s="2"/>
      <c r="E87" s="2"/>
      <c r="F87" s="11" t="s">
        <v>0</v>
      </c>
      <c r="G87" s="2"/>
      <c r="H87" s="2"/>
      <c r="I87" s="2"/>
      <c r="J87" s="2"/>
      <c r="K87" s="2"/>
      <c r="L87" s="2"/>
      <c r="M87" s="2"/>
      <c r="N87" s="2"/>
      <c r="O87" s="2"/>
      <c r="P87" s="2"/>
      <c r="Q87" s="2"/>
      <c r="S87" s="2"/>
      <c r="T87" s="2"/>
      <c r="U87" s="2"/>
      <c r="V87" s="2"/>
      <c r="W87" s="2"/>
      <c r="X87" s="2"/>
      <c r="Y87" s="2"/>
      <c r="Z87" s="2"/>
      <c r="AA87" s="2"/>
      <c r="AB87" s="2"/>
      <c r="AC87" s="2"/>
      <c r="AD87" s="2"/>
      <c r="AE87" s="2"/>
      <c r="AF87" s="2"/>
      <c r="AG87" s="2"/>
      <c r="AH87" s="2"/>
      <c r="AI87" s="2"/>
      <c r="AJ87" s="2"/>
      <c r="AK87" s="2"/>
      <c r="AL87" s="2"/>
    </row>
    <row r="88" spans="1:38">
      <c r="A88" s="2"/>
      <c r="B88" s="1"/>
      <c r="C88" s="2"/>
      <c r="D88" s="2"/>
      <c r="E88" s="2"/>
      <c r="F88" s="11" t="s">
        <v>0</v>
      </c>
      <c r="G88" s="2"/>
      <c r="H88" s="2"/>
      <c r="I88" s="2"/>
      <c r="J88" s="2"/>
      <c r="K88" s="2"/>
      <c r="L88" s="2"/>
      <c r="M88" s="2"/>
      <c r="N88" s="2"/>
      <c r="O88" s="2"/>
      <c r="P88" s="2"/>
      <c r="Q88" s="2"/>
      <c r="S88" s="2"/>
      <c r="T88" s="2"/>
      <c r="U88" s="2"/>
      <c r="V88" s="2"/>
      <c r="W88" s="2"/>
      <c r="X88" s="2"/>
      <c r="Y88" s="2"/>
      <c r="Z88" s="2"/>
      <c r="AA88" s="2"/>
      <c r="AB88" s="2"/>
      <c r="AC88" s="2"/>
      <c r="AD88" s="2"/>
      <c r="AE88" s="2"/>
      <c r="AF88" s="2"/>
      <c r="AG88" s="2"/>
      <c r="AH88" s="2"/>
      <c r="AI88" s="2"/>
      <c r="AK88" s="2"/>
      <c r="AL88" s="2"/>
    </row>
    <row r="89" spans="1:38">
      <c r="A89" s="1"/>
      <c r="B89" s="1"/>
      <c r="F89" s="11" t="s">
        <v>0</v>
      </c>
    </row>
    <row r="90" spans="1:38">
      <c r="A90" s="1"/>
      <c r="B90" s="1"/>
      <c r="F90" s="11" t="s">
        <v>0</v>
      </c>
    </row>
    <row r="91" spans="1:38">
      <c r="A91" s="1"/>
      <c r="B91" s="1"/>
      <c r="F91" s="11" t="s">
        <v>0</v>
      </c>
    </row>
    <row r="92" spans="1:38">
      <c r="A92" s="1"/>
      <c r="B92" s="1"/>
      <c r="F92" s="11" t="s">
        <v>0</v>
      </c>
    </row>
    <row r="93" spans="1:38">
      <c r="A93" s="1"/>
      <c r="B93" s="1"/>
      <c r="F93" s="11" t="s">
        <v>0</v>
      </c>
    </row>
    <row r="94" spans="1:38">
      <c r="A94" s="1"/>
      <c r="B94" s="1"/>
      <c r="F94" s="11" t="s">
        <v>0</v>
      </c>
    </row>
    <row r="95" spans="1:38">
      <c r="A95" s="1"/>
      <c r="B95" s="1"/>
      <c r="F95" s="11" t="s">
        <v>0</v>
      </c>
    </row>
    <row r="96" spans="1:38">
      <c r="A96" s="1"/>
      <c r="B96" s="1"/>
      <c r="F96" s="11" t="s">
        <v>0</v>
      </c>
    </row>
    <row r="97" spans="1:6">
      <c r="A97" s="1"/>
      <c r="F97" s="11" t="s">
        <v>0</v>
      </c>
    </row>
    <row r="98" spans="1:6">
      <c r="A98" s="1"/>
      <c r="F98" s="11" t="s">
        <v>0</v>
      </c>
    </row>
    <row r="99" spans="1:6">
      <c r="A99" s="1"/>
      <c r="F99" s="11" t="s">
        <v>0</v>
      </c>
    </row>
    <row r="100" spans="1:6">
      <c r="A100" s="1"/>
      <c r="F100" s="11" t="s">
        <v>0</v>
      </c>
    </row>
    <row r="101" spans="1:6">
      <c r="A101" s="1"/>
      <c r="F101" s="11" t="s">
        <v>0</v>
      </c>
    </row>
    <row r="102" spans="1:6">
      <c r="A102" s="1"/>
      <c r="F102" s="11" t="s">
        <v>0</v>
      </c>
    </row>
    <row r="103" spans="1:6">
      <c r="F103" s="11" t="s">
        <v>0</v>
      </c>
    </row>
    <row r="104" spans="1:6">
      <c r="F104" s="11" t="s">
        <v>0</v>
      </c>
    </row>
    <row r="105" spans="1:6">
      <c r="F105" s="11" t="s">
        <v>0</v>
      </c>
    </row>
    <row r="106" spans="1:6">
      <c r="F106" s="11" t="s">
        <v>0</v>
      </c>
    </row>
    <row r="107" spans="1:6">
      <c r="F107" s="11" t="s">
        <v>0</v>
      </c>
    </row>
    <row r="108" spans="1:6">
      <c r="F108" s="11" t="s">
        <v>0</v>
      </c>
    </row>
    <row r="109" spans="1:6">
      <c r="F109" s="11" t="s">
        <v>0</v>
      </c>
    </row>
    <row r="110" spans="1:6">
      <c r="F110" s="11" t="s">
        <v>0</v>
      </c>
    </row>
    <row r="111" spans="1:6">
      <c r="F111" s="11" t="s">
        <v>0</v>
      </c>
    </row>
    <row r="112" spans="1:6">
      <c r="F112" s="11" t="s">
        <v>0</v>
      </c>
    </row>
    <row r="113" spans="6:6">
      <c r="F113" s="11" t="s">
        <v>0</v>
      </c>
    </row>
    <row r="114" spans="6:6">
      <c r="F114" s="11" t="s">
        <v>0</v>
      </c>
    </row>
    <row r="115" spans="6:6">
      <c r="F115" s="11" t="s">
        <v>0</v>
      </c>
    </row>
    <row r="116" spans="6:6">
      <c r="F116" s="11" t="s">
        <v>0</v>
      </c>
    </row>
    <row r="117" spans="6:6">
      <c r="F117" s="11" t="s">
        <v>0</v>
      </c>
    </row>
    <row r="118" spans="6:6">
      <c r="F118" s="11" t="s">
        <v>0</v>
      </c>
    </row>
    <row r="119" spans="6:6">
      <c r="F119" s="11" t="s">
        <v>0</v>
      </c>
    </row>
    <row r="120" spans="6:6">
      <c r="F120" s="11" t="s">
        <v>0</v>
      </c>
    </row>
    <row r="121" spans="6:6">
      <c r="F121" s="11" t="s">
        <v>0</v>
      </c>
    </row>
    <row r="122" spans="6:6">
      <c r="F122" s="11" t="s">
        <v>0</v>
      </c>
    </row>
    <row r="123" spans="6:6">
      <c r="F123" s="11" t="s">
        <v>0</v>
      </c>
    </row>
    <row r="124" spans="6:6">
      <c r="F124" s="11" t="s">
        <v>0</v>
      </c>
    </row>
    <row r="125" spans="6:6">
      <c r="F125" s="11" t="s">
        <v>0</v>
      </c>
    </row>
    <row r="126" spans="6:6">
      <c r="F126" s="11" t="s">
        <v>0</v>
      </c>
    </row>
    <row r="127" spans="6:6">
      <c r="F127" s="11" t="s">
        <v>0</v>
      </c>
    </row>
    <row r="128" spans="6:6">
      <c r="F128" s="11" t="s">
        <v>0</v>
      </c>
    </row>
    <row r="129" spans="6:6">
      <c r="F129" s="11" t="s">
        <v>0</v>
      </c>
    </row>
    <row r="130" spans="6:6">
      <c r="F130" s="11" t="s">
        <v>0</v>
      </c>
    </row>
    <row r="131" spans="6:6">
      <c r="F131" s="11" t="s">
        <v>0</v>
      </c>
    </row>
    <row r="132" spans="6:6">
      <c r="F132" s="11" t="s">
        <v>0</v>
      </c>
    </row>
    <row r="133" spans="6:6">
      <c r="F133" s="11" t="s">
        <v>0</v>
      </c>
    </row>
    <row r="134" spans="6:6">
      <c r="F134" s="11" t="s">
        <v>0</v>
      </c>
    </row>
    <row r="135" spans="6:6">
      <c r="F135" s="11" t="s">
        <v>0</v>
      </c>
    </row>
    <row r="136" spans="6:6">
      <c r="F136" s="11" t="s">
        <v>0</v>
      </c>
    </row>
    <row r="137" spans="6:6">
      <c r="F137" s="11" t="s">
        <v>0</v>
      </c>
    </row>
    <row r="138" spans="6:6">
      <c r="F138" s="11" t="s">
        <v>0</v>
      </c>
    </row>
    <row r="139" spans="6:6">
      <c r="F139" s="11" t="s">
        <v>0</v>
      </c>
    </row>
    <row r="140" spans="6:6">
      <c r="F140" s="11" t="s">
        <v>0</v>
      </c>
    </row>
    <row r="141" spans="6:6">
      <c r="F141" s="11" t="s">
        <v>0</v>
      </c>
    </row>
    <row r="142" spans="6:6">
      <c r="F142" s="11" t="s">
        <v>0</v>
      </c>
    </row>
    <row r="143" spans="6:6">
      <c r="F143" s="11" t="s">
        <v>0</v>
      </c>
    </row>
    <row r="144" spans="6:6">
      <c r="F144" s="11" t="s">
        <v>0</v>
      </c>
    </row>
    <row r="145" spans="6:6">
      <c r="F145" s="11" t="s">
        <v>0</v>
      </c>
    </row>
    <row r="146" spans="6:6">
      <c r="F146" s="11" t="s">
        <v>0</v>
      </c>
    </row>
    <row r="147" spans="6:6">
      <c r="F147" s="11" t="s">
        <v>0</v>
      </c>
    </row>
    <row r="148" spans="6:6">
      <c r="F148" s="11" t="s">
        <v>0</v>
      </c>
    </row>
    <row r="149" spans="6:6">
      <c r="F149" s="11" t="s">
        <v>0</v>
      </c>
    </row>
    <row r="150" spans="6:6">
      <c r="F150" s="11" t="s">
        <v>0</v>
      </c>
    </row>
    <row r="151" spans="6:6">
      <c r="F151" s="11" t="s">
        <v>0</v>
      </c>
    </row>
    <row r="152" spans="6:6">
      <c r="F152" s="11" t="s">
        <v>0</v>
      </c>
    </row>
    <row r="153" spans="6:6">
      <c r="F153" s="11" t="s">
        <v>0</v>
      </c>
    </row>
    <row r="154" spans="6:6">
      <c r="F154" s="11" t="s">
        <v>0</v>
      </c>
    </row>
    <row r="155" spans="6:6">
      <c r="F155" s="11" t="s">
        <v>0</v>
      </c>
    </row>
    <row r="156" spans="6:6">
      <c r="F156" s="11" t="s">
        <v>0</v>
      </c>
    </row>
    <row r="157" spans="6:6">
      <c r="F157" s="11" t="s">
        <v>0</v>
      </c>
    </row>
    <row r="158" spans="6:6">
      <c r="F158" s="11" t="s">
        <v>0</v>
      </c>
    </row>
    <row r="159" spans="6:6">
      <c r="F159" s="11" t="s">
        <v>0</v>
      </c>
    </row>
    <row r="160" spans="6:6">
      <c r="F160" s="11" t="s">
        <v>0</v>
      </c>
    </row>
    <row r="161" spans="6:6">
      <c r="F161" s="11" t="s">
        <v>0</v>
      </c>
    </row>
    <row r="162" spans="6:6">
      <c r="F162" s="11" t="s">
        <v>0</v>
      </c>
    </row>
    <row r="163" spans="6:6">
      <c r="F163" s="11" t="s">
        <v>0</v>
      </c>
    </row>
    <row r="164" spans="6:6">
      <c r="F164" s="11" t="s">
        <v>0</v>
      </c>
    </row>
    <row r="165" spans="6:6">
      <c r="F165" s="11" t="s">
        <v>0</v>
      </c>
    </row>
    <row r="166" spans="6:6">
      <c r="F166" s="11" t="s">
        <v>0</v>
      </c>
    </row>
    <row r="167" spans="6:6">
      <c r="F167" s="11" t="s">
        <v>0</v>
      </c>
    </row>
    <row r="168" spans="6:6">
      <c r="F168" s="11" t="s">
        <v>0</v>
      </c>
    </row>
    <row r="169" spans="6:6">
      <c r="F169" s="11" t="s">
        <v>0</v>
      </c>
    </row>
    <row r="170" spans="6:6">
      <c r="F170" s="11" t="s">
        <v>0</v>
      </c>
    </row>
    <row r="171" spans="6:6">
      <c r="F171" s="11" t="s">
        <v>0</v>
      </c>
    </row>
    <row r="172" spans="6:6">
      <c r="F172" s="11" t="s">
        <v>0</v>
      </c>
    </row>
    <row r="173" spans="6:6">
      <c r="F173" s="11" t="s">
        <v>0</v>
      </c>
    </row>
    <row r="174" spans="6:6">
      <c r="F174" s="11" t="s">
        <v>0</v>
      </c>
    </row>
    <row r="175" spans="6:6">
      <c r="F175" s="11" t="s">
        <v>0</v>
      </c>
    </row>
    <row r="176" spans="6:6">
      <c r="F176" s="11" t="s">
        <v>0</v>
      </c>
    </row>
    <row r="177" spans="6:6">
      <c r="F177" s="11" t="s">
        <v>0</v>
      </c>
    </row>
    <row r="178" spans="6:6">
      <c r="F178" s="11" t="s">
        <v>0</v>
      </c>
    </row>
    <row r="179" spans="6:6">
      <c r="F179" s="11" t="s">
        <v>0</v>
      </c>
    </row>
    <row r="180" spans="6:6">
      <c r="F180" s="11" t="s">
        <v>0</v>
      </c>
    </row>
    <row r="181" spans="6:6">
      <c r="F181" s="11" t="s">
        <v>0</v>
      </c>
    </row>
    <row r="182" spans="6:6">
      <c r="F182" s="11" t="s">
        <v>0</v>
      </c>
    </row>
    <row r="183" spans="6:6">
      <c r="F183" s="11" t="s">
        <v>0</v>
      </c>
    </row>
    <row r="184" spans="6:6">
      <c r="F184" s="11" t="s">
        <v>0</v>
      </c>
    </row>
    <row r="185" spans="6:6">
      <c r="F185" s="11" t="s">
        <v>0</v>
      </c>
    </row>
    <row r="186" spans="6:6">
      <c r="F186" s="11" t="s">
        <v>0</v>
      </c>
    </row>
    <row r="187" spans="6:6">
      <c r="F187" s="11" t="s">
        <v>0</v>
      </c>
    </row>
    <row r="188" spans="6:6">
      <c r="F188" s="11" t="s">
        <v>0</v>
      </c>
    </row>
    <row r="189" spans="6:6">
      <c r="F189" s="11" t="s">
        <v>0</v>
      </c>
    </row>
    <row r="190" spans="6:6">
      <c r="F190" s="11" t="s">
        <v>0</v>
      </c>
    </row>
    <row r="191" spans="6:6">
      <c r="F191" s="11" t="s">
        <v>0</v>
      </c>
    </row>
    <row r="192" spans="6:6">
      <c r="F192" s="11" t="s">
        <v>0</v>
      </c>
    </row>
    <row r="193" spans="6:6">
      <c r="F193" s="11" t="s">
        <v>0</v>
      </c>
    </row>
    <row r="194" spans="6:6">
      <c r="F194" s="11" t="s">
        <v>0</v>
      </c>
    </row>
    <row r="195" spans="6:6">
      <c r="F195" s="11" t="s">
        <v>0</v>
      </c>
    </row>
    <row r="196" spans="6:6">
      <c r="F196" s="11" t="s">
        <v>0</v>
      </c>
    </row>
    <row r="197" spans="6:6">
      <c r="F197" s="11" t="s">
        <v>0</v>
      </c>
    </row>
    <row r="198" spans="6:6">
      <c r="F198" s="11" t="s">
        <v>0</v>
      </c>
    </row>
    <row r="199" spans="6:6">
      <c r="F199" s="11" t="s">
        <v>0</v>
      </c>
    </row>
    <row r="200" spans="6:6">
      <c r="F200" s="11" t="s">
        <v>0</v>
      </c>
    </row>
    <row r="201" spans="6:6">
      <c r="F201" s="11" t="s">
        <v>0</v>
      </c>
    </row>
    <row r="202" spans="6:6">
      <c r="F202" s="11" t="s">
        <v>0</v>
      </c>
    </row>
    <row r="203" spans="6:6">
      <c r="F203" s="11" t="s">
        <v>0</v>
      </c>
    </row>
    <row r="204" spans="6:6">
      <c r="F204" s="11" t="s">
        <v>0</v>
      </c>
    </row>
    <row r="205" spans="6:6">
      <c r="F205" s="11" t="s">
        <v>0</v>
      </c>
    </row>
    <row r="206" spans="6:6">
      <c r="F206" s="11" t="s">
        <v>0</v>
      </c>
    </row>
    <row r="207" spans="6:6">
      <c r="F207" s="11" t="s">
        <v>0</v>
      </c>
    </row>
    <row r="208" spans="6:6">
      <c r="F208" s="11" t="s">
        <v>0</v>
      </c>
    </row>
    <row r="209" spans="6:6">
      <c r="F209" s="11" t="s">
        <v>0</v>
      </c>
    </row>
    <row r="210" spans="6:6">
      <c r="F210" s="11" t="s">
        <v>0</v>
      </c>
    </row>
    <row r="211" spans="6:6">
      <c r="F211" s="11" t="s">
        <v>0</v>
      </c>
    </row>
    <row r="212" spans="6:6">
      <c r="F212" s="11" t="s">
        <v>0</v>
      </c>
    </row>
    <row r="213" spans="6:6">
      <c r="F213" s="11" t="s">
        <v>0</v>
      </c>
    </row>
  </sheetData>
  <printOptions horizontalCentered="1" gridLinesSet="0"/>
  <pageMargins left="0" right="0" top="1" bottom="0.5" header="0.5" footer="0.25"/>
  <pageSetup scale="75" orientation="landscape" horizontalDpi="4294967292" verticalDpi="300" r:id="rId1"/>
  <headerFooter scaleWithDoc="0" alignWithMargins="0">
    <oddHeader>&amp;L&amp;"Verdana,Bold"&amp;A</oddHeader>
    <oddFooter>&amp;C&amp;"Verdana,Italic"&amp;8Prepared by Robert W. Baird &amp;&amp; Co. Incorporated S:\Public Finance\school district\ashland sd\debt service\2015\ds1 ashland sd.xlsx /sgk &amp;d</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C1:O49"/>
  <sheetViews>
    <sheetView topLeftCell="A12" zoomScaleNormal="100" workbookViewId="0">
      <selection activeCell="C21" sqref="C21:C41"/>
    </sheetView>
  </sheetViews>
  <sheetFormatPr defaultColWidth="8.86328125" defaultRowHeight="12.3"/>
  <cols>
    <col min="1" max="3" width="8.86328125" style="172"/>
    <col min="4" max="4" width="12.54296875" style="172" customWidth="1"/>
    <col min="5" max="6" width="10.54296875" style="172" customWidth="1"/>
    <col min="7" max="7" width="18.08984375" style="172" bestFit="1" customWidth="1"/>
    <col min="8" max="9" width="10.54296875" style="172" customWidth="1"/>
    <col min="10" max="10" width="17.2265625" style="172" bestFit="1" customWidth="1"/>
    <col min="11" max="11" width="10.54296875" style="172" hidden="1" customWidth="1"/>
    <col min="12" max="12" width="8.76953125" style="172" customWidth="1"/>
    <col min="13" max="13" width="8.76953125" style="172" hidden="1" customWidth="1"/>
    <col min="14" max="14" width="11.08984375" style="172" customWidth="1"/>
    <col min="15" max="16384" width="8.86328125" style="172"/>
  </cols>
  <sheetData>
    <row r="1" spans="3:14" ht="17.7">
      <c r="C1" s="170" t="s">
        <v>70</v>
      </c>
      <c r="D1" s="170"/>
      <c r="E1" s="171"/>
      <c r="F1" s="171"/>
      <c r="G1" s="171"/>
      <c r="H1" s="171"/>
      <c r="I1" s="171"/>
      <c r="J1" s="171"/>
      <c r="K1" s="171"/>
      <c r="L1" s="171"/>
      <c r="M1" s="171"/>
      <c r="N1" s="171"/>
    </row>
    <row r="2" spans="3:14" ht="14.7">
      <c r="C2" s="171" t="s">
        <v>73</v>
      </c>
      <c r="D2" s="171"/>
      <c r="E2" s="173"/>
      <c r="F2" s="173"/>
      <c r="G2" s="173"/>
      <c r="H2" s="173"/>
      <c r="I2" s="173"/>
      <c r="J2" s="173"/>
      <c r="K2" s="173"/>
      <c r="L2" s="173"/>
      <c r="M2" s="173"/>
      <c r="N2" s="173"/>
    </row>
    <row r="4" spans="3:14" hidden="1"/>
    <row r="5" spans="3:14" hidden="1">
      <c r="D5" s="174" t="s">
        <v>74</v>
      </c>
      <c r="E5" s="175"/>
      <c r="F5" s="174"/>
      <c r="G5" s="175"/>
      <c r="H5" s="175"/>
      <c r="I5" s="175"/>
      <c r="J5" s="175"/>
      <c r="K5" s="176"/>
      <c r="L5" s="176"/>
      <c r="M5" s="176"/>
      <c r="N5" s="177"/>
    </row>
    <row r="6" spans="3:14" hidden="1">
      <c r="D6" s="178" t="s">
        <v>75</v>
      </c>
      <c r="E6" s="179" t="s">
        <v>77</v>
      </c>
      <c r="F6" s="179" t="s">
        <v>76</v>
      </c>
      <c r="G6" s="179"/>
      <c r="H6" s="179" t="s">
        <v>78</v>
      </c>
      <c r="I6" s="179"/>
      <c r="J6" s="179"/>
      <c r="K6" s="179" t="s">
        <v>62</v>
      </c>
      <c r="L6" s="178" t="s">
        <v>79</v>
      </c>
      <c r="M6" s="178" t="s">
        <v>62</v>
      </c>
      <c r="N6" s="179" t="s">
        <v>20</v>
      </c>
    </row>
    <row r="7" spans="3:14" hidden="1">
      <c r="C7" s="172" t="s">
        <v>80</v>
      </c>
      <c r="E7" s="180"/>
      <c r="F7" s="180">
        <v>5662237</v>
      </c>
      <c r="G7" s="180"/>
      <c r="H7" s="180"/>
      <c r="I7" s="180"/>
      <c r="J7" s="180"/>
      <c r="K7" s="180"/>
      <c r="L7" s="181">
        <f>F7/N7*1000</f>
        <v>8.3243575439128108</v>
      </c>
      <c r="M7" s="181"/>
      <c r="N7" s="180">
        <v>680201081</v>
      </c>
    </row>
    <row r="8" spans="3:14" hidden="1">
      <c r="C8" s="172" t="s">
        <v>81</v>
      </c>
      <c r="E8" s="180"/>
      <c r="F8" s="180">
        <v>5984571</v>
      </c>
      <c r="G8" s="180"/>
      <c r="H8" s="180"/>
      <c r="I8" s="180"/>
      <c r="J8" s="180"/>
      <c r="K8" s="180">
        <f>F8-F7</f>
        <v>322334</v>
      </c>
      <c r="L8" s="181">
        <f>F8/N8*1000</f>
        <v>9.0380296217049469</v>
      </c>
      <c r="M8" s="181">
        <f>L8-L7</f>
        <v>0.71367207779213615</v>
      </c>
      <c r="N8" s="180">
        <v>662154391</v>
      </c>
    </row>
    <row r="9" spans="3:14" hidden="1">
      <c r="C9" s="172" t="s">
        <v>82</v>
      </c>
      <c r="E9" s="182"/>
      <c r="F9" s="180">
        <v>5977171</v>
      </c>
      <c r="G9" s="182"/>
      <c r="H9" s="180"/>
      <c r="I9" s="180"/>
      <c r="J9" s="180"/>
      <c r="K9" s="180">
        <f>F9-F8</f>
        <v>-7400</v>
      </c>
      <c r="L9" s="181">
        <f>F9/N9*1000</f>
        <v>9.0943946063545322</v>
      </c>
      <c r="M9" s="181">
        <f>L9-L8</f>
        <v>5.6364984649585281E-2</v>
      </c>
      <c r="N9" s="180">
        <v>657236821</v>
      </c>
    </row>
    <row r="10" spans="3:14" hidden="1">
      <c r="C10" s="172" t="s">
        <v>83</v>
      </c>
      <c r="E10" s="182"/>
      <c r="F10" s="183">
        <v>6079421</v>
      </c>
      <c r="G10" s="182"/>
      <c r="H10" s="180"/>
      <c r="I10" s="180"/>
      <c r="J10" s="180"/>
      <c r="K10" s="180">
        <f>F10-F9</f>
        <v>102250</v>
      </c>
      <c r="L10" s="184">
        <f>F10/N10*1000</f>
        <v>9.5082321739244691</v>
      </c>
      <c r="M10" s="181">
        <f>L10-L9</f>
        <v>0.41383756756993684</v>
      </c>
      <c r="N10" s="180">
        <v>639384997</v>
      </c>
    </row>
    <row r="11" spans="3:14" hidden="1">
      <c r="C11" s="172" t="s">
        <v>84</v>
      </c>
      <c r="E11" s="182"/>
      <c r="F11" s="183"/>
      <c r="G11" s="182"/>
      <c r="H11" s="180"/>
      <c r="I11" s="180"/>
      <c r="J11" s="180"/>
      <c r="K11" s="180">
        <f>F11-F10</f>
        <v>-6079421</v>
      </c>
      <c r="L11" s="184">
        <f>F11/N11*1000</f>
        <v>0</v>
      </c>
      <c r="M11" s="181">
        <f>L11-L10</f>
        <v>-9.5082321739244691</v>
      </c>
      <c r="N11" s="183">
        <v>671505395</v>
      </c>
    </row>
    <row r="12" spans="3:14">
      <c r="E12" s="185"/>
      <c r="G12" s="185"/>
    </row>
    <row r="15" spans="3:14">
      <c r="D15" s="174" t="s">
        <v>85</v>
      </c>
      <c r="E15" s="175"/>
      <c r="F15" s="174"/>
      <c r="G15" s="175"/>
      <c r="H15" s="175"/>
      <c r="I15" s="175"/>
      <c r="J15" s="175"/>
      <c r="K15" s="176"/>
      <c r="L15" s="176"/>
      <c r="M15" s="176"/>
      <c r="N15" s="177"/>
    </row>
    <row r="16" spans="3:14">
      <c r="D16" s="178" t="s">
        <v>75</v>
      </c>
      <c r="E16" s="179" t="s">
        <v>77</v>
      </c>
      <c r="F16" s="179" t="s">
        <v>112</v>
      </c>
      <c r="G16" s="178" t="s">
        <v>110</v>
      </c>
      <c r="H16" s="179" t="s">
        <v>86</v>
      </c>
      <c r="I16" s="178" t="s">
        <v>111</v>
      </c>
      <c r="J16" s="179" t="s">
        <v>87</v>
      </c>
      <c r="K16" s="179" t="s">
        <v>62</v>
      </c>
      <c r="M16" s="178" t="s">
        <v>62</v>
      </c>
      <c r="N16" s="179" t="s">
        <v>20</v>
      </c>
    </row>
    <row r="17" spans="3:15">
      <c r="C17" s="172" t="s">
        <v>80</v>
      </c>
      <c r="E17" s="180"/>
      <c r="F17" s="180">
        <v>5662237</v>
      </c>
      <c r="G17" s="181">
        <f t="shared" ref="G17:G41" si="0">F17/N17*1000</f>
        <v>8.3243575439128108</v>
      </c>
      <c r="H17" s="180"/>
      <c r="I17" s="180"/>
      <c r="J17" s="188">
        <f t="shared" ref="J17:J20" si="1">F17+H17</f>
        <v>5662237</v>
      </c>
      <c r="K17" s="180"/>
      <c r="L17" s="181">
        <f>J17/N17*1000</f>
        <v>8.3243575439128108</v>
      </c>
      <c r="M17" s="181"/>
      <c r="N17" s="180">
        <v>680201081</v>
      </c>
    </row>
    <row r="18" spans="3:15">
      <c r="C18" s="172" t="s">
        <v>81</v>
      </c>
      <c r="E18" s="180"/>
      <c r="F18" s="180">
        <v>5984571</v>
      </c>
      <c r="G18" s="181">
        <f t="shared" si="0"/>
        <v>9.0380296217049469</v>
      </c>
      <c r="H18" s="180"/>
      <c r="I18" s="186"/>
      <c r="J18" s="188">
        <f t="shared" si="1"/>
        <v>5984571</v>
      </c>
      <c r="K18" s="180">
        <f>F18-F17</f>
        <v>322334</v>
      </c>
      <c r="L18" s="181">
        <f t="shared" ref="L18:L41" si="2">J18/N18*1000</f>
        <v>9.0380296217049469</v>
      </c>
      <c r="M18" s="181">
        <f>G18-G17</f>
        <v>0.71367207779213615</v>
      </c>
      <c r="N18" s="180">
        <v>662154391</v>
      </c>
    </row>
    <row r="19" spans="3:15">
      <c r="C19" s="172" t="s">
        <v>82</v>
      </c>
      <c r="E19" s="180"/>
      <c r="F19" s="180">
        <v>5977171</v>
      </c>
      <c r="G19" s="181">
        <f t="shared" si="0"/>
        <v>9.0943946063545322</v>
      </c>
      <c r="H19" s="180"/>
      <c r="I19" s="186"/>
      <c r="J19" s="188">
        <f t="shared" si="1"/>
        <v>5977171</v>
      </c>
      <c r="K19" s="180">
        <f>F19-F18</f>
        <v>-7400</v>
      </c>
      <c r="L19" s="181">
        <f t="shared" si="2"/>
        <v>9.0943946063545322</v>
      </c>
      <c r="M19" s="181">
        <f>G19-G18</f>
        <v>5.6364984649585281E-2</v>
      </c>
      <c r="N19" s="180">
        <v>657236821</v>
      </c>
    </row>
    <row r="20" spans="3:15">
      <c r="C20" s="172" t="s">
        <v>83</v>
      </c>
      <c r="D20" s="180">
        <v>20777488</v>
      </c>
      <c r="E20" s="180">
        <v>14701069</v>
      </c>
      <c r="F20" s="180">
        <v>6079421</v>
      </c>
      <c r="G20" s="186">
        <f t="shared" si="0"/>
        <v>9.5082321739244691</v>
      </c>
      <c r="H20" s="180"/>
      <c r="I20" s="186"/>
      <c r="J20" s="188">
        <f t="shared" si="1"/>
        <v>6079421</v>
      </c>
      <c r="K20" s="182">
        <f>F20-F19</f>
        <v>102250</v>
      </c>
      <c r="L20" s="181">
        <f t="shared" si="2"/>
        <v>9.5082321739244691</v>
      </c>
      <c r="M20" s="181">
        <f>G20-G19</f>
        <v>0.41383756756993684</v>
      </c>
      <c r="N20" s="180">
        <v>639384997</v>
      </c>
    </row>
    <row r="21" spans="3:15">
      <c r="C21" s="172" t="s">
        <v>84</v>
      </c>
      <c r="D21" s="187">
        <f>D20</f>
        <v>20777488</v>
      </c>
      <c r="E21" s="187">
        <v>15327935</v>
      </c>
      <c r="F21" s="180">
        <f>D21-E21</f>
        <v>5449553</v>
      </c>
      <c r="G21" s="186">
        <f t="shared" si="0"/>
        <v>8.1154269802999881</v>
      </c>
      <c r="H21" s="180">
        <v>629868.00000000047</v>
      </c>
      <c r="I21" s="186">
        <f>H21/N21*1000</f>
        <v>0.93799395312378764</v>
      </c>
      <c r="J21" s="188">
        <f t="shared" ref="J21:J41" si="3">F21+H21</f>
        <v>6079421</v>
      </c>
      <c r="K21" s="182">
        <f>F21-F20</f>
        <v>-629868</v>
      </c>
      <c r="L21" s="181">
        <f t="shared" si="2"/>
        <v>9.053420933423773</v>
      </c>
      <c r="M21" s="181">
        <f>G21-G20</f>
        <v>-1.392805193624481</v>
      </c>
      <c r="N21" s="183">
        <v>671505395</v>
      </c>
      <c r="O21" s="172" t="s">
        <v>88</v>
      </c>
    </row>
    <row r="22" spans="3:15">
      <c r="C22" s="172" t="s">
        <v>89</v>
      </c>
      <c r="F22" s="180">
        <f>F21</f>
        <v>5449553</v>
      </c>
      <c r="G22" s="186">
        <f t="shared" si="0"/>
        <v>8.1154269802999881</v>
      </c>
      <c r="H22" s="180">
        <f>'Preliminary - Scenario 2'!AG14</f>
        <v>722500</v>
      </c>
      <c r="I22" s="186">
        <f t="shared" ref="I22:I41" si="4">H22/N22*1000</f>
        <v>1.0759407227100535</v>
      </c>
      <c r="J22" s="188">
        <f t="shared" si="3"/>
        <v>6172053</v>
      </c>
      <c r="L22" s="181">
        <f t="shared" si="2"/>
        <v>9.1913677030100409</v>
      </c>
      <c r="N22" s="180">
        <f>N21</f>
        <v>671505395</v>
      </c>
      <c r="O22" s="172" t="s">
        <v>88</v>
      </c>
    </row>
    <row r="23" spans="3:15">
      <c r="C23" s="172" t="s">
        <v>90</v>
      </c>
      <c r="F23" s="180">
        <f>F22</f>
        <v>5449553</v>
      </c>
      <c r="G23" s="186">
        <f t="shared" si="0"/>
        <v>8.1154269802999881</v>
      </c>
      <c r="H23" s="180">
        <f>'Preliminary - Scenario 2'!AG15</f>
        <v>555674.75</v>
      </c>
      <c r="I23" s="186">
        <f t="shared" si="4"/>
        <v>0.82750600983630218</v>
      </c>
      <c r="J23" s="188">
        <f t="shared" si="3"/>
        <v>6005227.75</v>
      </c>
      <c r="L23" s="181">
        <f t="shared" si="2"/>
        <v>8.9429329901362902</v>
      </c>
      <c r="N23" s="180">
        <f t="shared" ref="N23:N41" si="5">N22</f>
        <v>671505395</v>
      </c>
      <c r="O23" s="172" t="s">
        <v>88</v>
      </c>
    </row>
    <row r="24" spans="3:15">
      <c r="C24" s="172" t="s">
        <v>91</v>
      </c>
      <c r="F24" s="180">
        <f t="shared" ref="F24:F41" si="6">F23</f>
        <v>5449553</v>
      </c>
      <c r="G24" s="186">
        <f t="shared" si="0"/>
        <v>8.1154269802999881</v>
      </c>
      <c r="H24" s="180">
        <f>'Preliminary - Scenario 2'!AG16</f>
        <v>388849.5</v>
      </c>
      <c r="I24" s="186">
        <f t="shared" si="4"/>
        <v>0.57907129696255077</v>
      </c>
      <c r="J24" s="188">
        <f t="shared" si="3"/>
        <v>5838402.5</v>
      </c>
      <c r="L24" s="181">
        <f t="shared" si="2"/>
        <v>8.6944982772625377</v>
      </c>
      <c r="N24" s="180">
        <f t="shared" si="5"/>
        <v>671505395</v>
      </c>
      <c r="O24" s="172" t="s">
        <v>88</v>
      </c>
    </row>
    <row r="25" spans="3:15">
      <c r="C25" s="172" t="s">
        <v>92</v>
      </c>
      <c r="F25" s="180">
        <f t="shared" si="6"/>
        <v>5449553</v>
      </c>
      <c r="G25" s="186">
        <f t="shared" si="0"/>
        <v>8.1154269802999881</v>
      </c>
      <c r="H25" s="180">
        <f>'Preliminary - Scenario 2'!AG17</f>
        <v>388849.5</v>
      </c>
      <c r="I25" s="186">
        <f t="shared" si="4"/>
        <v>0.57907129696255077</v>
      </c>
      <c r="J25" s="188">
        <f t="shared" si="3"/>
        <v>5838402.5</v>
      </c>
      <c r="L25" s="181">
        <f t="shared" si="2"/>
        <v>8.6944982772625377</v>
      </c>
      <c r="N25" s="180">
        <f t="shared" si="5"/>
        <v>671505395</v>
      </c>
      <c r="O25" s="172" t="s">
        <v>88</v>
      </c>
    </row>
    <row r="26" spans="3:15">
      <c r="C26" s="172" t="s">
        <v>93</v>
      </c>
      <c r="F26" s="180">
        <f t="shared" si="6"/>
        <v>5449553</v>
      </c>
      <c r="G26" s="186">
        <f t="shared" si="0"/>
        <v>8.1154269802999881</v>
      </c>
      <c r="H26" s="180">
        <f>'Preliminary - Scenario 2'!AG18</f>
        <v>388849.5</v>
      </c>
      <c r="I26" s="186">
        <f t="shared" si="4"/>
        <v>0.57907129696255077</v>
      </c>
      <c r="J26" s="188">
        <f t="shared" si="3"/>
        <v>5838402.5</v>
      </c>
      <c r="L26" s="181">
        <f t="shared" si="2"/>
        <v>8.6944982772625377</v>
      </c>
      <c r="N26" s="180">
        <f t="shared" si="5"/>
        <v>671505395</v>
      </c>
      <c r="O26" s="172" t="s">
        <v>88</v>
      </c>
    </row>
    <row r="27" spans="3:15">
      <c r="C27" s="172" t="s">
        <v>94</v>
      </c>
      <c r="F27" s="180">
        <f t="shared" si="6"/>
        <v>5449553</v>
      </c>
      <c r="G27" s="186">
        <f t="shared" si="0"/>
        <v>8.1154269802999881</v>
      </c>
      <c r="H27" s="180">
        <f>'Preliminary - Scenario 2'!AG19</f>
        <v>388849.5</v>
      </c>
      <c r="I27" s="186">
        <f t="shared" si="4"/>
        <v>0.57907129696255077</v>
      </c>
      <c r="J27" s="188">
        <f t="shared" si="3"/>
        <v>5838402.5</v>
      </c>
      <c r="L27" s="181">
        <f t="shared" si="2"/>
        <v>8.6944982772625377</v>
      </c>
      <c r="N27" s="180">
        <f t="shared" si="5"/>
        <v>671505395</v>
      </c>
      <c r="O27" s="172" t="s">
        <v>88</v>
      </c>
    </row>
    <row r="28" spans="3:15">
      <c r="C28" s="172" t="s">
        <v>95</v>
      </c>
      <c r="F28" s="180">
        <f t="shared" si="6"/>
        <v>5449553</v>
      </c>
      <c r="G28" s="186">
        <f t="shared" si="0"/>
        <v>8.1154269802999881</v>
      </c>
      <c r="H28" s="180">
        <f>'Preliminary - Scenario 2'!AG20</f>
        <v>388849.5</v>
      </c>
      <c r="I28" s="186">
        <f t="shared" si="4"/>
        <v>0.57907129696255077</v>
      </c>
      <c r="J28" s="188">
        <f t="shared" si="3"/>
        <v>5838402.5</v>
      </c>
      <c r="L28" s="181">
        <f t="shared" si="2"/>
        <v>8.6944982772625377</v>
      </c>
      <c r="N28" s="180">
        <f t="shared" si="5"/>
        <v>671505395</v>
      </c>
      <c r="O28" s="172" t="s">
        <v>88</v>
      </c>
    </row>
    <row r="29" spans="3:15">
      <c r="C29" s="172" t="s">
        <v>96</v>
      </c>
      <c r="F29" s="180">
        <f t="shared" si="6"/>
        <v>5449553</v>
      </c>
      <c r="G29" s="186">
        <f t="shared" si="0"/>
        <v>8.1154269802999881</v>
      </c>
      <c r="H29" s="180">
        <f>'Preliminary - Scenario 2'!AG21</f>
        <v>388849.5</v>
      </c>
      <c r="I29" s="186">
        <f t="shared" si="4"/>
        <v>0.57907129696255077</v>
      </c>
      <c r="J29" s="188">
        <f t="shared" si="3"/>
        <v>5838402.5</v>
      </c>
      <c r="L29" s="181">
        <f t="shared" si="2"/>
        <v>8.6944982772625377</v>
      </c>
      <c r="N29" s="180">
        <f t="shared" si="5"/>
        <v>671505395</v>
      </c>
      <c r="O29" s="172" t="s">
        <v>88</v>
      </c>
    </row>
    <row r="30" spans="3:15">
      <c r="C30" s="172" t="s">
        <v>97</v>
      </c>
      <c r="F30" s="180">
        <f t="shared" si="6"/>
        <v>5449553</v>
      </c>
      <c r="G30" s="186">
        <f t="shared" si="0"/>
        <v>8.1154269802999881</v>
      </c>
      <c r="H30" s="180">
        <f>'Preliminary - Scenario 2'!AG22</f>
        <v>388849.5</v>
      </c>
      <c r="I30" s="186">
        <f t="shared" si="4"/>
        <v>0.57907129696255077</v>
      </c>
      <c r="J30" s="188">
        <f t="shared" si="3"/>
        <v>5838402.5</v>
      </c>
      <c r="L30" s="181">
        <f t="shared" si="2"/>
        <v>8.6944982772625377</v>
      </c>
      <c r="N30" s="180">
        <f t="shared" si="5"/>
        <v>671505395</v>
      </c>
      <c r="O30" s="172" t="s">
        <v>88</v>
      </c>
    </row>
    <row r="31" spans="3:15">
      <c r="C31" s="172" t="s">
        <v>98</v>
      </c>
      <c r="F31" s="180">
        <f t="shared" si="6"/>
        <v>5449553</v>
      </c>
      <c r="G31" s="186">
        <f t="shared" si="0"/>
        <v>8.1154269802999881</v>
      </c>
      <c r="H31" s="180">
        <f>'Preliminary - Scenario 2'!AG23</f>
        <v>388849.5</v>
      </c>
      <c r="I31" s="186">
        <f t="shared" si="4"/>
        <v>0.57907129696255077</v>
      </c>
      <c r="J31" s="188">
        <f t="shared" si="3"/>
        <v>5838402.5</v>
      </c>
      <c r="L31" s="181">
        <f t="shared" si="2"/>
        <v>8.6944982772625377</v>
      </c>
      <c r="N31" s="180">
        <f t="shared" si="5"/>
        <v>671505395</v>
      </c>
      <c r="O31" s="172" t="s">
        <v>88</v>
      </c>
    </row>
    <row r="32" spans="3:15">
      <c r="C32" s="172" t="s">
        <v>99</v>
      </c>
      <c r="F32" s="180">
        <f t="shared" si="6"/>
        <v>5449553</v>
      </c>
      <c r="G32" s="186">
        <f t="shared" si="0"/>
        <v>8.1154269802999881</v>
      </c>
      <c r="H32" s="180">
        <f>'Preliminary - Scenario 2'!AG24</f>
        <v>388849.5</v>
      </c>
      <c r="I32" s="186">
        <f t="shared" si="4"/>
        <v>0.57907129696255077</v>
      </c>
      <c r="J32" s="188">
        <f t="shared" si="3"/>
        <v>5838402.5</v>
      </c>
      <c r="L32" s="181">
        <f t="shared" si="2"/>
        <v>8.6944982772625377</v>
      </c>
      <c r="N32" s="180">
        <f t="shared" si="5"/>
        <v>671505395</v>
      </c>
      <c r="O32" s="172" t="s">
        <v>88</v>
      </c>
    </row>
    <row r="33" spans="3:15">
      <c r="C33" s="172" t="s">
        <v>100</v>
      </c>
      <c r="F33" s="180">
        <f t="shared" si="6"/>
        <v>5449553</v>
      </c>
      <c r="G33" s="186">
        <f t="shared" si="0"/>
        <v>8.1154269802999881</v>
      </c>
      <c r="H33" s="180">
        <f>'Preliminary - Scenario 2'!AG25</f>
        <v>388849.5</v>
      </c>
      <c r="I33" s="186">
        <f t="shared" si="4"/>
        <v>0.57907129696255077</v>
      </c>
      <c r="J33" s="188">
        <f t="shared" si="3"/>
        <v>5838402.5</v>
      </c>
      <c r="L33" s="181">
        <f t="shared" si="2"/>
        <v>8.6944982772625377</v>
      </c>
      <c r="N33" s="180">
        <f t="shared" si="5"/>
        <v>671505395</v>
      </c>
      <c r="O33" s="172" t="s">
        <v>88</v>
      </c>
    </row>
    <row r="34" spans="3:15">
      <c r="C34" s="172" t="s">
        <v>101</v>
      </c>
      <c r="F34" s="180">
        <f t="shared" si="6"/>
        <v>5449553</v>
      </c>
      <c r="G34" s="186">
        <f t="shared" si="0"/>
        <v>8.1154269802999881</v>
      </c>
      <c r="H34" s="180">
        <f>'Preliminary - Scenario 2'!AG26</f>
        <v>388849.5</v>
      </c>
      <c r="I34" s="186">
        <f t="shared" si="4"/>
        <v>0.57907129696255077</v>
      </c>
      <c r="J34" s="188">
        <f t="shared" si="3"/>
        <v>5838402.5</v>
      </c>
      <c r="L34" s="181">
        <f t="shared" si="2"/>
        <v>8.6944982772625377</v>
      </c>
      <c r="N34" s="180">
        <f t="shared" si="5"/>
        <v>671505395</v>
      </c>
      <c r="O34" s="172" t="s">
        <v>88</v>
      </c>
    </row>
    <row r="35" spans="3:15">
      <c r="C35" s="172" t="s">
        <v>102</v>
      </c>
      <c r="F35" s="180">
        <f t="shared" si="6"/>
        <v>5449553</v>
      </c>
      <c r="G35" s="186">
        <f t="shared" si="0"/>
        <v>8.1154269802999881</v>
      </c>
      <c r="H35" s="180">
        <f>'Preliminary - Scenario 2'!AG27</f>
        <v>388849.5</v>
      </c>
      <c r="I35" s="186">
        <f t="shared" si="4"/>
        <v>0.57907129696255077</v>
      </c>
      <c r="J35" s="188">
        <f t="shared" si="3"/>
        <v>5838402.5</v>
      </c>
      <c r="L35" s="181">
        <f t="shared" si="2"/>
        <v>8.6944982772625377</v>
      </c>
      <c r="N35" s="180">
        <f t="shared" si="5"/>
        <v>671505395</v>
      </c>
      <c r="O35" s="172" t="s">
        <v>88</v>
      </c>
    </row>
    <row r="36" spans="3:15">
      <c r="C36" s="172" t="s">
        <v>103</v>
      </c>
      <c r="F36" s="180">
        <f t="shared" si="6"/>
        <v>5449553</v>
      </c>
      <c r="G36" s="186">
        <f t="shared" si="0"/>
        <v>8.1154269802999881</v>
      </c>
      <c r="H36" s="180">
        <f>'Preliminary - Scenario 2'!AG28</f>
        <v>388849.5</v>
      </c>
      <c r="I36" s="186">
        <f t="shared" si="4"/>
        <v>0.57907129696255077</v>
      </c>
      <c r="J36" s="188">
        <f t="shared" si="3"/>
        <v>5838402.5</v>
      </c>
      <c r="L36" s="181">
        <f t="shared" si="2"/>
        <v>8.6944982772625377</v>
      </c>
      <c r="N36" s="180">
        <f t="shared" si="5"/>
        <v>671505395</v>
      </c>
      <c r="O36" s="172" t="s">
        <v>88</v>
      </c>
    </row>
    <row r="37" spans="3:15">
      <c r="C37" s="172" t="s">
        <v>104</v>
      </c>
      <c r="F37" s="180">
        <f t="shared" si="6"/>
        <v>5449553</v>
      </c>
      <c r="G37" s="186">
        <f t="shared" si="0"/>
        <v>8.1154269802999881</v>
      </c>
      <c r="H37" s="180">
        <f>'Preliminary - Scenario 2'!AG29</f>
        <v>388849.5</v>
      </c>
      <c r="I37" s="186">
        <f t="shared" si="4"/>
        <v>0.57907129696255077</v>
      </c>
      <c r="J37" s="188">
        <f t="shared" si="3"/>
        <v>5838402.5</v>
      </c>
      <c r="L37" s="181">
        <f t="shared" si="2"/>
        <v>8.6944982772625377</v>
      </c>
      <c r="N37" s="180">
        <f t="shared" si="5"/>
        <v>671505395</v>
      </c>
      <c r="O37" s="172" t="s">
        <v>88</v>
      </c>
    </row>
    <row r="38" spans="3:15">
      <c r="C38" s="172" t="s">
        <v>105</v>
      </c>
      <c r="F38" s="180">
        <f t="shared" si="6"/>
        <v>5449553</v>
      </c>
      <c r="G38" s="186">
        <f t="shared" si="0"/>
        <v>8.1154269802999881</v>
      </c>
      <c r="H38" s="180">
        <f>'Preliminary - Scenario 2'!AG30</f>
        <v>388849.5</v>
      </c>
      <c r="I38" s="186">
        <f t="shared" si="4"/>
        <v>0.57907129696255077</v>
      </c>
      <c r="J38" s="188">
        <f t="shared" si="3"/>
        <v>5838402.5</v>
      </c>
      <c r="L38" s="181">
        <f t="shared" si="2"/>
        <v>8.6944982772625377</v>
      </c>
      <c r="N38" s="180">
        <f t="shared" si="5"/>
        <v>671505395</v>
      </c>
      <c r="O38" s="172" t="s">
        <v>88</v>
      </c>
    </row>
    <row r="39" spans="3:15">
      <c r="C39" s="172" t="s">
        <v>106</v>
      </c>
      <c r="F39" s="180">
        <f t="shared" si="6"/>
        <v>5449553</v>
      </c>
      <c r="G39" s="186">
        <f t="shared" si="0"/>
        <v>8.1154269802999881</v>
      </c>
      <c r="H39" s="180">
        <f>'Preliminary - Scenario 2'!AG31</f>
        <v>388849.5</v>
      </c>
      <c r="I39" s="186">
        <f t="shared" si="4"/>
        <v>0.57907129696255077</v>
      </c>
      <c r="J39" s="180">
        <f t="shared" si="3"/>
        <v>5838402.5</v>
      </c>
      <c r="L39" s="181">
        <f t="shared" si="2"/>
        <v>8.6944982772625377</v>
      </c>
      <c r="N39" s="180">
        <f t="shared" si="5"/>
        <v>671505395</v>
      </c>
      <c r="O39" s="172" t="s">
        <v>88</v>
      </c>
    </row>
    <row r="40" spans="3:15">
      <c r="C40" s="172" t="s">
        <v>107</v>
      </c>
      <c r="F40" s="180">
        <f t="shared" si="6"/>
        <v>5449553</v>
      </c>
      <c r="G40" s="186">
        <f t="shared" si="0"/>
        <v>8.1154269802999881</v>
      </c>
      <c r="H40" s="180">
        <f>'Preliminary - Scenario 2'!AG32</f>
        <v>388849.5</v>
      </c>
      <c r="I40" s="186">
        <f t="shared" si="4"/>
        <v>0.57907129696255077</v>
      </c>
      <c r="J40" s="180">
        <f t="shared" si="3"/>
        <v>5838402.5</v>
      </c>
      <c r="L40" s="181">
        <f t="shared" si="2"/>
        <v>8.6944982772625377</v>
      </c>
      <c r="N40" s="180">
        <f t="shared" si="5"/>
        <v>671505395</v>
      </c>
      <c r="O40" s="172" t="s">
        <v>88</v>
      </c>
    </row>
    <row r="41" spans="3:15">
      <c r="C41" s="172" t="s">
        <v>108</v>
      </c>
      <c r="F41" s="180">
        <f t="shared" si="6"/>
        <v>5449553</v>
      </c>
      <c r="G41" s="186">
        <f t="shared" si="0"/>
        <v>8.1154269802999881</v>
      </c>
      <c r="H41" s="180">
        <f>'Preliminary - Scenario 2'!AG33</f>
        <v>17027599.5</v>
      </c>
      <c r="I41" s="186">
        <f t="shared" si="4"/>
        <v>25.357353234667606</v>
      </c>
      <c r="J41" s="180">
        <f t="shared" si="3"/>
        <v>22477152.5</v>
      </c>
      <c r="L41" s="181">
        <f t="shared" si="2"/>
        <v>33.472780214967592</v>
      </c>
      <c r="N41" s="180">
        <f t="shared" si="5"/>
        <v>671505395</v>
      </c>
      <c r="O41" s="172" t="s">
        <v>88</v>
      </c>
    </row>
    <row r="42" spans="3:15">
      <c r="H42" s="180"/>
      <c r="I42" s="186"/>
    </row>
    <row r="43" spans="3:15">
      <c r="H43" s="180"/>
      <c r="I43" s="186"/>
    </row>
    <row r="44" spans="3:15">
      <c r="H44" s="180"/>
      <c r="I44" s="186"/>
    </row>
    <row r="45" spans="3:15">
      <c r="I45" s="186"/>
    </row>
    <row r="46" spans="3:15">
      <c r="I46" s="186"/>
    </row>
    <row r="47" spans="3:15">
      <c r="I47" s="186"/>
    </row>
    <row r="48" spans="3:15">
      <c r="I48" s="186"/>
    </row>
    <row r="49" spans="9:9">
      <c r="I49" s="186"/>
    </row>
  </sheetData>
  <printOptions horizontalCentered="1"/>
  <pageMargins left="0.7" right="0.7" top="0.75" bottom="0.75" header="0.3" footer="0.3"/>
  <pageSetup scale="87" orientation="landscape" r:id="rId1"/>
  <headerFooter>
    <oddFooter>&amp;C&amp;"Verdana,Italic"&amp;8Prepared by Robert W. Baird &amp;&amp; Co. Incorporated S:\Public Finance\school district\ashland sd\debt service\2015\tax levy trend ashland sd.xlsx /sgk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8</vt:i4>
      </vt:variant>
      <vt:variant>
        <vt:lpstr>Charts</vt:lpstr>
      </vt:variant>
      <vt:variant>
        <vt:i4>2</vt:i4>
      </vt:variant>
      <vt:variant>
        <vt:lpstr>Named Ranges</vt:lpstr>
      </vt:variant>
      <vt:variant>
        <vt:i4>8</vt:i4>
      </vt:variant>
    </vt:vector>
  </HeadingPairs>
  <TitlesOfParts>
    <vt:vector size="18" baseType="lpstr">
      <vt:lpstr>Preliminary ($8,000,000)</vt:lpstr>
      <vt:lpstr>Preliminary ($14,700,000)</vt:lpstr>
      <vt:lpstr>graph data Q1 (2)</vt:lpstr>
      <vt:lpstr>graph data 1 &amp; 2</vt:lpstr>
      <vt:lpstr>Tax Impact Calculator </vt:lpstr>
      <vt:lpstr>Matrix</vt:lpstr>
      <vt:lpstr>Preliminary - Scenario 2</vt:lpstr>
      <vt:lpstr>graph data2</vt:lpstr>
      <vt:lpstr>Mill Rate Chart Q1</vt:lpstr>
      <vt:lpstr>Mill Rate Chart - Scenario 2</vt:lpstr>
      <vt:lpstr>'graph data 1 &amp; 2'!Print_Area</vt:lpstr>
      <vt:lpstr>'graph data Q1 (2)'!Print_Area</vt:lpstr>
      <vt:lpstr>'graph data2'!Print_Area</vt:lpstr>
      <vt:lpstr>Matrix!Print_Area</vt:lpstr>
      <vt:lpstr>'Preliminary - Scenario 2'!Print_Area</vt:lpstr>
      <vt:lpstr>'Preliminary ($14,700,000)'!Print_Area</vt:lpstr>
      <vt:lpstr>'Preliminary ($8,000,000)'!Print_Area</vt:lpstr>
      <vt:lpstr>'Tax Impact Calculator '!Print_Area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S/D of Jefferson</dc:title>
  <dc:subject>$12,700,000 Referendum</dc:subject>
  <dc:creator>Emily Timmerman</dc:creator>
  <cp:lastModifiedBy>El Montgomery</cp:lastModifiedBy>
  <cp:lastPrinted>2016-01-28T20:04:29Z</cp:lastPrinted>
  <dcterms:created xsi:type="dcterms:W3CDTF">1998-08-31T17:18:44Z</dcterms:created>
  <dcterms:modified xsi:type="dcterms:W3CDTF">2016-02-16T19:10:55Z</dcterms:modified>
</cp:coreProperties>
</file>